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omments1.xml" ContentType="application/vnd.openxmlformats-officedocument.spreadsheetml.comment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omments2.xml" ContentType="application/vnd.openxmlformats-officedocument.spreadsheetml.comments+xml"/>
  <Override PartName="/xl/worksheets/sheet7.xml" ContentType="application/vnd.openxmlformats-officedocument.spreadsheetml.worksheet+xml"/>
  <Override PartName="/xl/comments3.xml" ContentType="application/vnd.openxmlformats-officedocument.spreadsheetml.comments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worksheets/sheet11.xml" ContentType="application/vnd.openxmlformats-officedocument.spreadsheetml.worksheet+xml"/>
  <Override PartName="/xl/comments4.xml" ContentType="application/vnd.openxmlformats-officedocument.spreadsheetml.comments+xml"/>
  <Override PartName="/xl/worksheets/sheet12.xml" ContentType="application/vnd.openxmlformats-officedocument.spreadsheetml.worksheet+xml"/>
  <Override PartName="/xl/comments5.xml" ContentType="application/vnd.openxmlformats-officedocument.spreadsheetml.comments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uny11"/>
  <workbookPr/>
  <bookViews>
    <workbookView activeTab="1" xWindow="240" yWindow="60" windowWidth="29040" windowHeight="15840" tabRatio="500"/>
  </bookViews>
  <sheets>
    <sheet name="Hall_of_Fame" sheetId="1" r:id="rId4"/>
    <sheet name="Plantilla" sheetId="2" r:id="rId5"/>
    <sheet name="Juveniles" sheetId="3" r:id="rId6"/>
    <sheet name="Planning" sheetId="4" r:id="rId7"/>
    <sheet name="Planning_v2" sheetId="5" r:id="rId8"/>
    <sheet name="Economia" sheetId="6" r:id="rId9"/>
    <sheet name="Evaluacion" sheetId="7" r:id="rId10"/>
    <sheet name="Banderas" sheetId="8" r:id="rId11"/>
    <sheet name="Calculadora_Tactica" sheetId="9" r:id="rId12"/>
    <sheet name="Capitan" sheetId="10" r:id="rId13"/>
    <sheet name="Entrenador" sheetId="11" r:id="rId14"/>
    <sheet name="Entrenamiento" sheetId="12" r:id="rId15"/>
    <sheet name="Resumen_Rend" sheetId="13" r:id="rId16"/>
    <sheet name="352" sheetId="14" r:id="rId17"/>
    <sheet name="541" sheetId="15" r:id="rId18"/>
    <sheet name="DEF" sheetId="16" r:id="rId19"/>
    <sheet name="JUG" sheetId="17" r:id="rId20"/>
    <sheet name="ANO" sheetId="18" r:id="rId21"/>
    <sheet name="XUTS" sheetId="19" r:id="rId22"/>
    <sheet name="BP" sheetId="20" r:id="rId23"/>
    <sheet name="El Desierto de Tattoine" sheetId="21" r:id="rId24"/>
  </sheets>
  <calcPr/>
  <extLst>
    <ext uri="smNativeData">
      <pm:revision xmlns:pm="smNativeData" day="1595601780" val="976" rev="124" rev64="64" revOS="3" revMin="124" revMax="0"/>
      <pm:docPrefs xmlns:pm="smNativeData" id="1595601780" fixedDigits="0" showNotice="1" showFrameBounds="1" autoChart="1" recalcOnPrint="1" recalcOnCopy="1" finalRounding="1" compatTextArt="1" tab="567" useDefinedPrintRange="1" printArea="currentSheet"/>
      <pm:compatibility xmlns:pm="smNativeData" id="1595601780" overlapCells="1"/>
      <pm:defCurrency xmlns:pm="smNativeData" id="1595601780"/>
    </ext>
  </extLst>
</workbook>
</file>

<file path=xl/comments1.xml><?xml version="1.0" encoding="utf-8"?>
<comments xmlns="http://schemas.openxmlformats.org/spreadsheetml/2006/main">
  <authors>
    <author>Unknown</author>
  </authors>
  <commentList>
    <comment ref="K3" authorId="0">
      <text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601780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Lid*Lid*Exp</t>
        </r>
      </text>
    </comment>
  </commentList>
</comments>
</file>

<file path=xl/comments2.xml><?xml version="1.0" encoding="utf-8"?>
<comments xmlns="http://schemas.openxmlformats.org/spreadsheetml/2006/main">
  <authors>
    <author>Unknown</author>
  </authors>
  <commentList>
    <comment ref="G8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601780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601780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Jugadores+Inmobilizado-Capital (año anterior todo)</t>
        </r>
      </text>
    </comment>
    <comment ref="H10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601780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601780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Se resta las amortizaciones, que se consideran perdida de activos y perdidas de beneficios</t>
        </r>
      </text>
    </comment>
    <comment ref="G16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601780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601780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Ingresos anuales - Pagos anuales</t>
        </r>
      </text>
    </comment>
    <comment ref="H19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601780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601780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incluye sueldo primera semana</t>
        </r>
      </text>
    </comment>
  </commentList>
</comments>
</file>

<file path=xl/comments3.xml><?xml version="1.0" encoding="utf-8"?>
<comments xmlns="http://schemas.openxmlformats.org/spreadsheetml/2006/main">
  <authors>
    <author>Unknown</author>
  </authors>
  <commentList>
    <comment ref="C28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601780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Sacado del manual no escrito, no se sabe que son estos valores</t>
        </r>
      </text>
    </comment>
    <comment ref="D28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601780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En partidos de Torneo con el predictor
-Campo neutral
-Espiritu: Ilusionats (6)
-Confiança: Alta (7)
Entrenador NEUTRO</t>
        </r>
      </text>
    </comment>
  </commentList>
</comments>
</file>

<file path=xl/comments4.xml><?xml version="1.0" encoding="utf-8"?>
<comments xmlns="http://schemas.openxmlformats.org/spreadsheetml/2006/main">
  <authors>
    <author>Unknown</author>
  </authors>
  <commentList>
    <comment ref="I1" authorId="0">
      <text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601780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Lid*Lid*Exp</t>
        </r>
      </text>
    </comment>
    <comment ref="I3" authorId="0">
      <text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601780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Lid*Lid*Exp</t>
        </r>
      </text>
    </comment>
    <comment ref="I12" authorId="0">
      <text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601780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Lid*Lid*Exp</t>
        </r>
      </text>
    </comment>
    <comment ref="I24" authorId="0">
      <text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601780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Lid*Lid*Exp</t>
        </r>
      </text>
    </comment>
  </commentList>
</comments>
</file>

<file path=xl/comments5.xml><?xml version="1.0" encoding="utf-8"?>
<comments xmlns="http://schemas.openxmlformats.org/spreadsheetml/2006/main">
  <authors>
    <author>Unknown</author>
  </authors>
  <commentList>
    <comment ref="G18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601780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Debe ser Alto, bastante Alto</t>
        </r>
      </text>
    </comment>
    <comment ref="G8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601780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Debe ser bajo, muy bajo</t>
        </r>
      </text>
    </comment>
    <comment ref="G10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601780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Debe ser bajo, muy bajo</t>
        </r>
      </text>
    </comment>
    <comment ref="AX1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601780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Sacado del manual no escrito, no se sabe que son estos valores</t>
        </r>
      </text>
    </comment>
    <comment ref="AY1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601780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En partidos de Torneo con el predictor
-Campo neutral
-Espiritu: Ilusionats (6)
-Confiança: Alta (7)
Entrenador NEUTRO</t>
        </r>
      </text>
    </comment>
  </commentList>
</comments>
</file>

<file path=xl/sharedStrings.xml><?xml version="1.0" encoding="utf-8"?>
<sst xmlns="http://schemas.openxmlformats.org/spreadsheetml/2006/main" count="2245" uniqueCount="691">
  <si>
    <t>Fecha Actualizacion</t>
  </si>
  <si>
    <t>Mejor Partido</t>
  </si>
  <si>
    <t>Casa</t>
  </si>
  <si>
    <t>529hts</t>
  </si>
  <si>
    <t>Obiwan-Antioch</t>
  </si>
  <si>
    <t>F-N</t>
  </si>
  <si>
    <t>532hts</t>
  </si>
  <si>
    <t>FC Mariannah - Obiwan</t>
  </si>
  <si>
    <t>Porteria Imbatuda</t>
  </si>
  <si>
    <t>Més Partits Jugats</t>
  </si>
  <si>
    <t>Gols Marcats</t>
  </si>
  <si>
    <t>G/P</t>
  </si>
  <si>
    <t>Millor Qualificació</t>
  </si>
  <si>
    <t>Dominik Gehmacher</t>
  </si>
  <si>
    <t>POR</t>
  </si>
  <si>
    <t>Elliot Romweber</t>
  </si>
  <si>
    <t>DL</t>
  </si>
  <si>
    <t>Julián Limón</t>
  </si>
  <si>
    <t>DV</t>
  </si>
  <si>
    <t>14*</t>
  </si>
  <si>
    <t>Lorenzo Calosso</t>
  </si>
  <si>
    <t>DAV</t>
  </si>
  <si>
    <t>Tony Hammond</t>
  </si>
  <si>
    <t>Eugene Toney</t>
  </si>
  <si>
    <t>DC</t>
  </si>
  <si>
    <t>11,5*</t>
  </si>
  <si>
    <t>Robert Lawhon</t>
  </si>
  <si>
    <t>Stephen Buschelman</t>
  </si>
  <si>
    <t>MED</t>
  </si>
  <si>
    <t>Stacy Zobbe</t>
  </si>
  <si>
    <t>EXT</t>
  </si>
  <si>
    <t>林 (Lin) 光维 (Guangwei)</t>
  </si>
  <si>
    <t>Julian Limón</t>
  </si>
  <si>
    <t>Clayton Rojas</t>
  </si>
  <si>
    <t>Philip Alston</t>
  </si>
  <si>
    <t>Gerolf Kerschl</t>
  </si>
  <si>
    <t>Duncan Toh</t>
  </si>
  <si>
    <t>DEF</t>
  </si>
  <si>
    <t>Hardy Kjærulff</t>
  </si>
  <si>
    <t>Carlos Ramirez</t>
  </si>
  <si>
    <t>Ke'Shawn Helms</t>
  </si>
  <si>
    <t>11*</t>
  </si>
  <si>
    <t>Bendegúz Pinczehelyi</t>
  </si>
  <si>
    <t>Eric Gross</t>
  </si>
  <si>
    <t>Lawrence Bauman</t>
  </si>
  <si>
    <t>Més vegades Capità</t>
  </si>
  <si>
    <t>Baudalio Bartolache</t>
  </si>
  <si>
    <t>10,5*</t>
  </si>
  <si>
    <t>Pavan Trivedi</t>
  </si>
  <si>
    <t>10*</t>
  </si>
  <si>
    <t>Allen Horn</t>
  </si>
  <si>
    <t>Jakob-Peter Kechele</t>
  </si>
  <si>
    <t>9*</t>
  </si>
  <si>
    <t>Will Gelifini</t>
  </si>
  <si>
    <t>8,5*</t>
  </si>
  <si>
    <t>Juan Alberto Carmona</t>
  </si>
  <si>
    <t>Pavan Trivadi</t>
  </si>
  <si>
    <t>Félix Lasprilla</t>
  </si>
  <si>
    <t>Ian Stone</t>
  </si>
  <si>
    <t>8*</t>
  </si>
  <si>
    <t>John Wesner</t>
  </si>
  <si>
    <t>Steve Olson</t>
  </si>
  <si>
    <t>DEF/DV</t>
  </si>
  <si>
    <t>Stefano Sbattelia</t>
  </si>
  <si>
    <t>Marian Dondarewski</t>
  </si>
  <si>
    <t>Milan Amico</t>
  </si>
  <si>
    <t>Rickey Forsyth</t>
  </si>
  <si>
    <t>Marian Bondarewski</t>
  </si>
  <si>
    <t>Patryk Tuderek</t>
  </si>
  <si>
    <t>Michael Smith</t>
  </si>
  <si>
    <t>Gerald Piscaer</t>
  </si>
  <si>
    <t>Fernando Mendieta</t>
  </si>
  <si>
    <t>Lamar Cherry</t>
  </si>
  <si>
    <t>Javier Brock</t>
  </si>
  <si>
    <t>Ilmars Vanags</t>
  </si>
  <si>
    <t>Valério Godoi</t>
  </si>
  <si>
    <t>Valentino Gardner</t>
  </si>
  <si>
    <t>Hector Garzón</t>
  </si>
  <si>
    <t>Lenny Albers</t>
  </si>
  <si>
    <t>Eric Deus</t>
  </si>
  <si>
    <t>Stellan Swardborn</t>
  </si>
  <si>
    <t>Luka Tutoric</t>
  </si>
  <si>
    <t>Mieczysław Grupiński</t>
  </si>
  <si>
    <t>Jarkko Vartainen</t>
  </si>
  <si>
    <t>Nfin</t>
  </si>
  <si>
    <t>POS</t>
  </si>
  <si>
    <t>h34</t>
  </si>
  <si>
    <t>Jugador</t>
  </si>
  <si>
    <t>Anys</t>
  </si>
  <si>
    <t>Dias</t>
  </si>
  <si>
    <t>PA</t>
  </si>
  <si>
    <t>Lid</t>
  </si>
  <si>
    <t>Exp</t>
  </si>
  <si>
    <t>HXP</t>
  </si>
  <si>
    <t>CMn</t>
  </si>
  <si>
    <t>CMx</t>
  </si>
  <si>
    <t>Res</t>
  </si>
  <si>
    <t>m90</t>
  </si>
  <si>
    <t>Fcompra</t>
  </si>
  <si>
    <t>FID</t>
  </si>
  <si>
    <t>For</t>
  </si>
  <si>
    <t>Fmin</t>
  </si>
  <si>
    <t>Fmax</t>
  </si>
  <si>
    <t>TSI</t>
  </si>
  <si>
    <t>Dif</t>
  </si>
  <si>
    <t>Sou</t>
  </si>
  <si>
    <t>Hib</t>
  </si>
  <si>
    <t>Po</t>
  </si>
  <si>
    <t>De</t>
  </si>
  <si>
    <t>Cr</t>
  </si>
  <si>
    <t>Ex</t>
  </si>
  <si>
    <t>Ps</t>
  </si>
  <si>
    <t>An</t>
  </si>
  <si>
    <t>Ability</t>
  </si>
  <si>
    <t>JMn</t>
  </si>
  <si>
    <t>JMx</t>
  </si>
  <si>
    <t>CA</t>
  </si>
  <si>
    <t>TL</t>
  </si>
  <si>
    <t>PEN</t>
  </si>
  <si>
    <t>BPiA</t>
  </si>
  <si>
    <t>BPiD</t>
  </si>
  <si>
    <t>BPMin</t>
  </si>
  <si>
    <t>BPMax</t>
  </si>
  <si>
    <t>Ag</t>
  </si>
  <si>
    <t>Ho</t>
  </si>
  <si>
    <t>%_T</t>
  </si>
  <si>
    <t>Ede</t>
  </si>
  <si>
    <t>Eju</t>
  </si>
  <si>
    <t>Ean</t>
  </si>
  <si>
    <t>EBP</t>
  </si>
  <si>
    <t>DLD</t>
  </si>
  <si>
    <t>DLN</t>
  </si>
  <si>
    <t>DCN</t>
  </si>
  <si>
    <t>DCL</t>
  </si>
  <si>
    <t>DCO</t>
  </si>
  <si>
    <t>INN</t>
  </si>
  <si>
    <t>IND</t>
  </si>
  <si>
    <t>EN</t>
  </si>
  <si>
    <t>ED</t>
  </si>
  <si>
    <t>EM</t>
  </si>
  <si>
    <t>DD</t>
  </si>
  <si>
    <t>LastWeek</t>
  </si>
  <si>
    <t>Coste (m€)</t>
  </si>
  <si>
    <t>#30</t>
  </si>
  <si>
    <t>D. Gehmacher</t>
  </si>
  <si>
    <t>#1</t>
  </si>
  <si>
    <t>IMP</t>
  </si>
  <si>
    <t>#40</t>
  </si>
  <si>
    <t>E. Toney</t>
  </si>
  <si>
    <t>Cantera</t>
  </si>
  <si>
    <t>#36</t>
  </si>
  <si>
    <t>F. Lasprilla</t>
  </si>
  <si>
    <t>#31</t>
  </si>
  <si>
    <t>E. Romweber</t>
  </si>
  <si>
    <t>#35</t>
  </si>
  <si>
    <t>S. Buschelman</t>
  </si>
  <si>
    <t>TEC</t>
  </si>
  <si>
    <t>#2</t>
  </si>
  <si>
    <t>L. Tutorić</t>
  </si>
  <si>
    <t>CAB</t>
  </si>
  <si>
    <t>S. Swärdborn</t>
  </si>
  <si>
    <t>#19</t>
  </si>
  <si>
    <t>A. Grimaud</t>
  </si>
  <si>
    <t>RAP</t>
  </si>
  <si>
    <t>#22</t>
  </si>
  <si>
    <t>V. Gardner</t>
  </si>
  <si>
    <t>#3</t>
  </si>
  <si>
    <t>S. Embe</t>
  </si>
  <si>
    <t>#4</t>
  </si>
  <si>
    <t>E. Deus</t>
  </si>
  <si>
    <t>#16</t>
  </si>
  <si>
    <t>I. Vanags</t>
  </si>
  <si>
    <t>#8</t>
  </si>
  <si>
    <t>I. Stone</t>
  </si>
  <si>
    <t>#14</t>
  </si>
  <si>
    <t>G. Piscaer</t>
  </si>
  <si>
    <t>#9</t>
  </si>
  <si>
    <t>M. Bondarewski</t>
  </si>
  <si>
    <t>#12</t>
  </si>
  <si>
    <t>P. Tuderek</t>
  </si>
  <si>
    <t>#10</t>
  </si>
  <si>
    <t>R. Forsyth</t>
  </si>
  <si>
    <t>POT</t>
  </si>
  <si>
    <t>#11</t>
  </si>
  <si>
    <t>J-P. Kechele</t>
  </si>
  <si>
    <t>#29</t>
  </si>
  <si>
    <t>S. Zobbe</t>
  </si>
  <si>
    <t>#28</t>
  </si>
  <si>
    <t>P .Trivadi</t>
  </si>
  <si>
    <t>COMPLETAMENTE ENTRENADOS!</t>
  </si>
  <si>
    <t>PROMOCIONADOS HISTORIA</t>
  </si>
  <si>
    <t>Edad</t>
  </si>
  <si>
    <t>Esp</t>
  </si>
  <si>
    <t>Asc</t>
  </si>
  <si>
    <t>Fecha</t>
  </si>
  <si>
    <t>Pot</t>
  </si>
  <si>
    <t>JUG</t>
  </si>
  <si>
    <t>LAT</t>
  </si>
  <si>
    <t>PAS</t>
  </si>
  <si>
    <t>ANO</t>
  </si>
  <si>
    <t>BP</t>
  </si>
  <si>
    <t>u20</t>
  </si>
  <si>
    <t>Cap</t>
  </si>
  <si>
    <t>Ca</t>
  </si>
  <si>
    <t>PRIMER EQUIPO</t>
  </si>
  <si>
    <t>Info</t>
  </si>
  <si>
    <t>Habilidades</t>
  </si>
  <si>
    <t>Pot P</t>
  </si>
  <si>
    <t>Pot Def</t>
  </si>
  <si>
    <t>Pot Jug</t>
  </si>
  <si>
    <t>Pot Lat</t>
  </si>
  <si>
    <t>Pot Ano</t>
  </si>
  <si>
    <t>Pot Pas</t>
  </si>
  <si>
    <t>P_BP</t>
  </si>
  <si>
    <t>D. Toh</t>
  </si>
  <si>
    <t>Payne Fields</t>
  </si>
  <si>
    <t>no</t>
  </si>
  <si>
    <t>Agradable i Popular (2-4)</t>
  </si>
  <si>
    <t>B. Bartolache</t>
  </si>
  <si>
    <t>Brendon Hackler</t>
  </si>
  <si>
    <t>C.Ramirez</t>
  </si>
  <si>
    <t>Colton Marcum</t>
  </si>
  <si>
    <t>FC+1</t>
  </si>
  <si>
    <t>Polèmic (1)</t>
  </si>
  <si>
    <t>Jean Carlos Carrasquero</t>
  </si>
  <si>
    <t>E. Gross</t>
  </si>
  <si>
    <t xml:space="preserve">RELEVANTES </t>
  </si>
  <si>
    <t>E.Romweber</t>
  </si>
  <si>
    <t>L. Cherry</t>
  </si>
  <si>
    <t>N. Umair</t>
  </si>
  <si>
    <t>Scotty Duncan</t>
  </si>
  <si>
    <t>C. Rojas</t>
  </si>
  <si>
    <t>Dalton Lindsey</t>
  </si>
  <si>
    <t>ns/nc</t>
  </si>
  <si>
    <t>J. Limon</t>
  </si>
  <si>
    <t>RELLENOS</t>
  </si>
  <si>
    <t>F. Mendieta</t>
  </si>
  <si>
    <t>L. Bauman</t>
  </si>
  <si>
    <t>K. Helms</t>
  </si>
  <si>
    <t>Thomas Williams</t>
  </si>
  <si>
    <t>M. Amico</t>
  </si>
  <si>
    <t>Coby Shaw</t>
  </si>
  <si>
    <t>FC</t>
  </si>
  <si>
    <t>W. Gelifini</t>
  </si>
  <si>
    <t>DeAndre O'Grady</t>
  </si>
  <si>
    <t>S. Buscleman</t>
  </si>
  <si>
    <t>John Castonguay</t>
  </si>
  <si>
    <t>FF-2</t>
  </si>
  <si>
    <t>E. Munguia</t>
  </si>
  <si>
    <t>Malcom Harrigan</t>
  </si>
  <si>
    <t>FF+1</t>
  </si>
  <si>
    <t>G. McGrary</t>
  </si>
  <si>
    <t>Hunter Handel</t>
  </si>
  <si>
    <t>FF+2</t>
  </si>
  <si>
    <t>E. Acosta</t>
  </si>
  <si>
    <t>Colin Murray</t>
  </si>
  <si>
    <t>G. Meza</t>
  </si>
  <si>
    <t>Mick Taylor</t>
  </si>
  <si>
    <t>C. A. Nuñez</t>
  </si>
  <si>
    <t>Bob Jernigan</t>
  </si>
  <si>
    <t>R. Bravo</t>
  </si>
  <si>
    <t>Leandro La Cruz</t>
  </si>
  <si>
    <t>FC+5</t>
  </si>
  <si>
    <t>M. Smith</t>
  </si>
  <si>
    <t>Evan Kohls</t>
  </si>
  <si>
    <t>A. Ong</t>
  </si>
  <si>
    <t>Craig Cali</t>
  </si>
  <si>
    <t>B. Copenhaver</t>
  </si>
  <si>
    <t>Actualización</t>
  </si>
  <si>
    <t>R. Gottfried</t>
  </si>
  <si>
    <t>Capitan</t>
  </si>
  <si>
    <t>P. Trivedi</t>
  </si>
  <si>
    <t>Davis</t>
  </si>
  <si>
    <t>E. Larm</t>
  </si>
  <si>
    <t>D. Amos</t>
  </si>
  <si>
    <t>J. Haskins</t>
  </si>
  <si>
    <t>M. Iverson</t>
  </si>
  <si>
    <t>P. Glenn</t>
  </si>
  <si>
    <t>M. Wells</t>
  </si>
  <si>
    <t>S. Gendron</t>
  </si>
  <si>
    <t>T.J. Burgess</t>
  </si>
  <si>
    <t>D. Bennett</t>
  </si>
  <si>
    <t>Donnie Leffler</t>
  </si>
  <si>
    <t>Victor Chavez</t>
  </si>
  <si>
    <t>B. Moriarty</t>
  </si>
  <si>
    <t>Talon Johnson</t>
  </si>
  <si>
    <t>B. Filler</t>
  </si>
  <si>
    <t>Henry Melillo</t>
  </si>
  <si>
    <t>H. Garzón</t>
  </si>
  <si>
    <t>D. Batchelor</t>
  </si>
  <si>
    <t>T. Robinson</t>
  </si>
  <si>
    <t>Chase Belanger</t>
  </si>
  <si>
    <t>Josh Bilbrey</t>
  </si>
  <si>
    <t>Javonte Patrick</t>
  </si>
  <si>
    <t>Randal Meister</t>
  </si>
  <si>
    <t>D. Waller</t>
  </si>
  <si>
    <t>Z. Fretwell</t>
  </si>
  <si>
    <t>Kelvin Lake</t>
  </si>
  <si>
    <t>Braxton Rose</t>
  </si>
  <si>
    <t>Adrian Ramsey</t>
  </si>
  <si>
    <t>Brent Braunstein</t>
  </si>
  <si>
    <t>Diego Mancilla</t>
  </si>
  <si>
    <t>Adrien Kudo</t>
  </si>
  <si>
    <t>Keith Simonsen</t>
  </si>
  <si>
    <t>C. Sternberg</t>
  </si>
  <si>
    <t>A. M. Fuente</t>
  </si>
  <si>
    <t>Wilson Barragán</t>
  </si>
  <si>
    <t>Dillon Newton</t>
  </si>
  <si>
    <t>Dustin Sessoms</t>
  </si>
  <si>
    <t>Virgilio Cerrud</t>
  </si>
  <si>
    <t>Jerry McGuigan</t>
  </si>
  <si>
    <t>Kurt Bond</t>
  </si>
  <si>
    <t>K. Guzman</t>
  </si>
  <si>
    <t>Gregory Soo</t>
  </si>
  <si>
    <t>Michael Martin</t>
  </si>
  <si>
    <t>5,0-5,9</t>
  </si>
  <si>
    <t>Ernie Majors</t>
  </si>
  <si>
    <t>Derrick Rawson</t>
  </si>
  <si>
    <t>Beau Gaudreau</t>
  </si>
  <si>
    <t>Nicholas Fout</t>
  </si>
  <si>
    <t>Chas Hulbert</t>
  </si>
  <si>
    <t>Randy Carter</t>
  </si>
  <si>
    <t>Steven Glenn</t>
  </si>
  <si>
    <t>Cody Kenny</t>
  </si>
  <si>
    <t>Daniel Miller</t>
  </si>
  <si>
    <t>Helmi Abdou</t>
  </si>
  <si>
    <t>Kyle Failla</t>
  </si>
  <si>
    <t>Eugene Ylanan</t>
  </si>
  <si>
    <t>Terry Risinger</t>
  </si>
  <si>
    <t>Emmanuel Allen</t>
  </si>
  <si>
    <t>Paul James</t>
  </si>
  <si>
    <t>Chaz Sutton</t>
  </si>
  <si>
    <t>Cam Funk</t>
  </si>
  <si>
    <t>Toni Leventhal</t>
  </si>
  <si>
    <t>Parker Pond</t>
  </si>
  <si>
    <t>Billy Davidson</t>
  </si>
  <si>
    <t>Kenneth Coomes</t>
  </si>
  <si>
    <t>Zach Arruda</t>
  </si>
  <si>
    <t>Craig Dunaj</t>
  </si>
  <si>
    <t>Rudolph Waymire</t>
  </si>
  <si>
    <t>Jared Martin</t>
  </si>
  <si>
    <t>Hans Wolf</t>
  </si>
  <si>
    <t>Clayton Roberson</t>
  </si>
  <si>
    <t>Coleman Blake</t>
  </si>
  <si>
    <t>Lance Carr</t>
  </si>
  <si>
    <t>Johnny Davis</t>
  </si>
  <si>
    <t>Alex Baker</t>
  </si>
  <si>
    <t>Collin Pemberton</t>
  </si>
  <si>
    <t>Sorena Rajabzadeh</t>
  </si>
  <si>
    <t>Chester Lanford</t>
  </si>
  <si>
    <t>Num</t>
  </si>
  <si>
    <t>Nombre</t>
  </si>
  <si>
    <t>ESP</t>
  </si>
  <si>
    <t>Años</t>
  </si>
  <si>
    <t>Sueldo</t>
  </si>
  <si>
    <t>S+20%</t>
  </si>
  <si>
    <t>DEFENSA</t>
  </si>
  <si>
    <t>Ordre</t>
  </si>
  <si>
    <t>JUGADAS</t>
  </si>
  <si>
    <t>2 Temporadas Jugadas</t>
  </si>
  <si>
    <t>IMP/CAB</t>
  </si>
  <si>
    <t>1 Temporada Anotacion</t>
  </si>
  <si>
    <t>Fichar Portero+Defensas</t>
  </si>
  <si>
    <t>Total</t>
  </si>
  <si>
    <t>Defensa y BP</t>
  </si>
  <si>
    <t>#5</t>
  </si>
  <si>
    <t>Temp</t>
  </si>
  <si>
    <t>#6</t>
  </si>
  <si>
    <t>#7</t>
  </si>
  <si>
    <t>Inners</t>
  </si>
  <si>
    <t>#13</t>
  </si>
  <si>
    <t>RAP/IMP/CAB</t>
  </si>
  <si>
    <t>Portero</t>
  </si>
  <si>
    <t>Defensa</t>
  </si>
  <si>
    <t>Delantero</t>
  </si>
  <si>
    <t>CAB/IMP</t>
  </si>
  <si>
    <t>BALANCE DE SITUACION Año En Curso</t>
  </si>
  <si>
    <t xml:space="preserve">a cierre de ejercicio </t>
  </si>
  <si>
    <t>IV.11</t>
  </si>
  <si>
    <t>S16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</si>
  <si>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</si>
  <si>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</si>
  <si>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</si>
  <si>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</si>
  <si>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</si>
  <si>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</si>
  <si>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</si>
  <si>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</si>
  <si>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</si>
  <si>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</si>
  <si>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</si>
  <si>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</si>
  <si>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</si>
  <si>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</si>
  <si>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</si>
  <si>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ACTIVO</t>
  </si>
  <si>
    <t>PASIVO</t>
  </si>
  <si>
    <t>Socios</t>
  </si>
  <si>
    <t>RESERVAS</t>
  </si>
  <si>
    <t>Inmobilizado</t>
  </si>
  <si>
    <t>Patrimonio</t>
  </si>
  <si>
    <t>SALDO INICIAL</t>
  </si>
  <si>
    <t>Estadio</t>
  </si>
  <si>
    <t>Capital Inicial</t>
  </si>
  <si>
    <t>Taquillas</t>
  </si>
  <si>
    <t>Entrenador</t>
  </si>
  <si>
    <t>ByP Acum</t>
  </si>
  <si>
    <t>Patrocinadores</t>
  </si>
  <si>
    <t>Amortizaciones</t>
  </si>
  <si>
    <t>Venta de jugadores</t>
  </si>
  <si>
    <t>Ventas</t>
  </si>
  <si>
    <t>VentasCantera</t>
  </si>
  <si>
    <t>Reservas</t>
  </si>
  <si>
    <t>B/P</t>
  </si>
  <si>
    <t>Comisiones</t>
  </si>
  <si>
    <t>Reservas Inicio</t>
  </si>
  <si>
    <t>B/P Jugadores</t>
  </si>
  <si>
    <t>Otros</t>
  </si>
  <si>
    <t>Nuevos Socios</t>
  </si>
  <si>
    <t>B/P Step</t>
  </si>
  <si>
    <t>Premios</t>
  </si>
  <si>
    <t>B/P Cantera</t>
  </si>
  <si>
    <t>Ing Reservas</t>
  </si>
  <si>
    <t>B/P Entrenables</t>
  </si>
  <si>
    <t>TOTAL INGRESOS</t>
  </si>
  <si>
    <t>Jugadores</t>
  </si>
  <si>
    <t>B/P Mercadeo</t>
  </si>
  <si>
    <t>Sueldos</t>
  </si>
  <si>
    <t>Step</t>
  </si>
  <si>
    <t>B/P Act</t>
  </si>
  <si>
    <t xml:space="preserve">Mantenimiento </t>
  </si>
  <si>
    <t>Construcción del estadio</t>
  </si>
  <si>
    <t>Entrenables</t>
  </si>
  <si>
    <t>Compras</t>
  </si>
  <si>
    <t>Empleados</t>
  </si>
  <si>
    <t>Mercadeo</t>
  </si>
  <si>
    <t>Compra</t>
  </si>
  <si>
    <t>Juveniles</t>
  </si>
  <si>
    <t>Compra de jugadores*</t>
  </si>
  <si>
    <t>Pagos LP</t>
  </si>
  <si>
    <t>Viajes+Venta</t>
  </si>
  <si>
    <t>Pago Reservas</t>
  </si>
  <si>
    <t>Cash</t>
  </si>
  <si>
    <t>Intereses</t>
  </si>
  <si>
    <t>Cash Incial</t>
  </si>
  <si>
    <t>TOTAL GASTOS</t>
  </si>
  <si>
    <t>Pagos CP</t>
  </si>
  <si>
    <t>SALDO FINAL</t>
  </si>
  <si>
    <t>Salarios</t>
  </si>
  <si>
    <t>Ingresos</t>
  </si>
  <si>
    <t>Plantilla Medias (mirar antes entreno) (sin entrenador)</t>
  </si>
  <si>
    <t>TSI11</t>
  </si>
  <si>
    <t>Sueldo11</t>
  </si>
  <si>
    <t>Edad11</t>
  </si>
  <si>
    <t>32(17)</t>
  </si>
  <si>
    <t>30(35)</t>
  </si>
  <si>
    <t>28(105)</t>
  </si>
  <si>
    <t>28(108)</t>
  </si>
  <si>
    <t>27(90)</t>
  </si>
  <si>
    <t>26(74)</t>
  </si>
  <si>
    <t>23(11)</t>
  </si>
  <si>
    <t>TOTAL</t>
  </si>
  <si>
    <t>Resistencia11</t>
  </si>
  <si>
    <t>Forma11</t>
  </si>
  <si>
    <t>Experiencia11</t>
  </si>
  <si>
    <t>Hibridación</t>
  </si>
  <si>
    <t xml:space="preserve">Evaluación </t>
  </si>
  <si>
    <t>DCNormal</t>
  </si>
  <si>
    <t>DCOff</t>
  </si>
  <si>
    <t>DLNormal</t>
  </si>
  <si>
    <t>DCtW</t>
  </si>
  <si>
    <t>MDEF</t>
  </si>
  <si>
    <t>Mnor</t>
  </si>
  <si>
    <t>IHL</t>
  </si>
  <si>
    <t>EXTDEF</t>
  </si>
  <si>
    <t>EXTOF</t>
  </si>
  <si>
    <t>EXTN</t>
  </si>
  <si>
    <t>EHM</t>
  </si>
  <si>
    <t>FechaCompra</t>
  </si>
  <si>
    <t>FOR</t>
  </si>
  <si>
    <t>XP</t>
  </si>
  <si>
    <t>NCA</t>
  </si>
  <si>
    <t>BPI_A</t>
  </si>
  <si>
    <t>BPI_D</t>
  </si>
  <si>
    <t>DEFLAT</t>
  </si>
  <si>
    <t>DEFCEN</t>
  </si>
  <si>
    <t>ATLAT</t>
  </si>
  <si>
    <t>ATCEN</t>
  </si>
  <si>
    <t>Zona</t>
  </si>
  <si>
    <t>%</t>
  </si>
  <si>
    <t>Def Central</t>
  </si>
  <si>
    <t>Def Lat</t>
  </si>
  <si>
    <t>Medio</t>
  </si>
  <si>
    <t>At Lateral</t>
  </si>
  <si>
    <t>At Central</t>
  </si>
  <si>
    <t>Evalución sin FORMA</t>
  </si>
  <si>
    <t>N_CA</t>
  </si>
  <si>
    <t>Min</t>
  </si>
  <si>
    <t>Max</t>
  </si>
  <si>
    <t>TL Calculator</t>
  </si>
  <si>
    <t>CA_Calculator</t>
  </si>
  <si>
    <t>Defensas</t>
  </si>
  <si>
    <t>edad</t>
  </si>
  <si>
    <t>LS</t>
  </si>
  <si>
    <t>xpe/17 + (xpc * lid^2) ^ (2/3) / 30</t>
  </si>
  <si>
    <t>Xpe</t>
  </si>
  <si>
    <t>Xpe/16,5</t>
  </si>
  <si>
    <t>Xpe/17</t>
  </si>
  <si>
    <t>donde</t>
  </si>
  <si>
    <t>lid^2</t>
  </si>
  <si>
    <t>xpe es la suma de la experiencia de todos los jugadores</t>
  </si>
  <si>
    <t>Xpc*lid^2</t>
  </si>
  <si>
    <t>xpc es la experiencia del capitán</t>
  </si>
  <si>
    <t>(xpc * lid^2) ^ (2/3) / 27</t>
  </si>
  <si>
    <t>(xpc * lid^2) ^ (2/3) / 30</t>
  </si>
  <si>
    <t>lid es el liderazgo del capitán</t>
  </si>
  <si>
    <t>liderazgo x liderazgo x experiencia</t>
  </si>
  <si>
    <t>Valor lider de "RED BARON"</t>
  </si>
  <si>
    <t>h33</t>
  </si>
  <si>
    <t>CMin</t>
  </si>
  <si>
    <t>CMax</t>
  </si>
  <si>
    <t>Fechallegada</t>
  </si>
  <si>
    <t>FechaTransformación</t>
  </si>
  <si>
    <t>FechaDespido</t>
  </si>
  <si>
    <t>CosteFichaje</t>
  </si>
  <si>
    <t>SueldoJug</t>
  </si>
  <si>
    <t>SueldoEnt</t>
  </si>
  <si>
    <t>CosteTransformación</t>
  </si>
  <si>
    <t>CosteTotal</t>
  </si>
  <si>
    <t>CosteTemporada</t>
  </si>
  <si>
    <t>TempEntrenador</t>
  </si>
  <si>
    <t>ENT</t>
  </si>
  <si>
    <t>S. Sbattelia</t>
  </si>
  <si>
    <t>S. Pignot</t>
  </si>
  <si>
    <t>I. Seccarecci</t>
  </si>
  <si>
    <t>Subnivel Min Seccarecci</t>
  </si>
  <si>
    <t xml:space="preserve">Nivel de Entrenador </t>
  </si>
  <si>
    <t>Experiencia</t>
  </si>
  <si>
    <t xml:space="preserve">Aceptable </t>
  </si>
  <si>
    <t xml:space="preserve">Bueno </t>
  </si>
  <si>
    <t xml:space="preserve">Excelente </t>
  </si>
  <si>
    <t xml:space="preserve">235.200 - 277.700 € </t>
  </si>
  <si>
    <t xml:space="preserve">- </t>
  </si>
  <si>
    <t xml:space="preserve">202.000 - 235.200 € </t>
  </si>
  <si>
    <t xml:space="preserve">681.800 - 794 100 € </t>
  </si>
  <si>
    <t xml:space="preserve">176.900 - 200.000 € </t>
  </si>
  <si>
    <t xml:space="preserve">597.300 - 675.000 € </t>
  </si>
  <si>
    <t xml:space="preserve">4.247.700- 4.800.000 € </t>
  </si>
  <si>
    <t xml:space="preserve">Formidable </t>
  </si>
  <si>
    <t xml:space="preserve">157.400 - 175.400 € </t>
  </si>
  <si>
    <t xml:space="preserve">531.400 - 592.100 € </t>
  </si>
  <si>
    <t xml:space="preserve">3.779.500 - 4.210.500 € </t>
  </si>
  <si>
    <t xml:space="preserve">Destacado </t>
  </si>
  <si>
    <t xml:space="preserve">140.800 - 156.200 € </t>
  </si>
  <si>
    <t xml:space="preserve">475.300 - 527.300 € </t>
  </si>
  <si>
    <t xml:space="preserve">3.380.200 - 3.750.000 € </t>
  </si>
  <si>
    <t xml:space="preserve">Brillante </t>
  </si>
  <si>
    <t xml:space="preserve">128.200 - 139.800 € </t>
  </si>
  <si>
    <t xml:space="preserve">432.600 -472.000 € </t>
  </si>
  <si>
    <t xml:space="preserve">3.076.900 - 3.356.600 € </t>
  </si>
  <si>
    <t xml:space="preserve">Magnífico </t>
  </si>
  <si>
    <t xml:space="preserve">117.600 - 127.300 € </t>
  </si>
  <si>
    <t xml:space="preserve">397.000 - 429.900 € </t>
  </si>
  <si>
    <t xml:space="preserve">2.823.500 - 3.057.300 € </t>
  </si>
  <si>
    <t xml:space="preserve">Clase Mundial </t>
  </si>
  <si>
    <t xml:space="preserve">108.600 - 116.900 € </t>
  </si>
  <si>
    <t xml:space="preserve">366.800 - 394.700 € </t>
  </si>
  <si>
    <t xml:space="preserve">2.608.600 - 2.807.000 € </t>
  </si>
  <si>
    <t xml:space="preserve">Sobrenatural </t>
  </si>
  <si>
    <t xml:space="preserve">100.500 - 108.100 € </t>
  </si>
  <si>
    <t xml:space="preserve">339.100 - 364.800 € </t>
  </si>
  <si>
    <t xml:space="preserve">2.412.000 - 2.594.500 € </t>
  </si>
  <si>
    <t xml:space="preserve">Titánico </t>
  </si>
  <si>
    <t xml:space="preserve">93.800 - 100.000 € </t>
  </si>
  <si>
    <t xml:space="preserve">316.900 - 337.500 € </t>
  </si>
  <si>
    <t xml:space="preserve">2.253.500 - 2.400.000 € </t>
  </si>
  <si>
    <t xml:space="preserve">Extra Terrestre </t>
  </si>
  <si>
    <t xml:space="preserve">88.100 - 93.400 € </t>
  </si>
  <si>
    <t xml:space="preserve">297.300 - 315.400 € </t>
  </si>
  <si>
    <t xml:space="preserve">2.114.500 - 2.242.290 € </t>
  </si>
  <si>
    <t xml:space="preserve">Mítico </t>
  </si>
  <si>
    <t xml:space="preserve">82.600 - 87.700 € </t>
  </si>
  <si>
    <t xml:space="preserve">278.900 - 296.000 € </t>
  </si>
  <si>
    <t xml:space="preserve">1.983.400 - 2.105.200 € </t>
  </si>
  <si>
    <t xml:space="preserve">Mágico </t>
  </si>
  <si>
    <t xml:space="preserve">78.100 - 82.300 € </t>
  </si>
  <si>
    <t xml:space="preserve">263.600 - 277.700 € </t>
  </si>
  <si>
    <t xml:space="preserve">1.875.000 - 1.975.300 € </t>
  </si>
  <si>
    <t xml:space="preserve">Utópico </t>
  </si>
  <si>
    <t xml:space="preserve">74.000 - 77.800 € </t>
  </si>
  <si>
    <t xml:space="preserve">250.000 - 262.600 € </t>
  </si>
  <si>
    <t xml:space="preserve">1.777.700 - 1.867.700 € </t>
  </si>
  <si>
    <t xml:space="preserve">Divino </t>
  </si>
  <si>
    <t xml:space="preserve">47.900 - 73.800 € </t>
  </si>
  <si>
    <t xml:space="preserve">161 800 - 249.000 € </t>
  </si>
  <si>
    <t xml:space="preserve">1 150 800 - 1.771.200 € </t>
  </si>
  <si>
    <t>Ojo, no es directo a calis, es un % para comparar entre varias POS</t>
  </si>
  <si>
    <t>Niveles¿?</t>
  </si>
  <si>
    <t>CALCULADO</t>
  </si>
  <si>
    <t>10niveles</t>
  </si>
  <si>
    <t>15niveles</t>
  </si>
  <si>
    <t>DEFLat1</t>
  </si>
  <si>
    <t>DEFLat2</t>
  </si>
  <si>
    <t>DEFCen</t>
  </si>
  <si>
    <t>MEDIO</t>
  </si>
  <si>
    <t>AtLat1</t>
  </si>
  <si>
    <t>AtLat2</t>
  </si>
  <si>
    <t>AtCen</t>
  </si>
  <si>
    <t>BPIAt</t>
  </si>
  <si>
    <t>BPIDf</t>
  </si>
  <si>
    <t>CEN</t>
  </si>
  <si>
    <t>IDEF</t>
  </si>
  <si>
    <t>EXhM</t>
  </si>
  <si>
    <t>Maximo</t>
  </si>
  <si>
    <t>FORMACION</t>
  </si>
  <si>
    <t>Entrenamiento</t>
  </si>
  <si>
    <t>Sem/1L</t>
  </si>
  <si>
    <t>TODAS</t>
  </si>
  <si>
    <t>PORTERIA</t>
  </si>
  <si>
    <t>352BI</t>
  </si>
  <si>
    <t>LATERAL</t>
  </si>
  <si>
    <t>PASES</t>
  </si>
  <si>
    <t>253BI</t>
  </si>
  <si>
    <t>442CA</t>
  </si>
  <si>
    <t>541CA</t>
  </si>
  <si>
    <t>p</t>
  </si>
  <si>
    <t>DELCEN</t>
  </si>
  <si>
    <t>BPA</t>
  </si>
  <si>
    <t>BPD</t>
  </si>
  <si>
    <t>LATN</t>
  </si>
  <si>
    <t>CENN</t>
  </si>
  <si>
    <t>Ent.NEUTRO</t>
  </si>
  <si>
    <t>Ent.DEF</t>
  </si>
  <si>
    <t>Ent.OF</t>
  </si>
  <si>
    <t>DCHL</t>
  </si>
  <si>
    <t>F.Actu</t>
  </si>
  <si>
    <t>352Id</t>
  </si>
  <si>
    <t>541Id</t>
  </si>
  <si>
    <t>#</t>
  </si>
  <si>
    <t>R16,6%</t>
  </si>
  <si>
    <t>CEOf</t>
  </si>
  <si>
    <t>ChL</t>
  </si>
  <si>
    <t>WBN</t>
  </si>
  <si>
    <t>EXN</t>
  </si>
  <si>
    <t>Id-MED</t>
  </si>
  <si>
    <t>B. Pinczehelyi</t>
  </si>
  <si>
    <t>R12,5%</t>
  </si>
  <si>
    <t>Hab</t>
  </si>
  <si>
    <t>TL-100%</t>
  </si>
  <si>
    <t>TL-R16,6%</t>
  </si>
  <si>
    <t>TL-50%</t>
  </si>
  <si>
    <t>Estado de ánimo de los aficionados</t>
  </si>
  <si>
    <t>Grada general</t>
  </si>
  <si>
    <t>Preferente</t>
  </si>
  <si>
    <t>Tribuna</t>
  </si>
  <si>
    <t>Palco</t>
  </si>
  <si>
    <t>Multiplicador</t>
  </si>
  <si>
    <t>(asistencia = socios X multiplicador)</t>
  </si>
  <si>
    <t>Nuevo</t>
  </si>
  <si>
    <t>CosteContrucción</t>
  </si>
  <si>
    <t>CosteMantenimiento</t>
  </si>
  <si>
    <t>IngresoVenta</t>
  </si>
  <si>
    <t>Ideal</t>
  </si>
  <si>
    <t>Capacidad total:</t>
  </si>
  <si>
    <t>por asiento</t>
  </si>
  <si>
    <t>Coste</t>
  </si>
  <si>
    <t>CosteSemanal</t>
  </si>
  <si>
    <t>1Partido</t>
  </si>
  <si>
    <t>completo</t>
  </si>
  <si>
    <t>Grada general:</t>
  </si>
  <si>
    <t>Preferentes:</t>
  </si>
  <si>
    <t>Tribunas:</t>
  </si>
  <si>
    <t>Palcos:</t>
  </si>
  <si>
    <t>Coste Inicial</t>
  </si>
  <si>
    <t>Coste de Contrucción</t>
  </si>
  <si>
    <t>Aficionados</t>
  </si>
  <si>
    <t>MaxGrada Llena</t>
  </si>
  <si>
    <t>MaxPreferente Lleno</t>
  </si>
  <si>
    <t>MaxTribuna Lleno</t>
  </si>
  <si>
    <t>MaxPalco Lleno</t>
  </si>
  <si>
    <t>Real Grada</t>
  </si>
  <si>
    <t>Real Preferente</t>
  </si>
  <si>
    <t>Real Tribuna</t>
  </si>
  <si>
    <t>Real Palco</t>
  </si>
  <si>
    <t>Ingresos Extra Grada general:</t>
  </si>
  <si>
    <t>Ingresos Extre Preferentes:</t>
  </si>
  <si>
    <t>Ingresos Extra Tribunas:</t>
  </si>
  <si>
    <t>Ingresos Extra Palcos:</t>
  </si>
  <si>
    <t>Coste de Mantenimiento Extra</t>
  </si>
  <si>
    <t>Beneficio Neto Semanal</t>
  </si>
  <si>
    <t>Beneficio Acumulado</t>
  </si>
</sst>
</file>

<file path=xl/styles.xml><?xml version="1.0" encoding="utf-8"?>
<styleSheet xmlns="http://schemas.openxmlformats.org/spreadsheetml/2006/main">
  <numFmts count="32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0.0%"/>
    <numFmt numFmtId="167" formatCode="_-* #,##0\ &quot;€&quot;_-;\-* #,##0\ &quot;€&quot;_-;_-* &quot;-&quot;??\ &quot;€&quot;_-;_-@_-"/>
    <numFmt numFmtId="168" formatCode="_-* #,##0\ [$€-C0A]_-;\-* #,##0\ [$€-C0A]_-;_-* &quot;-&quot;??\ [$€-C0A]_-;_-@_-"/>
    <numFmt numFmtId="169" formatCode="_-* #,##0.00\ [$€-C0A]_-;\-* #,##0.00\ [$€-C0A]_-;_-* &quot;-&quot;??\ [$€-C0A]_-;_-@_-"/>
    <numFmt numFmtId="170" formatCode="_-* #,##0\ _€_-;\-* #,##0\ _€_-;_-* &quot;-&quot;??\ _€_-;_-@_-"/>
    <numFmt numFmtId="171" formatCode="0.0"/>
    <numFmt numFmtId="172" formatCode="0.000"/>
    <numFmt numFmtId="173" formatCode="_-* #,##0.0\ _€_-;\-* #,##0.0\ _€_-;_-* &quot;-&quot;??\ _€_-;_-@_-"/>
    <numFmt numFmtId="174" formatCode="0.0000"/>
    <numFmt numFmtId="175" formatCode="0.00000"/>
    <numFmt numFmtId="176" formatCode="0\ %"/>
    <numFmt numFmtId="177" formatCode="_-* #,##0\ [$€-C0A]_-;\-* #,##0\ [$€-C0A]_-;_-* \-??\ [$€-C0A]_-;_-@_-"/>
    <numFmt numFmtId="178" formatCode="_-* #,##0.00\ [$€-C0A]_-;\-* #,##0.00\ [$€-C0A]_-;_-* \-??\ [$€-C0A]_-;_-@_-"/>
    <numFmt numFmtId="179" formatCode="_-* #,##0\ _€_-;\-* #,##0\ _€_-;_-* \-??\ _€_-;_-@_-"/>
    <numFmt numFmtId="180" formatCode="_-* #,##0&quot; €&quot;_-;\-* #,##0&quot; €&quot;_-;_-* \-??&quot; €&quot;_-;_-@_-"/>
    <numFmt numFmtId="181" formatCode="_-* #,##0.0\ _€_-;\-* #,##0.0\ _€_-;_-* &quot;-&quot;?\ _€_-;_-@_-"/>
    <numFmt numFmtId="14" formatCode="M/D/YYYY"/>
    <numFmt numFmtId="182" formatCode="DD/MM/YYYY;@"/>
    <numFmt numFmtId="9" formatCode="0%"/>
    <numFmt numFmtId="1" formatCode="0"/>
    <numFmt numFmtId="2" formatCode="0.00"/>
    <numFmt numFmtId="10" formatCode="0.00%"/>
  </numFmts>
  <fonts count="53">
    <font>
      <name val="Calibri"/>
      <family val="2"/>
      <color rgb="FF000000"/>
      <sz val="11"/>
      <extLst>
        <ext uri="smNativeData">
          <pm:charSpec xmlns:pm="smNativeData" id="159560178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595601780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59560178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FFFFFF"/>
      <sz val="7.50"/>
      <extLst>
        <ext uri="smNativeData">
          <pm:charSpec xmlns:pm="smNativeData" id="1595601780" fgClr="FFFFFF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b/>
      <color rgb="FF000000"/>
      <sz val="7.50"/>
      <extLst>
        <ext uri="smNativeData">
          <pm:charSpec xmlns:pm="smNativeData" id="1595601780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color rgb="FF000000"/>
      <sz val="7.50"/>
      <extLst>
        <ext uri="smNativeData">
          <pm:charSpec xmlns:pm="smNativeData" id="1595601780" ulstyle="none" kern="1">
            <pm:latin face="Calibri" sz="150" lang="default"/>
            <pm:cs face="Basic Roman" sz="150" lang="default"/>
            <pm:ea face="Basic Roman" sz="150" lang="default"/>
          </pm:charSpec>
        </ext>
      </extLst>
    </font>
    <font>
      <name val="Calibri"/>
      <family val="2"/>
      <b/>
      <color rgb="FF000000"/>
      <sz val="11"/>
      <u val="single"/>
      <extLst>
        <ext uri="smNativeData">
          <pm:charSpec xmlns:pm="smNativeData" id="1595601780" ulstyle="singl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color rgb="FFFF0000"/>
      <sz val="11"/>
      <extLst>
        <ext uri="smNativeData">
          <pm:charSpec xmlns:pm="smNativeData" id="1595601780" fgClr="FF000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000000"/>
      <sz val="10"/>
      <extLst>
        <ext uri="smNativeData">
          <pm:charSpec xmlns:pm="smNativeData" id="1595601780" ulstyle="none" kern="1">
            <pm:latin face="Calibri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000000"/>
      <sz val="14"/>
      <extLst>
        <ext uri="smNativeData">
          <pm:charSpec xmlns:pm="smNativeData" id="159560178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0000"/>
      <sz val="14"/>
      <extLst>
        <ext uri="smNativeData">
          <pm:charSpec xmlns:pm="smNativeData" id="1595601780" fgClr="FF000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0000"/>
      <sz val="10"/>
      <extLst>
        <ext uri="smNativeData">
          <pm:charSpec xmlns:pm="smNativeData" id="1595601780" fgClr="FF0000" ulstyle="none" kern="1">
            <pm:latin face="Calibri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Verdana"/>
      <color rgb="FF000000"/>
      <sz val="8"/>
      <extLst>
        <ext uri="smNativeData">
          <pm:charSpec xmlns:pm="smNativeData" id="1595601780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color rgb="FF000000"/>
      <sz val="10"/>
      <extLst>
        <ext uri="smNativeData">
          <pm:charSpec xmlns:pm="smNativeData" id="1595601780" ulstyle="none" kern="1">
            <pm:latin face="Calibri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color rgb="FFFFFFFF"/>
      <sz val="11"/>
      <extLst>
        <ext uri="smNativeData">
          <pm:charSpec xmlns:pm="smNativeData" id="1595601780" fgClr="FFFFFF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FF0000"/>
      <sz val="11"/>
      <extLst>
        <ext uri="smNativeData">
          <pm:charSpec xmlns:pm="smNativeData" id="1595601780" fgClr="FF00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FFFFFF"/>
      <sz val="11"/>
      <extLst>
        <ext uri="smNativeData">
          <pm:charSpec xmlns:pm="smNativeData" id="1595601780" fgClr="FFFFFF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i/>
      <color rgb="FF000000"/>
      <sz val="11"/>
      <u val="single"/>
      <extLst>
        <ext uri="smNativeData">
          <pm:charSpec xmlns:pm="smNativeData" id="1595601780" ulstyle="singl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Verdana"/>
      <b/>
      <color rgb="FFFFFFFF"/>
      <sz val="8"/>
      <extLst>
        <ext uri="smNativeData">
          <pm:charSpec xmlns:pm="smNativeData" id="1595601780" fgClr="FFFFFF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b/>
      <i/>
      <color rgb="FFFFFFFF"/>
      <sz val="8"/>
      <u val="single"/>
      <extLst>
        <ext uri="smNativeData">
          <pm:charSpec xmlns:pm="smNativeData" id="1595601780" fgClr="FFFFFF" ulstyle="single" kern="1">
            <pm:latin face="Verdana" sz="160" lang="default" weight="bold" i="1"/>
            <pm:cs face="Basic Roman" sz="160" lang="default" weight="bold" i="1"/>
            <pm:ea face="Basic Roman" sz="160" lang="default" weight="bold" i="1"/>
          </pm:charSpec>
        </ext>
      </extLst>
    </font>
    <font>
      <name val="Verdana"/>
      <color rgb="FF000000"/>
      <sz val="16"/>
      <extLst>
        <ext uri="smNativeData">
          <pm:charSpec xmlns:pm="smNativeData" id="1595601780" ulstyle="none" kern="1">
            <pm:latin face="Verdana" sz="320" lang="default"/>
            <pm:cs face="Basic Roman" sz="320" lang="default"/>
            <pm:ea face="Basic Roman" sz="320" lang="default"/>
          </pm:charSpec>
        </ext>
      </extLst>
    </font>
    <font>
      <name val="Verdana"/>
      <color rgb="FF000000"/>
      <sz val="14"/>
      <extLst>
        <ext uri="smNativeData">
          <pm:charSpec xmlns:pm="smNativeData" id="1595601780" ulstyle="none" kern="1">
            <pm:latin face="Verdana" sz="280" lang="default"/>
            <pm:cs face="Basic Roman" sz="280" lang="default"/>
            <pm:ea face="Basic Roman" sz="280" lang="default"/>
          </pm:charSpec>
        </ext>
      </extLst>
    </font>
    <font>
      <name val="Verdana"/>
      <color rgb="FF000000"/>
      <sz val="10"/>
      <extLst>
        <ext uri="smNativeData">
          <pm:charSpec xmlns:pm="smNativeData" id="1595601780" ulstyle="none" kern="1">
            <pm:latin face="Verdana" sz="200" lang="default"/>
            <pm:cs face="Basic Roman" sz="200" lang="default"/>
            <pm:ea face="Basic Roman" sz="200" lang="default"/>
          </pm:charSpec>
        </ext>
      </extLst>
    </font>
    <font>
      <name val="Verdana"/>
      <color rgb="FF000000"/>
      <sz val="8.50"/>
      <extLst>
        <ext uri="smNativeData">
          <pm:charSpec xmlns:pm="smNativeData" id="1595601780" ulstyle="none" kern="1">
            <pm:latin face="Verdana" sz="170" lang="default"/>
            <pm:cs face="Basic Roman" sz="170" lang="default"/>
            <pm:ea face="Basic Roman" sz="170" lang="default"/>
          </pm:charSpec>
        </ext>
      </extLst>
    </font>
    <font>
      <name val="Verdana"/>
      <b/>
      <color rgb="FF000000"/>
      <sz val="8"/>
      <extLst>
        <ext uri="smNativeData">
          <pm:charSpec xmlns:pm="smNativeData" id="1595601780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Calibri"/>
      <family val="2"/>
      <color rgb="FF000000"/>
      <sz val="9"/>
      <extLst>
        <ext uri="smNativeData">
          <pm:charSpec xmlns:pm="smNativeData" id="1595601780" ulstyle="none" kern="1">
            <pm:latin face="Calibri" sz="180" lang="default"/>
            <pm:cs face="Basic Roman" sz="180" lang="default"/>
            <pm:ea face="Basic Roman" sz="180" lang="default"/>
          </pm:charSpec>
        </ext>
      </extLst>
    </font>
    <font>
      <name val="Calibri"/>
      <family val="2"/>
      <i/>
      <color rgb="FF000000"/>
      <sz val="11"/>
      <u val="single"/>
      <extLst>
        <ext uri="smNativeData">
          <pm:charSpec xmlns:pm="smNativeData" id="1595601780" ulstyle="single" kern="1">
            <pm:latin face="Calibri" sz="220" lang="default" i="1"/>
            <pm:cs face="Basic Roman" sz="220" lang="default" i="1"/>
            <pm:ea face="Basic Roman" sz="220" lang="default" i="1"/>
          </pm:charSpec>
        </ext>
      </extLst>
    </font>
    <font>
      <name val="Verdana"/>
      <color rgb="FF974706"/>
      <sz val="8"/>
      <extLst>
        <ext uri="smNativeData">
          <pm:charSpec xmlns:pm="smNativeData" id="1595601780" fgClr="974706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b/>
      <color rgb="FFFF0000"/>
      <sz val="12"/>
      <extLst>
        <ext uri="smNativeData">
          <pm:charSpec xmlns:pm="smNativeData" id="1595601780" fgClr="FF0000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000000"/>
      <sz val="13.50"/>
      <extLst>
        <ext uri="smNativeData">
          <pm:charSpec xmlns:pm="smNativeData" id="1595601780" ulstyle="none" kern="1">
            <pm:latin face="Calibri" sz="270" lang="default" weight="bold"/>
            <pm:cs face="Basic Roman" sz="270" lang="default" weight="bold"/>
            <pm:ea face="Basic Roman" sz="270" lang="default" weight="bold"/>
          </pm:charSpec>
        </ext>
      </extLst>
    </font>
    <font>
      <name val="Verdana"/>
      <b/>
      <color rgb="FF00B050"/>
      <sz val="8"/>
      <extLst>
        <ext uri="smNativeData">
          <pm:charSpec xmlns:pm="smNativeData" id="1595601780" fgClr="00B050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color rgb="FF00B050"/>
      <sz val="8"/>
      <extLst>
        <ext uri="smNativeData">
          <pm:charSpec xmlns:pm="smNativeData" id="1595601780" fgClr="00B050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b/>
      <color rgb="FF000000"/>
      <sz val="12"/>
      <extLst>
        <ext uri="smNativeData">
          <pm:charSpec xmlns:pm="smNativeData" id="1595601780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Arial"/>
      <family val="2"/>
      <color rgb="FF000000"/>
      <sz val="10"/>
      <extLst>
        <ext uri="smNativeData">
          <pm:charSpec xmlns:pm="smNativeData" id="1595601780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b/>
      <color rgb="FFFFFFFF"/>
      <sz val="11"/>
      <u val="single"/>
      <extLst>
        <ext uri="smNativeData">
          <pm:charSpec xmlns:pm="smNativeData" id="1595601780" fgClr="FFFFFF" ulstyle="singl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b/>
      <color rgb="FFFFFFFF"/>
      <sz val="10"/>
      <u val="single"/>
      <extLst>
        <ext uri="smNativeData">
          <pm:charSpec xmlns:pm="smNativeData" id="1595601780" fgClr="FFFFFF" ulstyle="singl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Arial"/>
      <family val="2"/>
      <b/>
      <color rgb="FFFFFFFF"/>
      <sz val="10"/>
      <extLst>
        <ext uri="smNativeData">
          <pm:charSpec xmlns:pm="smNativeData" id="1595601780" fgClr="FFFFFF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color rgb="FF000000"/>
      <sz val="12"/>
      <extLst>
        <ext uri="smNativeData">
          <pm:charSpec xmlns:pm="smNativeData" id="1595601780" ulstyle="none" kern="1">
            <pm:latin face="Calibri" sz="240" lang="default"/>
            <pm:cs face="Basic Roman" sz="240" lang="default"/>
            <pm:ea face="Basic Roman" sz="240" lang="default"/>
          </pm:charSpec>
        </ext>
      </extLst>
    </font>
    <font>
      <name val="Calibri"/>
      <family val="2"/>
      <color rgb="FFFF0000"/>
      <sz val="12"/>
      <extLst>
        <ext uri="smNativeData">
          <pm:charSpec xmlns:pm="smNativeData" id="1595601780" fgClr="FF0000" ulstyle="none" kern="1">
            <pm:latin face="Calibri" sz="240" lang="default"/>
            <pm:cs face="Basic Roman" sz="240" lang="default"/>
            <pm:ea face="Basic Roman" sz="240" lang="default"/>
          </pm:charSpec>
        </ext>
      </extLst>
    </font>
    <font>
      <name val="Calibri"/>
      <family val="2"/>
      <b/>
      <i/>
      <color rgb="FF000000"/>
      <sz val="12"/>
      <u val="single"/>
      <extLst>
        <ext uri="smNativeData">
          <pm:charSpec xmlns:pm="smNativeData" id="1595601780" ulstyle="single" kern="1">
            <pm:latin face="Calibri" sz="240" lang="default" weight="bold" i="1"/>
            <pm:cs face="Basic Roman" sz="240" lang="default" weight="bold" i="1"/>
            <pm:ea face="Basic Roman" sz="240" lang="default" weight="bold" i="1"/>
          </pm:charSpec>
        </ext>
      </extLst>
    </font>
    <font>
      <name val="Calibri"/>
      <family val="2"/>
      <b/>
      <i/>
      <color rgb="FF000000"/>
      <sz val="11"/>
      <extLst>
        <ext uri="smNativeData">
          <pm:charSpec xmlns:pm="smNativeData" id="1595601780" ulstyle="non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Arial"/>
      <family val="2"/>
      <b/>
      <i/>
      <color rgb="FF000000"/>
      <sz val="14"/>
      <u val="single"/>
      <extLst>
        <ext uri="smNativeData">
          <pm:charSpec xmlns:pm="smNativeData" id="1595601780" ulstyle="single" kern="1">
            <pm:latin face="Arial" sz="280" lang="default" weight="bold" i="1"/>
            <pm:cs face="Basic Roman" sz="280" lang="default" weight="bold" i="1"/>
            <pm:ea face="Basic Roman" sz="280" lang="default" weight="bold" i="1"/>
          </pm:charSpec>
        </ext>
      </extLst>
    </font>
    <font>
      <name val="Calibri"/>
      <family val="2"/>
      <b/>
      <i/>
      <color rgb="FFFF0000"/>
      <sz val="12"/>
      <u val="single"/>
      <extLst>
        <ext uri="smNativeData">
          <pm:charSpec xmlns:pm="smNativeData" id="1595601780" fgClr="FF0000" ulstyle="single" kern="1">
            <pm:latin face="Calibri" sz="240" lang="default" weight="bold" i="1"/>
            <pm:cs face="Basic Roman" sz="240" lang="default" weight="bold" i="1"/>
            <pm:ea face="Basic Roman" sz="240" lang="default" weight="bold" i="1"/>
          </pm:charSpec>
        </ext>
      </extLst>
    </font>
    <font>
      <name val="Calibri"/>
      <family val="2"/>
      <b/>
      <color rgb="FF385724"/>
      <sz val="11"/>
      <extLst>
        <ext uri="smNativeData">
          <pm:charSpec xmlns:pm="smNativeData" id="1595601780" fgClr="385724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16"/>
      <extLst>
        <ext uri="smNativeData">
          <pm:charSpec xmlns:pm="smNativeData" id="1595601780" ulstyle="none" kern="1">
            <pm:latin face="Calibri" sz="320" lang="default" weight="bold"/>
            <pm:cs face="Basic Roman" sz="320" lang="default" weight="bold"/>
            <pm:ea face="Basic Roman" sz="320" lang="default" weight="bold"/>
          </pm:charSpec>
        </ext>
      </extLst>
    </font>
    <font>
      <name val="Calibri"/>
      <family val="2"/>
      <b/>
      <color rgb="FFFFFFFF"/>
      <sz val="14"/>
      <extLst>
        <ext uri="smNativeData">
          <pm:charSpec xmlns:pm="smNativeData" id="1595601780" fgClr="FFFFFF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535353"/>
      <sz val="14"/>
      <extLst>
        <ext uri="smNativeData">
          <pm:charSpec xmlns:pm="smNativeData" id="1595601780" fgClr="535353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548235"/>
      <sz val="11"/>
      <extLst>
        <ext uri="smNativeData">
          <pm:charSpec xmlns:pm="smNativeData" id="1595601780" fgClr="548235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B050"/>
      <sz val="14"/>
      <extLst>
        <ext uri="smNativeData">
          <pm:charSpec xmlns:pm="smNativeData" id="1595601780" fgClr="00B05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00B050"/>
      <sz val="11"/>
      <extLst>
        <ext uri="smNativeData">
          <pm:charSpec xmlns:pm="smNativeData" id="1595601780" fgClr="00B05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000000"/>
      <sz val="8"/>
      <extLst>
        <ext uri="smNativeData">
          <pm:charSpec xmlns:pm="smNativeData" id="1595601780" ulstyle="none" kern="1">
            <pm:latin face="Calibri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Calibri"/>
      <family val="2"/>
      <color rgb="FF000000"/>
      <sz val="8"/>
      <extLst>
        <ext uri="smNativeData">
          <pm:charSpec xmlns:pm="smNativeData" id="1595601780" ulstyle="none" kern="1">
            <pm:latin face="Calibri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b/>
      <color rgb="FFFFFFFF"/>
      <sz val="8"/>
      <extLst>
        <ext uri="smNativeData">
          <pm:charSpec xmlns:pm="smNativeData" id="1595601780" fgClr="FFFFFF" ulstyle="none" kern="1">
            <pm:latin face="Calibri" sz="160" lang="default" weight="bold"/>
            <pm:cs face="Basic Roman" sz="160" lang="default" weight="bold"/>
            <pm:ea face="Basic Roman" sz="160" lang="default" weight="bold"/>
          </pm:charSpec>
        </ext>
      </extLst>
    </font>
  </fonts>
  <fills count="134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000000"/>
        <bgColor rgb="FFFFFFFF"/>
        <extLst>
          <ext uri="smNativeData">
            <pm:shade xmlns:pm="smNativeData" id="1595601780" type="1" fgLvl="100" fgClr="00000000" bgLvl="0" bgClr="00FFFFFF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601780" type="1" fgLvl="100" fgClr="00FFFF00" bgLvl="0" bgClr="00FFFFFF"/>
          </ext>
        </extLst>
      </patternFill>
    </fill>
    <fill>
      <patternFill patternType="solid">
        <fgColor rgb="FFFFFFCC"/>
        <bgColor rgb="FFFFFFFF"/>
        <extLst>
          <ext uri="smNativeData">
            <pm:shade xmlns:pm="smNativeData" id="1595601780" type="1" fgLvl="100" fgClr="00FFFFCC" bgLvl="0" bgClr="00FFFFFF"/>
          </ext>
        </extLst>
      </patternFill>
    </fill>
    <fill>
      <patternFill patternType="none"/>
    </fill>
    <fill>
      <patternFill patternType="solid">
        <fgColor rgb="FFCCCCCC"/>
        <bgColor rgb="FFFFFFFF"/>
        <extLst>
          <ext uri="smNativeData">
            <pm:shade xmlns:pm="smNativeData" id="1595601780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5601780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5601780" type="1" fgLvl="100" fgClr="00CCCCCC" bgLvl="0" bgClr="00FFFFFF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95601780" type="1" fgLvl="100" fgClr="00E26B0A" bgLvl="0" bgClr="00FFFFFF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95601780" type="1" fgLvl="100" fgClr="00E26B0A" bgLvl="0" bgClr="00FFFFFF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5601780" type="1" fgLvl="100" fgClr="0092D050" bgLvl="0" bgClr="00FFFFFF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5601780" type="1" fgLvl="100" fgClr="0092D050" bgLvl="0" bgClr="00FFFFFF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601780" type="1" fgLvl="100" fgClr="00FFFF00" bgLvl="0" bgClr="00FFFFFF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5601780" type="1" fgLvl="100" fgClr="00D8D8D8" bgLvl="0" bgClr="00FFFFFF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601780" type="1" fgLvl="100" fgClr="00FFFF00" bgLvl="0" bgClr="00FFFFFF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95601780" type="1" fgLvl="100" fgClr="00FFC000" bgLvl="0" bgClr="00FFFFFF"/>
          </ext>
        </extLst>
      </patternFill>
    </fill>
    <fill>
      <patternFill patternType="solid">
        <fgColor rgb="FF8DB4E2"/>
        <bgColor rgb="FFFFFFFF"/>
        <extLst>
          <ext uri="smNativeData">
            <pm:shade xmlns:pm="smNativeData" id="1595601780" type="1" fgLvl="100" fgClr="008DB4E2" bgLvl="0" bgClr="00FFFFFF"/>
          </ext>
        </extLst>
      </patternFill>
    </fill>
    <fill>
      <patternFill patternType="solid">
        <fgColor rgb="FFC2D69A"/>
        <bgColor rgb="FFFFFFFF"/>
        <extLst>
          <ext uri="smNativeData">
            <pm:shade xmlns:pm="smNativeData" id="1595601780" type="1" fgLvl="100" fgClr="00C2D69A" bgLvl="0" bgClr="00FFFFFF"/>
          </ext>
        </extLst>
      </patternFill>
    </fill>
    <fill>
      <patternFill patternType="solid">
        <fgColor rgb="FFE6B8B7"/>
        <bgColor rgb="FFFFFFFF"/>
        <extLst>
          <ext uri="smNativeData">
            <pm:shade xmlns:pm="smNativeData" id="1595601780" type="1" fgLvl="100" fgClr="00E6B8B7" bgLvl="0" bgClr="00FFFFFF"/>
          </ext>
        </extLst>
      </patternFill>
    </fill>
    <fill>
      <patternFill patternType="solid">
        <fgColor rgb="FFD7E3BB"/>
        <bgColor rgb="FFFFFFFF"/>
        <extLst>
          <ext uri="smNativeData">
            <pm:shade xmlns:pm="smNativeData" id="1595601780" type="1" fgLvl="100" fgClr="00D7E3BB" bgLvl="0" bgClr="00FFFFFF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5601780" type="1" fgLvl="100" fgClr="00FFFFFF" bgLvl="0" bgClr="00FFFFFF"/>
          </ext>
        </extLst>
      </patternFill>
    </fill>
    <fill>
      <patternFill patternType="solid">
        <fgColor rgb="FFEEEEEE"/>
        <bgColor rgb="FFFFFFFF"/>
        <extLst>
          <ext uri="smNativeData">
            <pm:shade xmlns:pm="smNativeData" id="1595601780" type="1" fgLvl="100" fgClr="00EEEEEE" bgLvl="0" bgClr="00FFFFFF"/>
          </ext>
        </extLst>
      </patternFill>
    </fill>
    <fill>
      <patternFill patternType="solid">
        <fgColor rgb="FFF2F2F2"/>
        <bgColor rgb="FFFFFFFF"/>
        <extLst>
          <ext uri="smNativeData">
            <pm:shade xmlns:pm="smNativeData" id="1595601780" type="1" fgLvl="100" fgClr="00F2F2F2" bgLvl="0" bgClr="00FFFFFF"/>
          </ext>
        </extLst>
      </patternFill>
    </fill>
    <fill>
      <patternFill patternType="solid">
        <fgColor rgb="FFFFFFDD"/>
        <bgColor rgb="FFFFFFFF"/>
        <extLst>
          <ext uri="smNativeData">
            <pm:shade xmlns:pm="smNativeData" id="1595601780" type="1" fgLvl="100" fgClr="00FFFFDD" bgLvl="0" bgClr="00FFFFFF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95601780" type="1" fgLvl="100" fgClr="00E26B0A" bgLvl="0" bgClr="00FFFFFF"/>
          </ext>
        </extLst>
      </patternFill>
    </fill>
    <fill>
      <patternFill patternType="solid">
        <fgColor rgb="FFDDD9C4"/>
        <bgColor rgb="FFFFFFFF"/>
        <extLst>
          <ext uri="smNativeData">
            <pm:shade xmlns:pm="smNativeData" id="1595601780" type="1" fgLvl="100" fgClr="00DDD9C4" bgLvl="0" bgClr="00FFFFFF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5601780" type="1" fgLvl="100" fgClr="00000000" bgLvl="0" bgClr="00FFFFFF"/>
          </ext>
        </extLst>
      </patternFill>
    </fill>
    <fill>
      <patternFill patternType="solid">
        <fgColor rgb="FF366092"/>
        <bgColor rgb="FFFFFFFF"/>
        <extLst>
          <ext uri="smNativeData">
            <pm:shade xmlns:pm="smNativeData" id="1595601780" type="1" fgLvl="100" fgClr="00366092" bgLvl="0" bgClr="00FFFFFF"/>
          </ext>
        </extLst>
      </patternFill>
    </fill>
    <fill>
      <patternFill patternType="solid">
        <fgColor rgb="FFB7DEE8"/>
        <bgColor rgb="FFFFFFFF"/>
        <extLst>
          <ext uri="smNativeData">
            <pm:shade xmlns:pm="smNativeData" id="1595601780" type="1" fgLvl="100" fgClr="00B7DEE8" bgLvl="0" bgClr="00FFFFFF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5601780" type="1" fgLvl="100" fgClr="00DAEEF3" bgLvl="0" bgClr="00FFFFFF"/>
          </ext>
        </extLst>
      </patternFill>
    </fill>
    <fill>
      <patternFill patternType="solid">
        <fgColor rgb="FFFABF8F"/>
        <bgColor rgb="FFFFFFFF"/>
        <extLst>
          <ext uri="smNativeData">
            <pm:shade xmlns:pm="smNativeData" id="1595601780" type="1" fgLvl="100" fgClr="00FABF8F" bgLvl="0" bgClr="00FFFFFF"/>
          </ext>
        </extLst>
      </patternFill>
    </fill>
    <fill>
      <patternFill patternType="solid">
        <fgColor rgb="FFC2D69A"/>
        <bgColor rgb="FFFFFFFF"/>
        <extLst>
          <ext uri="smNativeData">
            <pm:shade xmlns:pm="smNativeData" id="1595601780" type="1" fgLvl="100" fgClr="00C2D69A" bgLvl="0" bgClr="00FFFFFF"/>
          </ext>
        </extLst>
      </patternFill>
    </fill>
    <fill>
      <patternFill patternType="solid">
        <fgColor rgb="FFB8CCE4"/>
        <bgColor rgb="FFFFFFFF"/>
        <extLst>
          <ext uri="smNativeData">
            <pm:shade xmlns:pm="smNativeData" id="1595601780" type="1" fgLvl="100" fgClr="00B8CCE4" bgLvl="0" bgClr="00FFFFFF"/>
          </ext>
        </extLst>
      </patternFill>
    </fill>
    <fill>
      <patternFill patternType="solid">
        <fgColor rgb="FF366092"/>
        <bgColor rgb="FFFFFFFF"/>
        <extLst>
          <ext uri="smNativeData">
            <pm:shade xmlns:pm="smNativeData" id="1595601780" type="1" fgLvl="100" fgClr="00366092" bgLvl="0" bgClr="00FFFFFF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5601780" type="1" fgLvl="100" fgClr="00FFFFFF" bgLvl="0" bgClr="00FFFFFF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5601780" type="1" fgLvl="100" fgClr="00D8D8D8" bgLvl="0" bgClr="00FFFFFF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601780" type="1" fgLvl="100" fgClr="00FFFF00" bgLvl="0" bgClr="00FFFFFF"/>
          </ext>
        </extLst>
      </patternFill>
    </fill>
    <fill>
      <patternFill patternType="solid">
        <fgColor rgb="FF0070C0"/>
        <bgColor rgb="FFFFFFFF"/>
        <extLst>
          <ext uri="smNativeData">
            <pm:shade xmlns:pm="smNativeData" id="1595601780" type="1" fgLvl="100" fgClr="000070C0" bgLvl="0" bgClr="00FFFFFF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95601780" type="1" fgLvl="100" fgClr="00E26B0A" bgLvl="0" bgClr="00FFFFFF"/>
          </ext>
        </extLst>
      </patternFill>
    </fill>
    <fill>
      <patternFill patternType="solid">
        <fgColor rgb="FF76933C"/>
        <bgColor rgb="FFFFFFFF"/>
        <extLst>
          <ext uri="smNativeData">
            <pm:shade xmlns:pm="smNativeData" id="1595601780" type="1" fgLvl="100" fgClr="0076933C" bgLvl="0" bgClr="00FFFFFF"/>
          </ext>
        </extLst>
      </patternFill>
    </fill>
    <fill>
      <patternFill patternType="solid">
        <fgColor rgb="FF002060"/>
        <bgColor rgb="FFFFFFFF"/>
        <extLst>
          <ext uri="smNativeData">
            <pm:shade xmlns:pm="smNativeData" id="1595601780" type="1" fgLvl="100" fgClr="00002060" bgLvl="0" bgClr="00FFFFFF"/>
          </ext>
        </extLst>
      </patternFill>
    </fill>
    <fill>
      <patternFill patternType="solid">
        <fgColor rgb="FF7030A0"/>
        <bgColor rgb="FFFFFFFF"/>
        <extLst>
          <ext uri="smNativeData">
            <pm:shade xmlns:pm="smNativeData" id="1595601780" type="1" fgLvl="100" fgClr="007030A0" bgLvl="0" bgClr="00FFFFFF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5601780" type="1" fgLvl="100" fgClr="0000B050" bgLvl="0" bgClr="00FFFFFF"/>
          </ext>
        </extLst>
      </patternFill>
    </fill>
    <fill>
      <patternFill patternType="none"/>
    </fill>
    <fill>
      <patternFill patternType="solid">
        <fgColor rgb="FFDAEEF3"/>
        <bgColor rgb="FFFFFFFF"/>
        <extLst>
          <ext uri="smNativeData">
            <pm:shade xmlns:pm="smNativeData" id="1595601780" type="1" fgLvl="100" fgClr="00DAEEF3" bgLvl="0" bgClr="00FFFFFF"/>
          </ext>
        </extLst>
      </patternFill>
    </fill>
    <fill>
      <patternFill patternType="none"/>
    </fill>
    <fill>
      <patternFill patternType="none"/>
    </fill>
    <fill>
      <patternFill patternType="solid">
        <fgColor rgb="FF92D050"/>
        <bgColor rgb="FFFFFFFF"/>
        <extLst>
          <ext uri="smNativeData">
            <pm:shade xmlns:pm="smNativeData" id="1595601780" type="1" fgLvl="100" fgClr="0092D050" bgLvl="0" bgClr="00FFFFFF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92CDDC"/>
        <bgColor rgb="FFFFFFFF"/>
        <extLst>
          <ext uri="smNativeData">
            <pm:shade xmlns:pm="smNativeData" id="1595601780" type="1" fgLvl="100" fgClr="0092CDDC" bgLvl="0" bgClr="00FFFFFF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95601780" type="1" fgLvl="100" fgClr="00FFC000" bgLvl="0" bgClr="00FFFFFF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95601780" type="1" fgLvl="100" fgClr="00E26B0A" bgLvl="0" bgClr="00FFFFFF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95601780" type="1" fgLvl="100" fgClr="00E26B0A" bgLvl="0" bgClr="00FFFFFF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95601780" type="1" fgLvl="100" fgClr="00FFC000" bgLvl="0" bgClr="00FFFFFF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D8D8D8"/>
        <bgColor rgb="FFFFFFFF"/>
        <extLst>
          <ext uri="smNativeData">
            <pm:shade xmlns:pm="smNativeData" id="1595601780" type="1" fgLvl="100" fgClr="00D8D8D8" bgLvl="0" bgClr="00FFFFFF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5601780" type="1" fgLvl="100" fgClr="00DAEEF3" bgLvl="0" bgClr="00FFFFFF"/>
          </ext>
        </extLst>
      </patternFill>
    </fill>
    <fill>
      <patternFill patternType="solid">
        <fgColor rgb="FF366092"/>
        <bgColor rgb="FFFFFFFF"/>
        <extLst>
          <ext uri="smNativeData">
            <pm:shade xmlns:pm="smNativeData" id="1595601780" type="1" fgLvl="100" fgClr="00366092" bgLvl="0" bgClr="00FFFFFF"/>
          </ext>
        </extLst>
      </patternFill>
    </fill>
    <fill>
      <patternFill patternType="solid">
        <fgColor rgb="FFEEEEEE"/>
        <bgColor rgb="FFFFFFFF"/>
        <extLst>
          <ext uri="smNativeData">
            <pm:shade xmlns:pm="smNativeData" id="1595601780" type="1" fgLvl="100" fgClr="00EEEEEE" bgLvl="0" bgClr="00FFFFFF"/>
          </ext>
        </extLst>
      </patternFill>
    </fill>
    <fill>
      <patternFill patternType="solid">
        <fgColor rgb="FFF2DCDB"/>
        <bgColor rgb="FFFFFFFF"/>
        <extLst>
          <ext uri="smNativeData">
            <pm:shade xmlns:pm="smNativeData" id="1595601780" type="1" fgLvl="100" fgClr="00F2DCDB" bgLvl="0" bgClr="00FFFFFF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601780" type="1" fgLvl="100" fgClr="00EBF1DC" bgLvl="0" bgClr="00FFFFFF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601780" type="1" fgLvl="100" fgClr="00EBF1DC" bgLvl="0" bgClr="00FFFFFF"/>
          </ext>
        </extLst>
      </patternFill>
    </fill>
    <fill>
      <patternFill patternType="solid">
        <fgColor rgb="FFF2DCDB"/>
        <bgColor rgb="FFFFFFFF"/>
        <extLst>
          <ext uri="smNativeData">
            <pm:shade xmlns:pm="smNativeData" id="1595601780" type="1" fgLvl="100" fgClr="00F2DCDB" bgLvl="0" bgClr="00FFFFFF"/>
          </ext>
        </extLst>
      </patternFill>
    </fill>
    <fill>
      <patternFill patternType="solid">
        <fgColor rgb="FF666699"/>
        <bgColor rgb="FFFFFFFF"/>
        <extLst>
          <ext uri="smNativeData">
            <pm:shade xmlns:pm="smNativeData" id="1595601780" type="1" fgLvl="100" fgClr="00666699" bgLvl="0" bgClr="00FFFFFF"/>
          </ext>
        </extLst>
      </patternFill>
    </fill>
    <fill>
      <patternFill patternType="solid">
        <fgColor rgb="FFC0C0C0"/>
        <bgColor rgb="FFFFFFFF"/>
        <extLst>
          <ext uri="smNativeData">
            <pm:shade xmlns:pm="smNativeData" id="1595601780" type="1" fgLvl="100" fgClr="00C0C0C0" bgLvl="0" bgClr="00FFFFFF"/>
          </ext>
        </extLst>
      </patternFill>
    </fill>
    <fill>
      <patternFill patternType="solid">
        <fgColor rgb="FF008080"/>
        <bgColor rgb="FFFFFFFF"/>
        <extLst>
          <ext uri="smNativeData">
            <pm:shade xmlns:pm="smNativeData" id="1595601780" type="1" fgLvl="100" fgClr="00008080" bgLvl="0" bgClr="00FFFFFF"/>
          </ext>
        </extLst>
      </patternFill>
    </fill>
    <fill>
      <patternFill patternType="solid">
        <fgColor rgb="FFCCFFFF"/>
        <bgColor rgb="FFFFFFFF"/>
        <extLst>
          <ext uri="smNativeData">
            <pm:shade xmlns:pm="smNativeData" id="1595601780" type="1" fgLvl="100" fgClr="00CCFFFF" bgLvl="0" bgClr="00FFFFFF"/>
          </ext>
        </extLst>
      </patternFill>
    </fill>
    <fill>
      <patternFill patternType="solid">
        <fgColor rgb="FF99CC00"/>
        <bgColor rgb="FFFFFFFF"/>
        <extLst>
          <ext uri="smNativeData">
            <pm:shade xmlns:pm="smNativeData" id="1595601780" type="1" fgLvl="100" fgClr="0099CC00" bgLvl="0" bgClr="00FFFFFF"/>
          </ext>
        </extLst>
      </patternFill>
    </fill>
    <fill>
      <patternFill patternType="solid">
        <fgColor rgb="FF99CCFF"/>
        <bgColor rgb="FFFFFFFF"/>
        <extLst>
          <ext uri="smNativeData">
            <pm:shade xmlns:pm="smNativeData" id="1595601780" type="1" fgLvl="100" fgClr="0099CCFF" bgLvl="0" bgClr="00FFFFFF"/>
          </ext>
        </extLst>
      </patternFill>
    </fill>
    <fill>
      <patternFill patternType="solid">
        <fgColor rgb="FF008080"/>
        <bgColor rgb="FFFFFFFF"/>
        <extLst>
          <ext uri="smNativeData">
            <pm:shade xmlns:pm="smNativeData" id="1595601780" type="1" fgLvl="100" fgClr="00008080" bgLvl="0" bgClr="00FFFFFF"/>
          </ext>
        </extLst>
      </patternFill>
    </fill>
    <fill>
      <patternFill patternType="solid">
        <fgColor rgb="FF008080"/>
        <bgColor rgb="FFFFFFFF"/>
        <extLst>
          <ext uri="smNativeData">
            <pm:shade xmlns:pm="smNativeData" id="1595601780" type="1" fgLvl="100" fgClr="00008080" bgLvl="0" bgClr="00FFFFFF"/>
          </ext>
        </extLst>
      </patternFill>
    </fill>
    <fill>
      <patternFill patternType="solid">
        <fgColor rgb="FF99CC00"/>
        <bgColor rgb="FFFFFFFF"/>
        <extLst>
          <ext uri="smNativeData">
            <pm:shade xmlns:pm="smNativeData" id="1595601780" type="1" fgLvl="100" fgClr="0099CC00" bgLvl="0" bgClr="00FFFFFF"/>
          </ext>
        </extLst>
      </patternFill>
    </fill>
    <fill>
      <patternFill patternType="solid">
        <fgColor rgb="FF99CCFF"/>
        <bgColor rgb="FFFFFFFF"/>
        <extLst>
          <ext uri="smNativeData">
            <pm:shade xmlns:pm="smNativeData" id="1595601780" type="1" fgLvl="100" fgClr="0099CCFF" bgLvl="0" bgClr="00FFFFFF"/>
          </ext>
        </extLst>
      </patternFill>
    </fill>
    <fill>
      <patternFill patternType="solid">
        <fgColor rgb="FFFFCC00"/>
        <bgColor rgb="FFFFFFFF"/>
        <extLst>
          <ext uri="smNativeData">
            <pm:shade xmlns:pm="smNativeData" id="1595601780" type="1" fgLvl="100" fgClr="00FFCC00" bgLvl="0" bgClr="00FFFFFF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5601780" type="1" fgLvl="100" fgClr="00FDE9D9" bgLvl="0" bgClr="00FFFFFF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95601780" type="1" fgLvl="100" fgClr="00FFE699" bgLvl="0" bgClr="00FFFFFF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95601780" type="1" fgLvl="100" fgClr="00FFE699" bgLvl="0" bgClr="00FFFFFF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5601780" type="1" fgLvl="100" fgClr="00000000" bgLvl="0" bgClr="00FFFFFF"/>
          </ext>
        </extLst>
      </patternFill>
    </fill>
    <fill>
      <patternFill patternType="solid">
        <fgColor rgb="FFDAE3F3"/>
        <bgColor rgb="FFFFFFFF"/>
        <extLst>
          <ext uri="smNativeData">
            <pm:shade xmlns:pm="smNativeData" id="1595601780" type="1" fgLvl="100" fgClr="00DAE3F3" bgLvl="0" bgClr="00FFFFFF"/>
          </ext>
        </extLst>
      </patternFill>
    </fill>
    <fill>
      <patternFill patternType="solid">
        <fgColor rgb="FFDBDBDB"/>
        <bgColor rgb="FFFFFFFF"/>
        <extLst>
          <ext uri="smNativeData">
            <pm:shade xmlns:pm="smNativeData" id="1595601780" type="1" fgLvl="100" fgClr="00DBDBDB" bgLvl="0" bgClr="00FFFFFF"/>
          </ext>
        </extLst>
      </patternFill>
    </fill>
    <fill>
      <patternFill patternType="solid">
        <fgColor rgb="FFB8CCE4"/>
        <bgColor rgb="FFFFFFFF"/>
        <extLst>
          <ext uri="smNativeData">
            <pm:shade xmlns:pm="smNativeData" id="1595601780" type="1" fgLvl="100" fgClr="00B8CCE4" bgLvl="0" bgClr="00FFFFFF"/>
          </ext>
        </extLst>
      </patternFill>
    </fill>
    <fill>
      <patternFill patternType="solid">
        <fgColor rgb="FFB8CCE4"/>
        <bgColor rgb="FFFFFFFF"/>
        <extLst>
          <ext uri="smNativeData">
            <pm:shade xmlns:pm="smNativeData" id="1595601780" type="1" fgLvl="100" fgClr="00B8CCE4" bgLvl="0" bgClr="00FFFFFF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5601780" type="1" fgLvl="100" fgClr="00D8D8D8" bgLvl="0" bgClr="00FFFFFF"/>
          </ext>
        </extLst>
      </patternFill>
    </fill>
    <fill>
      <patternFill patternType="solid">
        <fgColor rgb="FFF2DCDB"/>
        <bgColor rgb="FFFFFFFF"/>
        <extLst>
          <ext uri="smNativeData">
            <pm:shade xmlns:pm="smNativeData" id="1595601780" type="1" fgLvl="100" fgClr="00F2DCDB" bgLvl="0" bgClr="00FFFFFF"/>
          </ext>
        </extLst>
      </patternFill>
    </fill>
    <fill>
      <patternFill patternType="solid">
        <fgColor rgb="FFF2DCDB"/>
        <bgColor rgb="FFFFFFFF"/>
        <extLst>
          <ext uri="smNativeData">
            <pm:shade xmlns:pm="smNativeData" id="1595601780" type="1" fgLvl="100" fgClr="00F2DCDB" bgLvl="0" bgClr="00FFFFFF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601780" type="1" fgLvl="100" fgClr="00EBF1DC" bgLvl="0" bgClr="00FFFFFF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601780" type="1" fgLvl="100" fgClr="00EBF1DC" bgLvl="0" bgClr="00FFFFFF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95601780" type="1" fgLvl="100" fgClr="00F8CBAD" bgLvl="0" bgClr="00FFFFFF"/>
          </ext>
        </extLst>
      </patternFill>
    </fill>
    <fill>
      <patternFill patternType="solid">
        <fgColor rgb="FFE4DFEC"/>
        <bgColor rgb="FFFFFFFF"/>
        <extLst>
          <ext uri="smNativeData">
            <pm:shade xmlns:pm="smNativeData" id="1595601780" type="1" fgLvl="100" fgClr="00E4DFEC" bgLvl="0" bgClr="00FFFFFF"/>
          </ext>
        </extLst>
      </patternFill>
    </fill>
    <fill>
      <patternFill patternType="solid">
        <fgColor rgb="FFBDD7EE"/>
        <bgColor rgb="FFFFFFFF"/>
        <extLst>
          <ext uri="smNativeData">
            <pm:shade xmlns:pm="smNativeData" id="1595601780" type="1" fgLvl="100" fgClr="00BDD7EE" bgLvl="0" bgClr="00FFFFFF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95601780" type="1" fgLvl="100" fgClr="00D0CECE" bgLvl="0" bgClr="00FFFFFF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5601780" type="1" fgLvl="100" fgClr="00DAEEF3" bgLvl="0" bgClr="00FFFFFF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5601780" type="1" fgLvl="100" fgClr="00DAEEF3" bgLvl="0" bgClr="00FFFFFF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5601780" type="1" fgLvl="100" fgClr="00FDE9D9" bgLvl="0" bgClr="00FFFFFF"/>
          </ext>
        </extLst>
      </patternFill>
    </fill>
    <fill>
      <patternFill patternType="solid">
        <fgColor rgb="FF215967"/>
        <bgColor rgb="FFFFFFFF"/>
        <extLst>
          <ext uri="smNativeData">
            <pm:shade xmlns:pm="smNativeData" id="1595601780" type="1" fgLvl="100" fgClr="00215967" bgLvl="0" bgClr="00FFFFFF"/>
          </ext>
        </extLst>
      </patternFill>
    </fill>
    <fill>
      <patternFill patternType="solid">
        <fgColor rgb="FF215967"/>
        <bgColor rgb="FFFFFFFF"/>
        <extLst>
          <ext uri="smNativeData">
            <pm:shade xmlns:pm="smNativeData" id="1595601780" type="1" fgLvl="100" fgClr="00215967" bgLvl="0" bgClr="00FFFFFF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5601780" type="1" fgLvl="100" fgClr="00DAEEF3" bgLvl="0" bgClr="00FFFFFF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5601780" type="1" fgLvl="100" fgClr="00DAEEF3" bgLvl="0" bgClr="00FFFFFF"/>
          </ext>
        </extLst>
      </patternFill>
    </fill>
    <fill>
      <patternFill patternType="solid">
        <fgColor rgb="FFE4DFEC"/>
        <bgColor rgb="FFFFFFFF"/>
        <extLst>
          <ext uri="smNativeData">
            <pm:shade xmlns:pm="smNativeData" id="1595601780" type="1" fgLvl="100" fgClr="00E4DFEC" bgLvl="0" bgClr="00FFFFFF"/>
          </ext>
        </extLst>
      </patternFill>
    </fill>
    <fill>
      <patternFill patternType="solid">
        <fgColor rgb="FFC2D69A"/>
        <bgColor rgb="FFFFFFFF"/>
        <extLst>
          <ext uri="smNativeData">
            <pm:shade xmlns:pm="smNativeData" id="1595601780" type="1" fgLvl="100" fgClr="00C2D69A" bgLvl="0" bgClr="00FFFFFF"/>
          </ext>
        </extLst>
      </patternFill>
    </fill>
    <fill>
      <patternFill patternType="solid">
        <fgColor rgb="FFE0FFFF"/>
        <bgColor rgb="FFFFFFFF"/>
        <extLst>
          <ext uri="smNativeData">
            <pm:shade xmlns:pm="smNativeData" id="1595601780" type="1" fgLvl="100" fgClr="00E0FFFF" bgLvl="0" bgClr="00FFFFFF"/>
          </ext>
        </extLst>
      </patternFill>
    </fill>
    <fill>
      <patternFill patternType="solid">
        <fgColor rgb="FFD7E3BB"/>
        <bgColor rgb="FFFFFFFF"/>
        <extLst>
          <ext uri="smNativeData">
            <pm:shade xmlns:pm="smNativeData" id="1595601780" type="1" fgLvl="100" fgClr="00D7E3BB" bgLvl="0" bgClr="00FFFFFF"/>
          </ext>
        </extLst>
      </patternFill>
    </fill>
    <fill>
      <patternFill patternType="solid">
        <fgColor rgb="FF008080"/>
        <bgColor rgb="FFFFFFFF"/>
        <extLst>
          <ext uri="smNativeData">
            <pm:shade xmlns:pm="smNativeData" id="1595601780" type="1" fgLvl="100" fgClr="00008080" bgLvl="0" bgClr="00FFFFFF"/>
          </ext>
        </extLst>
      </patternFill>
    </fill>
    <fill>
      <patternFill patternType="solid">
        <fgColor rgb="FF008080"/>
        <bgColor rgb="FFFFFFFF"/>
        <extLst>
          <ext uri="smNativeData">
            <pm:shade xmlns:pm="smNativeData" id="1595601780" type="1" fgLvl="100" fgClr="00008080" bgLvl="0" bgClr="00FFFFFF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601780" type="1" fgLvl="100" fgClr="00FFFF00" bgLvl="0" bgClr="00FFFFFF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601780" type="1" fgLvl="100" fgClr="00FFFF00" bgLvl="0" bgClr="00FFFFFF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601780" type="1" fgLvl="100" fgClr="00FFFF00" bgLvl="0" bgClr="00FFFFFF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5601780" type="1" fgLvl="100" fgClr="0092D050" bgLvl="0" bgClr="00FFFFFF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5601780" type="1" fgLvl="100" fgClr="0092D050" bgLvl="0" bgClr="00FFFFFF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95601780" type="1" fgLvl="100" fgClr="00FF0000" bgLvl="0" bgClr="00FFFFFF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95601780" type="1" fgLvl="100" fgClr="00FF0000" bgLvl="0" bgClr="00FFFFFF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601780" type="1" fgLvl="100" fgClr="00EBF1DC" bgLvl="0" bgClr="00FFFFFF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601780" type="1" fgLvl="100" fgClr="00EBF1DC" bgLvl="0" bgClr="00FFFFFF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601780" type="1" fgLvl="100" fgClr="00EBF1DC" bgLvl="0" bgClr="00FFFFFF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5601780" type="1" fgLvl="100" fgClr="00FDE9D9" bgLvl="0" bgClr="00FFFFFF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5601780" type="1" fgLvl="100" fgClr="00FDE9D9" bgLvl="0" bgClr="00FFFFFF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5601780" type="1" fgLvl="100" fgClr="00FDE9D9" bgLvl="0" bgClr="00FFFFFF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95601780" type="1" fgLvl="100" fgClr="00D0CECE" bgLvl="0" bgClr="00FFFFFF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95601780" type="1" fgLvl="100" fgClr="00FFC000" bgLvl="0" bgClr="00FFFFFF"/>
          </ext>
        </extLst>
      </patternFill>
    </fill>
    <fill>
      <patternFill patternType="solid">
        <fgColor rgb="FFC4BD97"/>
        <bgColor rgb="FFFFFFFF"/>
        <extLst>
          <ext uri="smNativeData">
            <pm:shade xmlns:pm="smNativeData" id="1595601780" type="1" fgLvl="100" fgClr="00C4BD97" bgLvl="0" bgClr="00FFFFFF"/>
          </ext>
        </extLst>
      </patternFill>
    </fill>
    <fill>
      <patternFill patternType="solid">
        <fgColor rgb="FF8DB4E2"/>
        <bgColor rgb="FFFFFFFF"/>
        <extLst>
          <ext uri="smNativeData">
            <pm:shade xmlns:pm="smNativeData" id="1595601780" type="1" fgLvl="100" fgClr="008DB4E2" bgLvl="0" bgClr="00FFFFFF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5601780" type="1" fgLvl="100" fgClr="00FFFFFF" bgLvl="100" bgClr="00000000"/>
          </ext>
        </extLst>
      </patternFill>
    </fill>
    <fill>
      <patternFill patternType="solid">
        <fgColor rgb="FFC6EFCE"/>
        <bgColor rgb="FFFFFFFF"/>
        <extLst>
          <ext uri="smNativeData">
            <pm:shade xmlns:pm="smNativeData" id="1595601780" type="1" fgLvl="0" fgClr="00000000" bgLvl="100" bgClr="00C6EFCE"/>
          </ext>
        </extLst>
      </patternFill>
    </fill>
    <fill>
      <patternFill patternType="solid">
        <fgColor rgb="FFFFC7CE"/>
        <bgColor rgb="FFFFFFFF"/>
        <extLst>
          <ext uri="smNativeData">
            <pm:shade xmlns:pm="smNativeData" id="1595601780" type="1" fgLvl="0" fgClr="00000000" bgLvl="100" bgClr="00FFC7CE"/>
          </ext>
        </extLst>
      </patternFill>
    </fill>
  </fills>
  <borders count="133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1780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5601780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3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1780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1780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1780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1780">
            <pm:line position="top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1780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1780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1780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1780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1780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thin">
        <color rgb="FF000000"/>
      </left>
      <right style="thin">
        <color rgb="FF000000"/>
      </right>
      <top style="thin">
        <color rgb="FF333333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333333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333333"/>
      </top>
      <bottom style="none">
        <color rgb="FF000000"/>
      </bottom>
      <extLst>
        <ext uri="smNativeData">
          <pm:border xmlns:pm="smNativeData" id="1595601780">
            <pm:line position="top" type="1" style="0" width="20" dist="20" width2="20" rgb="333333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1780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1780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1780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1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1780"/>
        </ext>
      </extLst>
    </border>
  </borders>
  <cellStyleXfs count="7">
    <xf numFmtId="0" fontId="0" fillId="0" borderId="0" applyNumberFormat="1" applyFont="1" applyFill="1" applyBorder="1" applyAlignment="1" applyProtection="1"/>
    <xf numFmtId="164" fontId="0" fillId="0" borderId="0" applyNumberFormat="1" applyFont="0" applyFill="0" applyBorder="0" applyAlignment="0" applyProtection="0"/>
    <xf numFmtId="9" fontId="0" fillId="0" borderId="0" applyNumberFormat="1" applyFont="0" applyFill="0" applyBorder="0" applyAlignment="0" applyProtection="0"/>
    <xf numFmtId="165" fontId="0" fillId="0" borderId="0" applyNumberFormat="1" applyFont="0" applyFill="0" applyBorder="0" applyAlignment="0" applyProtection="0"/>
    <xf numFmtId="0" fontId="0" fillId="0" borderId="0" applyNumberFormat="1" applyFont="1" applyFill="1" applyBorder="1" applyAlignment="1" applyProtection="1"/>
    <xf numFmtId="0" fontId="33" fillId="0" borderId="0" applyNumberFormat="1" applyFont="1" applyFill="1" applyBorder="1" applyAlignment="1" applyProtection="1"/>
    <xf numFmtId="176" fontId="0" fillId="0" borderId="0" applyNumberFormat="1" applyFont="1" applyFill="1" applyBorder="1" applyAlignment="1" applyProtection="1"/>
  </cellStyleXfs>
  <cellXfs count="510">
    <xf numFmtId="0" fontId="0" fillId="0" borderId="0" xfId="0"/>
    <xf numFmtId="164" fontId="0" fillId="0" borderId="0" xfId="1"/>
    <xf numFmtId="9" fontId="0" fillId="0" borderId="0" xfId="2"/>
    <xf numFmtId="165" fontId="0" fillId="0" borderId="0" xfId="3"/>
    <xf numFmtId="0" fontId="0" fillId="0" borderId="0" xfId="4"/>
    <xf numFmtId="0" fontId="33" fillId="0" borderId="0" xfId="5"/>
    <xf numFmtId="176" fontId="0" fillId="0" borderId="0" xfId="6"/>
    <xf numFmtId="0" fontId="2" fillId="0" borderId="0" xfId="0" applyFont="1" applyAlignment="1">
      <alignment horizontal="center"/>
    </xf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3" fillId="5" borderId="4" xfId="0" applyFont="1" applyFill="1" applyAlignment="1">
      <alignment horizontal="center" wrapText="1"/>
    </xf>
    <xf numFmtId="0" fontId="0" fillId="6" borderId="5" xfId="0" applyFill="1" applyBorder="1"/>
    <xf numFmtId="0" fontId="4" fillId="7" borderId="6" xfId="0" applyFont="1" applyFill="1" applyAlignment="1">
      <alignment horizontal="center" wrapText="1"/>
    </xf>
    <xf numFmtId="0" fontId="5" fillId="0" borderId="0" xfId="0" applyFont="1" applyAlignment="1">
      <alignment horizontal="center" wrapText="1"/>
    </xf>
    <xf numFmtId="0" fontId="4" fillId="0" borderId="0" xfId="0" applyFont="1" applyAlignment="1">
      <alignment horizontal="center" wrapText="1"/>
    </xf>
    <xf numFmtId="0" fontId="0" fillId="0" borderId="1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7" xfId="0" applyBorder="1"/>
    <xf numFmtId="0" fontId="5" fillId="9" borderId="8" xfId="0" applyFont="1" applyFill="1" applyAlignment="1">
      <alignment horizontal="center" wrapText="1"/>
    </xf>
    <xf numFmtId="0" fontId="4" fillId="9" borderId="8" xfId="0" applyFont="1" applyFill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0" fontId="5" fillId="0" borderId="1" xfId="0" applyFont="1" applyBorder="1" applyAlignment="1">
      <alignment horizontal="center" wrapText="1"/>
    </xf>
    <xf numFmtId="0" fontId="5" fillId="10" borderId="9" xfId="0" applyFont="1" applyFill="1" applyBorder="1" applyAlignment="1">
      <alignment horizontal="center" wrapText="1"/>
    </xf>
    <xf numFmtId="0" fontId="5" fillId="11" borderId="10" xfId="0" applyFont="1" applyFill="1" applyBorder="1" applyAlignment="1">
      <alignment horizontal="center" wrapText="1"/>
    </xf>
    <xf numFmtId="1" fontId="0" fillId="12" borderId="11" xfId="0" applyNumberFormat="1" applyFill="1" applyBorder="1"/>
    <xf numFmtId="1" fontId="0" fillId="13" borderId="12" xfId="0" applyNumberFormat="1" applyFill="1" applyBorder="1"/>
    <xf numFmtId="166" fontId="0" fillId="14" borderId="13" xfId="2" applyNumberFormat="1" applyFill="1" applyBorder="1"/>
    <xf numFmtId="167" fontId="0" fillId="0" borderId="1" xfId="1" applyNumberFormat="1" applyBorder="1"/>
    <xf numFmtId="166" fontId="0" fillId="15" borderId="14" xfId="2" applyNumberFormat="1" applyFill="1" applyBorder="1"/>
    <xf numFmtId="166" fontId="0" fillId="16" borderId="15" xfId="2" applyNumberFormat="1" applyFill="1"/>
    <xf numFmtId="0" fontId="0" fillId="0" borderId="0" xfId="0" applyAlignment="1">
      <alignment wrapText="1"/>
    </xf>
    <xf numFmtId="168" fontId="0" fillId="16" borderId="15" xfId="0" applyNumberFormat="1" applyFill="1" applyAlignment="1">
      <alignment wrapText="1"/>
    </xf>
    <xf numFmtId="168" fontId="0" fillId="16" borderId="15" xfId="0" applyNumberFormat="1" applyFill="1"/>
    <xf numFmtId="0" fontId="6" fillId="17" borderId="16" xfId="0" applyFont="1" applyFill="1" applyAlignment="1">
      <alignment horizontal="right"/>
    </xf>
    <xf numFmtId="168" fontId="2" fillId="18" borderId="17" xfId="0" applyNumberFormat="1" applyFont="1" applyFill="1" applyBorder="1"/>
    <xf numFmtId="0" fontId="2" fillId="19" borderId="18" xfId="0" applyFont="1" applyFill="1" applyAlignment="1">
      <alignment horizontal="center"/>
    </xf>
    <xf numFmtId="0" fontId="0" fillId="20" borderId="19" xfId="0" applyFill="1"/>
    <xf numFmtId="1" fontId="0" fillId="20" borderId="19" xfId="0" applyNumberFormat="1" applyFill="1"/>
    <xf numFmtId="0" fontId="0" fillId="17" borderId="16" xfId="0" applyFill="1" applyAlignment="1">
      <alignment horizontal="right"/>
    </xf>
    <xf numFmtId="1" fontId="0" fillId="17" borderId="16" xfId="0" applyNumberFormat="1" applyFill="1"/>
    <xf numFmtId="0" fontId="0" fillId="21" borderId="20" xfId="0" applyFill="1" applyAlignment="1">
      <alignment horizontal="right" wrapText="1"/>
    </xf>
    <xf numFmtId="169" fontId="0" fillId="21" borderId="20" xfId="0" applyNumberFormat="1" applyFill="1"/>
    <xf numFmtId="0" fontId="0" fillId="22" borderId="21" xfId="0" applyFill="1" applyAlignment="1">
      <alignment horizontal="right" wrapText="1"/>
    </xf>
    <xf numFmtId="169" fontId="0" fillId="22" borderId="21" xfId="0" applyNumberFormat="1" applyFill="1"/>
    <xf numFmtId="0" fontId="0" fillId="20" borderId="19" xfId="0" applyFill="1" applyAlignment="1">
      <alignment horizontal="right" wrapText="1"/>
    </xf>
    <xf numFmtId="169" fontId="2" fillId="20" borderId="19" xfId="0" applyNumberFormat="1" applyFont="1" applyFill="1"/>
    <xf numFmtId="0" fontId="2" fillId="20" borderId="19" xfId="0" applyFont="1" applyFill="1" applyAlignment="1">
      <alignment horizontal="right" wrapText="1"/>
    </xf>
    <xf numFmtId="166" fontId="0" fillId="0" borderId="0" xfId="2" applyNumberFormat="1"/>
    <xf numFmtId="0" fontId="2" fillId="0" borderId="1" xfId="0" applyFont="1" applyBorder="1"/>
    <xf numFmtId="0" fontId="13" fillId="0" borderId="0" xfId="0" applyFont="1"/>
    <xf numFmtId="2" fontId="0" fillId="0" borderId="0" xfId="0" applyNumberFormat="1"/>
    <xf numFmtId="2" fontId="0" fillId="0" borderId="0" xfId="0" applyNumberFormat="1" applyAlignment="1">
      <alignment horizontal="center"/>
    </xf>
    <xf numFmtId="1" fontId="0" fillId="0" borderId="0" xfId="0" applyNumberFormat="1"/>
    <xf numFmtId="0" fontId="0" fillId="23" borderId="22" xfId="0" applyFill="1" applyBorder="1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12" fillId="0" borderId="0" xfId="0" applyFont="1"/>
    <xf numFmtId="0" fontId="12" fillId="24" borderId="23" xfId="0" applyFont="1" applyFill="1" applyBorder="1" applyAlignment="1">
      <alignment horizontal="left" vertical="center"/>
    </xf>
    <xf numFmtId="1" fontId="12" fillId="24" borderId="23" xfId="0" applyNumberFormat="1" applyFont="1" applyFill="1" applyBorder="1" applyAlignment="1">
      <alignment horizontal="left" vertical="center"/>
    </xf>
    <xf numFmtId="171" fontId="12" fillId="25" borderId="24" xfId="0" applyNumberFormat="1" applyFont="1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17" fillId="0" borderId="0" xfId="0" applyFont="1"/>
    <xf numFmtId="168" fontId="0" fillId="0" borderId="0" xfId="0" applyNumberFormat="1" applyAlignment="1">
      <alignment horizontal="center"/>
    </xf>
    <xf numFmtId="0" fontId="22" fillId="26" borderId="25" xfId="0" applyFont="1" applyFill="1" applyBorder="1" applyAlignment="1">
      <alignment horizontal="center" vertical="top" wrapText="1"/>
    </xf>
    <xf numFmtId="0" fontId="23" fillId="26" borderId="25" xfId="0" applyFont="1" applyFill="1" applyBorder="1" applyAlignment="1">
      <alignment horizontal="center" vertical="top" wrapText="1"/>
    </xf>
    <xf numFmtId="0" fontId="23" fillId="27" borderId="26" xfId="0" applyFont="1" applyFill="1" applyBorder="1" applyAlignment="1">
      <alignment horizontal="center" vertical="top" wrapText="1"/>
    </xf>
    <xf numFmtId="168" fontId="2" fillId="16" borderId="15" xfId="0" applyNumberFormat="1" applyFont="1" applyFill="1" applyAlignment="1">
      <alignment horizontal="center"/>
    </xf>
    <xf numFmtId="170" fontId="2" fillId="0" borderId="0" xfId="3" applyNumberFormat="1" applyFont="1"/>
    <xf numFmtId="0" fontId="2" fillId="0" borderId="0" xfId="4" applyFont="1"/>
    <xf numFmtId="0" fontId="16" fillId="0" borderId="0" xfId="4" applyFont="1" applyAlignment="1">
      <alignment horizontal="left"/>
    </xf>
    <xf numFmtId="0" fontId="16" fillId="0" borderId="0" xfId="4" applyFont="1" applyAlignment="1">
      <alignment horizontal="center"/>
    </xf>
    <xf numFmtId="1" fontId="0" fillId="28" borderId="27" xfId="0" applyNumberFormat="1" applyFill="1" applyBorder="1"/>
    <xf numFmtId="0" fontId="0" fillId="0" borderId="1" xfId="0" applyBorder="1" applyAlignment="1">
      <alignment horizontal="center"/>
    </xf>
    <xf numFmtId="0" fontId="12" fillId="25" borderId="24" xfId="0" applyFont="1" applyFill="1" applyBorder="1" applyAlignment="1">
      <alignment horizontal="center" vertical="center"/>
    </xf>
    <xf numFmtId="171" fontId="0" fillId="0" borderId="0" xfId="0" applyNumberFormat="1"/>
    <xf numFmtId="0" fontId="2" fillId="0" borderId="0" xfId="4" applyFont="1" applyAlignment="1">
      <alignment horizontal="center"/>
    </xf>
    <xf numFmtId="14" fontId="0" fillId="0" borderId="0" xfId="0" applyNumberFormat="1"/>
    <xf numFmtId="0" fontId="9" fillId="0" borderId="0" xfId="0" applyFont="1"/>
    <xf numFmtId="0" fontId="13" fillId="0" borderId="0" xfId="0" applyFont="1" applyAlignment="1">
      <alignment horizontal="center"/>
    </xf>
    <xf numFmtId="0" fontId="0" fillId="29" borderId="28" xfId="4" applyFill="1" applyBorder="1" applyAlignment="1">
      <alignment horizontal="right"/>
    </xf>
    <xf numFmtId="0" fontId="12" fillId="25" borderId="24" xfId="0" applyFont="1" applyFill="1" applyBorder="1" applyAlignment="1">
      <alignment horizontal="right" vertical="center"/>
    </xf>
    <xf numFmtId="171" fontId="12" fillId="25" borderId="24" xfId="0" applyNumberFormat="1" applyFont="1" applyFill="1" applyBorder="1" applyAlignment="1">
      <alignment horizontal="center" vertical="center"/>
    </xf>
    <xf numFmtId="0" fontId="14" fillId="30" borderId="29" xfId="0" applyFont="1" applyFill="1" applyBorder="1"/>
    <xf numFmtId="0" fontId="18" fillId="31" borderId="30" xfId="0" applyFont="1" applyFill="1" applyBorder="1" applyAlignment="1">
      <alignment horizontal="center" vertical="center"/>
    </xf>
    <xf numFmtId="0" fontId="19" fillId="31" borderId="30" xfId="0" applyFont="1" applyFill="1" applyBorder="1" applyAlignment="1">
      <alignment horizontal="center" vertical="center"/>
    </xf>
    <xf numFmtId="0" fontId="18" fillId="31" borderId="30" xfId="0" applyFont="1" applyFill="1" applyBorder="1" applyAlignment="1">
      <alignment horizontal="right" vertical="center"/>
    </xf>
    <xf numFmtId="0" fontId="24" fillId="32" borderId="31" xfId="0" applyFont="1" applyFill="1" applyBorder="1" applyAlignment="1">
      <alignment horizontal="center" vertical="center"/>
    </xf>
    <xf numFmtId="1" fontId="12" fillId="33" borderId="32" xfId="0" applyNumberFormat="1" applyFont="1" applyFill="1" applyBorder="1" applyAlignment="1">
      <alignment horizontal="left" vertical="center"/>
    </xf>
    <xf numFmtId="0" fontId="0" fillId="0" borderId="1" xfId="4" applyBorder="1"/>
    <xf numFmtId="171" fontId="12" fillId="24" borderId="23" xfId="0" applyNumberFormat="1" applyFont="1" applyFill="1" applyBorder="1" applyAlignment="1">
      <alignment horizontal="center" vertical="center"/>
    </xf>
    <xf numFmtId="166" fontId="9" fillId="0" borderId="0" xfId="2" applyNumberFormat="1" applyFont="1"/>
    <xf numFmtId="0" fontId="13" fillId="0" borderId="0" xfId="4" applyFont="1" applyAlignment="1">
      <alignment horizontal="center"/>
    </xf>
    <xf numFmtId="170" fontId="25" fillId="0" borderId="0" xfId="0" applyNumberFormat="1" applyFont="1" applyAlignment="1">
      <alignment horizontal="right"/>
    </xf>
    <xf numFmtId="173" fontId="24" fillId="25" borderId="24" xfId="3" applyNumberFormat="1" applyFont="1" applyFill="1" applyBorder="1" applyAlignment="1">
      <alignment horizontal="right" vertical="center"/>
    </xf>
    <xf numFmtId="173" fontId="12" fillId="25" borderId="24" xfId="3" applyNumberFormat="1" applyFont="1" applyFill="1" applyBorder="1" applyAlignment="1">
      <alignment horizontal="right" vertical="center"/>
    </xf>
    <xf numFmtId="0" fontId="7" fillId="0" borderId="0" xfId="0" applyFont="1"/>
    <xf numFmtId="170" fontId="12" fillId="25" borderId="24" xfId="3" applyNumberFormat="1" applyFont="1" applyFill="1" applyBorder="1" applyAlignment="1">
      <alignment horizontal="right" vertical="center"/>
    </xf>
    <xf numFmtId="0" fontId="2" fillId="33" borderId="32" xfId="0" applyFont="1" applyFill="1" applyBorder="1" applyAlignment="1">
      <alignment horizontal="center"/>
    </xf>
    <xf numFmtId="0" fontId="2" fillId="16" borderId="15" xfId="0" applyFont="1" applyFill="1" applyAlignment="1">
      <alignment horizontal="center"/>
    </xf>
    <xf numFmtId="17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24" fillId="34" borderId="33" xfId="0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0" fillId="35" borderId="34" xfId="0" applyFill="1" applyBorder="1"/>
    <xf numFmtId="0" fontId="0" fillId="36" borderId="35" xfId="0" applyFill="1" applyBorder="1"/>
    <xf numFmtId="0" fontId="2" fillId="35" borderId="34" xfId="0" applyFont="1" applyFill="1" applyBorder="1" applyAlignment="1">
      <alignment horizontal="center"/>
    </xf>
    <xf numFmtId="0" fontId="2" fillId="36" borderId="35" xfId="0" applyFon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15" fillId="0" borderId="0" xfId="0" applyNumberFormat="1" applyFont="1"/>
    <xf numFmtId="2" fontId="2" fillId="0" borderId="1" xfId="0" applyNumberFormat="1" applyFont="1" applyBorder="1" applyAlignment="1">
      <alignment horizontal="center"/>
    </xf>
    <xf numFmtId="2" fontId="2" fillId="0" borderId="0" xfId="0" applyNumberFormat="1" applyFont="1"/>
    <xf numFmtId="1" fontId="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left" vertical="center"/>
    </xf>
    <xf numFmtId="171" fontId="26" fillId="0" borderId="1" xfId="0" applyNumberFormat="1" applyFont="1" applyBorder="1"/>
    <xf numFmtId="170" fontId="0" fillId="0" borderId="0" xfId="0" applyNumberFormat="1"/>
    <xf numFmtId="0" fontId="27" fillId="0" borderId="1" xfId="0" applyFont="1" applyBorder="1" applyAlignment="1">
      <alignment horizontal="left" vertical="center"/>
    </xf>
    <xf numFmtId="10" fontId="0" fillId="0" borderId="0" xfId="2" applyNumberFormat="1"/>
    <xf numFmtId="0" fontId="2" fillId="16" borderId="15" xfId="0" applyFont="1" applyFill="1"/>
    <xf numFmtId="172" fontId="0" fillId="0" borderId="0" xfId="0" applyNumberFormat="1"/>
    <xf numFmtId="9" fontId="0" fillId="0" borderId="0" xfId="2" applyAlignment="1">
      <alignment horizontal="center"/>
    </xf>
    <xf numFmtId="14" fontId="2" fillId="0" borderId="0" xfId="4" applyNumberFormat="1" applyFont="1" applyAlignment="1">
      <alignment horizontal="center"/>
    </xf>
    <xf numFmtId="0" fontId="24" fillId="15" borderId="14" xfId="0" applyFont="1" applyFill="1" applyBorder="1" applyAlignment="1">
      <alignment horizontal="center" vertical="center"/>
    </xf>
    <xf numFmtId="0" fontId="18" fillId="15" borderId="14" xfId="0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172" fontId="0" fillId="0" borderId="0" xfId="0" applyNumberFormat="1" applyAlignment="1">
      <alignment horizontal="right"/>
    </xf>
    <xf numFmtId="0" fontId="18" fillId="37" borderId="36" xfId="0" applyFont="1" applyFill="1" applyBorder="1" applyAlignment="1">
      <alignment horizontal="center" vertical="center"/>
    </xf>
    <xf numFmtId="14" fontId="12" fillId="38" borderId="37" xfId="0" applyNumberFormat="1" applyFont="1" applyFill="1" applyAlignment="1">
      <alignment horizontal="center" vertical="center"/>
    </xf>
    <xf numFmtId="2" fontId="15" fillId="0" borderId="0" xfId="0" applyNumberFormat="1" applyFont="1"/>
    <xf numFmtId="2" fontId="2" fillId="0" borderId="0" xfId="4" applyNumberFormat="1" applyFont="1"/>
    <xf numFmtId="0" fontId="2" fillId="0" borderId="1" xfId="4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72" fontId="0" fillId="0" borderId="1" xfId="4" applyNumberFormat="1" applyBorder="1"/>
    <xf numFmtId="172" fontId="0" fillId="0" borderId="1" xfId="0" applyNumberFormat="1" applyBorder="1"/>
    <xf numFmtId="2" fontId="0" fillId="0" borderId="1" xfId="4" applyNumberFormat="1" applyBorder="1"/>
    <xf numFmtId="2" fontId="0" fillId="0" borderId="1" xfId="0" applyNumberFormat="1" applyBorder="1"/>
    <xf numFmtId="172" fontId="2" fillId="0" borderId="1" xfId="4" applyNumberFormat="1" applyFont="1" applyBorder="1"/>
    <xf numFmtId="2" fontId="2" fillId="0" borderId="1" xfId="4" applyNumberFormat="1" applyFont="1" applyBorder="1"/>
    <xf numFmtId="0" fontId="9" fillId="39" borderId="38" xfId="0" applyFont="1" applyFill="1" applyBorder="1" applyAlignment="1">
      <alignment horizontal="center"/>
    </xf>
    <xf numFmtId="0" fontId="10" fillId="40" borderId="39" xfId="0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72" fontId="2" fillId="0" borderId="1" xfId="0" applyNumberFormat="1" applyFont="1" applyBorder="1" applyAlignment="1">
      <alignment horizontal="center"/>
    </xf>
    <xf numFmtId="172" fontId="10" fillId="6" borderId="5" xfId="0" applyNumberFormat="1" applyFont="1" applyFill="1" applyBorder="1" applyAlignment="1">
      <alignment horizontal="center"/>
    </xf>
    <xf numFmtId="1" fontId="12" fillId="25" borderId="24" xfId="0" applyNumberFormat="1" applyFont="1" applyFill="1" applyBorder="1" applyAlignment="1">
      <alignment horizontal="center" vertical="center"/>
    </xf>
    <xf numFmtId="173" fontId="0" fillId="0" borderId="0" xfId="3" applyNumberFormat="1"/>
    <xf numFmtId="2" fontId="12" fillId="24" borderId="23" xfId="0" applyNumberFormat="1" applyFont="1" applyFill="1" applyBorder="1" applyAlignment="1">
      <alignment horizontal="left" vertical="center"/>
    </xf>
    <xf numFmtId="2" fontId="12" fillId="25" borderId="24" xfId="0" applyNumberFormat="1" applyFont="1" applyFill="1" applyBorder="1" applyAlignment="1">
      <alignment horizontal="left" vertical="center"/>
    </xf>
    <xf numFmtId="0" fontId="16" fillId="41" borderId="40" xfId="0" applyFont="1" applyFill="1"/>
    <xf numFmtId="0" fontId="16" fillId="41" borderId="40" xfId="0" applyFont="1" applyFill="1" applyAlignment="1">
      <alignment horizontal="center"/>
    </xf>
    <xf numFmtId="0" fontId="16" fillId="42" borderId="41" xfId="0" applyFont="1" applyFill="1" applyAlignment="1">
      <alignment horizontal="center"/>
    </xf>
    <xf numFmtId="0" fontId="16" fillId="43" borderId="42" xfId="0" applyFont="1" applyFill="1" applyAlignment="1">
      <alignment horizontal="center"/>
    </xf>
    <xf numFmtId="0" fontId="16" fillId="44" borderId="43" xfId="0" applyFont="1" applyFill="1" applyAlignment="1">
      <alignment horizontal="center"/>
    </xf>
    <xf numFmtId="0" fontId="16" fillId="45" borderId="44" xfId="0" applyFont="1" applyFill="1" applyAlignment="1">
      <alignment horizontal="center"/>
    </xf>
    <xf numFmtId="0" fontId="16" fillId="46" borderId="45" xfId="0" applyFont="1" applyFill="1"/>
    <xf numFmtId="0" fontId="16" fillId="45" borderId="44" xfId="0" applyFont="1" applyFill="1"/>
    <xf numFmtId="165" fontId="0" fillId="0" borderId="0" xfId="3" applyAlignment="1">
      <alignment horizontal="center"/>
    </xf>
    <xf numFmtId="171" fontId="0" fillId="0" borderId="0" xfId="0" applyNumberFormat="1" applyAlignment="1">
      <alignment horizontal="center"/>
    </xf>
    <xf numFmtId="172" fontId="8" fillId="0" borderId="1" xfId="0" applyNumberFormat="1" applyFont="1" applyBorder="1" applyAlignment="1">
      <alignment horizontal="center"/>
    </xf>
    <xf numFmtId="172" fontId="11" fillId="6" borderId="5" xfId="0" applyNumberFormat="1" applyFont="1" applyFill="1" applyBorder="1" applyAlignment="1">
      <alignment horizontal="center"/>
    </xf>
    <xf numFmtId="9" fontId="12" fillId="25" borderId="24" xfId="2" applyFont="1" applyFill="1" applyBorder="1" applyAlignment="1">
      <alignment horizontal="center" vertical="center"/>
    </xf>
    <xf numFmtId="2" fontId="12" fillId="24" borderId="23" xfId="0" applyNumberFormat="1" applyFont="1" applyFill="1" applyBorder="1" applyAlignment="1">
      <alignment horizontal="center" vertical="center"/>
    </xf>
    <xf numFmtId="175" fontId="0" fillId="0" borderId="0" xfId="0" applyNumberFormat="1" applyAlignment="1">
      <alignment horizontal="center"/>
    </xf>
    <xf numFmtId="0" fontId="0" fillId="0" borderId="2" xfId="0" applyBorder="1" applyAlignment="1">
      <alignment horizontal="center"/>
    </xf>
    <xf numFmtId="0" fontId="0" fillId="0" borderId="46" xfId="0" applyBorder="1" applyAlignment="1">
      <alignment horizontal="center"/>
    </xf>
    <xf numFmtId="0" fontId="2" fillId="48" borderId="47" xfId="0" applyFont="1" applyFill="1" applyBorder="1" applyAlignment="1">
      <alignment horizontal="center"/>
    </xf>
    <xf numFmtId="175" fontId="0" fillId="0" borderId="48" xfId="0" applyNumberFormat="1" applyBorder="1" applyAlignment="1">
      <alignment horizontal="center"/>
    </xf>
    <xf numFmtId="166" fontId="0" fillId="0" borderId="49" xfId="2" applyNumberFormat="1" applyBorder="1" applyAlignment="1">
      <alignment horizontal="center"/>
    </xf>
    <xf numFmtId="166" fontId="0" fillId="0" borderId="48" xfId="2" applyNumberFormat="1" applyBorder="1" applyAlignment="1">
      <alignment horizontal="center"/>
    </xf>
    <xf numFmtId="0" fontId="0" fillId="51" borderId="50" xfId="0" applyFill="1" applyAlignment="1">
      <alignment horizontal="center"/>
    </xf>
    <xf numFmtId="14" fontId="0" fillId="51" borderId="50" xfId="0" applyNumberFormat="1" applyFill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175" fontId="0" fillId="0" borderId="1" xfId="0" applyNumberFormat="1" applyBorder="1" applyAlignment="1">
      <alignment horizontal="center"/>
    </xf>
    <xf numFmtId="175" fontId="0" fillId="0" borderId="3" xfId="0" applyNumberFormat="1" applyBorder="1" applyAlignment="1">
      <alignment horizontal="center"/>
    </xf>
    <xf numFmtId="175" fontId="0" fillId="0" borderId="49" xfId="0" applyNumberFormat="1" applyBorder="1" applyAlignment="1">
      <alignment horizontal="center"/>
    </xf>
    <xf numFmtId="166" fontId="0" fillId="0" borderId="1" xfId="2" applyNumberFormat="1" applyBorder="1" applyAlignment="1">
      <alignment horizontal="center"/>
    </xf>
    <xf numFmtId="166" fontId="0" fillId="0" borderId="3" xfId="2" applyNumberFormat="1" applyBorder="1" applyAlignment="1">
      <alignment horizontal="center"/>
    </xf>
    <xf numFmtId="166" fontId="0" fillId="0" borderId="7" xfId="2" applyNumberFormat="1" applyBorder="1" applyAlignment="1">
      <alignment horizontal="center"/>
    </xf>
    <xf numFmtId="166" fontId="0" fillId="0" borderId="52" xfId="2" applyNumberFormat="1" applyBorder="1" applyAlignment="1">
      <alignment horizontal="center"/>
    </xf>
    <xf numFmtId="166" fontId="0" fillId="0" borderId="53" xfId="2" applyNumberFormat="1" applyBorder="1" applyAlignment="1">
      <alignment horizontal="center"/>
    </xf>
    <xf numFmtId="166" fontId="0" fillId="0" borderId="51" xfId="2" applyNumberFormat="1" applyBorder="1" applyAlignment="1">
      <alignment horizontal="center"/>
    </xf>
    <xf numFmtId="2" fontId="7" fillId="0" borderId="1" xfId="0" applyNumberFormat="1" applyFont="1" applyBorder="1"/>
    <xf numFmtId="2" fontId="7" fillId="0" borderId="1" xfId="4" applyNumberFormat="1" applyFont="1" applyBorder="1"/>
    <xf numFmtId="0" fontId="0" fillId="0" borderId="5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5" fontId="0" fillId="0" borderId="52" xfId="0" applyNumberFormat="1" applyBorder="1" applyAlignment="1">
      <alignment horizontal="center"/>
    </xf>
    <xf numFmtId="0" fontId="2" fillId="56" borderId="55" xfId="0" applyFont="1" applyFill="1" applyBorder="1" applyAlignment="1">
      <alignment horizontal="center"/>
    </xf>
    <xf numFmtId="175" fontId="0" fillId="0" borderId="53" xfId="0" applyNumberFormat="1" applyBorder="1" applyAlignment="1">
      <alignment horizontal="center"/>
    </xf>
    <xf numFmtId="175" fontId="0" fillId="0" borderId="51" xfId="0" applyNumberFormat="1" applyBorder="1" applyAlignment="1">
      <alignment horizontal="center"/>
    </xf>
    <xf numFmtId="174" fontId="0" fillId="0" borderId="0" xfId="0" applyNumberFormat="1" applyAlignment="1">
      <alignment horizontal="center"/>
    </xf>
    <xf numFmtId="175" fontId="0" fillId="0" borderId="7" xfId="0" applyNumberFormat="1" applyBorder="1" applyAlignment="1">
      <alignment horizontal="center"/>
    </xf>
    <xf numFmtId="0" fontId="16" fillId="20" borderId="19" xfId="0" applyFont="1" applyFill="1"/>
    <xf numFmtId="172" fontId="2" fillId="0" borderId="0" xfId="0" applyNumberFormat="1" applyFont="1"/>
    <xf numFmtId="2" fontId="2" fillId="20" borderId="19" xfId="0" applyNumberFormat="1" applyFont="1" applyFill="1"/>
    <xf numFmtId="172" fontId="0" fillId="0" borderId="1" xfId="0" applyNumberFormat="1" applyBorder="1" applyAlignment="1">
      <alignment horizontal="center"/>
    </xf>
    <xf numFmtId="2" fontId="2" fillId="0" borderId="1" xfId="0" applyNumberFormat="1" applyFont="1" applyBorder="1"/>
    <xf numFmtId="2" fontId="2" fillId="57" borderId="56" xfId="0" applyNumberFormat="1" applyFont="1" applyFill="1" applyBorder="1"/>
    <xf numFmtId="171" fontId="28" fillId="16" borderId="15" xfId="0" applyNumberFormat="1" applyFont="1" applyFill="1"/>
    <xf numFmtId="2" fontId="0" fillId="0" borderId="53" xfId="0" applyNumberFormat="1" applyBorder="1"/>
    <xf numFmtId="170" fontId="0" fillId="0" borderId="0" xfId="0" applyNumberFormat="1" applyAlignment="1">
      <alignment horizontal="right"/>
    </xf>
    <xf numFmtId="14" fontId="29" fillId="0" borderId="0" xfId="0" applyNumberFormat="1" applyFont="1" applyAlignment="1">
      <alignment vertical="center"/>
    </xf>
    <xf numFmtId="2" fontId="0" fillId="16" borderId="15" xfId="0" applyNumberFormat="1" applyFill="1"/>
    <xf numFmtId="171" fontId="28" fillId="21" borderId="20" xfId="0" applyNumberFormat="1" applyFont="1" applyFill="1"/>
    <xf numFmtId="9" fontId="18" fillId="31" borderId="30" xfId="0" applyNumberFormat="1" applyFont="1" applyFill="1" applyBorder="1" applyAlignment="1">
      <alignment horizontal="center" vertical="center"/>
    </xf>
    <xf numFmtId="0" fontId="18" fillId="58" borderId="57" xfId="0" applyFont="1" applyFill="1" applyBorder="1" applyAlignment="1">
      <alignment horizontal="center" vertical="center"/>
    </xf>
    <xf numFmtId="9" fontId="18" fillId="58" borderId="57" xfId="0" applyNumberFormat="1" applyFont="1" applyFill="1" applyBorder="1" applyAlignment="1">
      <alignment horizontal="center" vertical="center"/>
    </xf>
    <xf numFmtId="0" fontId="18" fillId="59" borderId="58" xfId="0" applyFont="1" applyFill="1" applyBorder="1" applyAlignment="1">
      <alignment horizontal="center" vertical="center"/>
    </xf>
    <xf numFmtId="9" fontId="18" fillId="59" borderId="58" xfId="0" applyNumberFormat="1" applyFont="1" applyFill="1" applyBorder="1" applyAlignment="1">
      <alignment horizontal="center" vertical="center"/>
    </xf>
    <xf numFmtId="172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2" fillId="27" borderId="26" xfId="0" applyFont="1" applyFill="1" applyBorder="1" applyAlignment="1">
      <alignment horizontal="center" vertical="top" wrapText="1"/>
    </xf>
    <xf numFmtId="168" fontId="0" fillId="17" borderId="16" xfId="0" applyNumberFormat="1" applyFill="1" applyAlignment="1">
      <alignment horizontal="center"/>
    </xf>
    <xf numFmtId="170" fontId="12" fillId="25" borderId="24" xfId="3" applyNumberFormat="1" applyFont="1" applyFill="1" applyBorder="1" applyAlignment="1">
      <alignment horizontal="left" vertical="center"/>
    </xf>
    <xf numFmtId="171" fontId="2" fillId="0" borderId="0" xfId="4" applyNumberFormat="1" applyFont="1" applyAlignment="1">
      <alignment horizontal="center"/>
    </xf>
    <xf numFmtId="0" fontId="2" fillId="60" borderId="59" xfId="0" applyFont="1" applyFill="1" applyBorder="1" applyAlignment="1">
      <alignment horizontal="center"/>
    </xf>
    <xf numFmtId="0" fontId="2" fillId="57" borderId="56" xfId="0" applyFont="1" applyFill="1" applyBorder="1" applyAlignment="1">
      <alignment horizontal="center"/>
    </xf>
    <xf numFmtId="166" fontId="0" fillId="0" borderId="60" xfId="2" applyNumberFormat="1" applyBorder="1" applyAlignment="1">
      <alignment horizontal="center"/>
    </xf>
    <xf numFmtId="166" fontId="0" fillId="0" borderId="61" xfId="2" applyNumberFormat="1" applyBorder="1" applyAlignment="1">
      <alignment horizontal="center"/>
    </xf>
    <xf numFmtId="166" fontId="0" fillId="0" borderId="54" xfId="2" applyNumberFormat="1" applyBorder="1" applyAlignment="1">
      <alignment horizontal="center"/>
    </xf>
    <xf numFmtId="173" fontId="0" fillId="0" borderId="0" xfId="3" applyNumberFormat="1" applyAlignment="1">
      <alignment horizontal="center"/>
    </xf>
    <xf numFmtId="173" fontId="0" fillId="0" borderId="3" xfId="3" applyNumberFormat="1" applyBorder="1" applyAlignment="1">
      <alignment horizontal="center"/>
    </xf>
    <xf numFmtId="173" fontId="0" fillId="0" borderId="52" xfId="3" applyNumberFormat="1" applyBorder="1" applyAlignment="1">
      <alignment horizontal="center"/>
    </xf>
    <xf numFmtId="173" fontId="0" fillId="0" borderId="49" xfId="3" applyNumberFormat="1" applyBorder="1" applyAlignment="1">
      <alignment horizontal="center"/>
    </xf>
    <xf numFmtId="173" fontId="0" fillId="0" borderId="48" xfId="3" applyNumberFormat="1" applyBorder="1" applyAlignment="1">
      <alignment horizontal="center"/>
    </xf>
    <xf numFmtId="173" fontId="0" fillId="0" borderId="53" xfId="3" applyNumberFormat="1" applyBorder="1" applyAlignment="1">
      <alignment horizontal="center"/>
    </xf>
    <xf numFmtId="173" fontId="0" fillId="0" borderId="7" xfId="3" applyNumberFormat="1" applyBorder="1" applyAlignment="1">
      <alignment horizontal="center"/>
    </xf>
    <xf numFmtId="173" fontId="0" fillId="0" borderId="51" xfId="3" applyNumberFormat="1" applyBorder="1" applyAlignment="1">
      <alignment horizontal="center"/>
    </xf>
    <xf numFmtId="173" fontId="0" fillId="0" borderId="1" xfId="3" applyNumberFormat="1" applyBorder="1" applyAlignment="1">
      <alignment horizontal="center"/>
    </xf>
    <xf numFmtId="173" fontId="0" fillId="0" borderId="62" xfId="3" applyNumberFormat="1" applyBorder="1" applyAlignment="1">
      <alignment horizontal="center"/>
    </xf>
    <xf numFmtId="173" fontId="0" fillId="0" borderId="63" xfId="3" applyNumberFormat="1" applyBorder="1" applyAlignment="1">
      <alignment horizontal="center"/>
    </xf>
    <xf numFmtId="171" fontId="0" fillId="0" borderId="0" xfId="0" applyNumberFormat="1" applyAlignment="1">
      <alignment horizontal="left"/>
    </xf>
    <xf numFmtId="0" fontId="0" fillId="65" borderId="64" xfId="4" applyFill="1" applyBorder="1" applyAlignment="1">
      <alignment horizontal="right"/>
    </xf>
    <xf numFmtId="2" fontId="13" fillId="0" borderId="0" xfId="0" applyNumberFormat="1" applyFont="1"/>
    <xf numFmtId="0" fontId="2" fillId="66" borderId="65" xfId="0" applyFont="1" applyFill="1" applyAlignment="1">
      <alignment horizontal="center"/>
    </xf>
    <xf numFmtId="0" fontId="2" fillId="66" borderId="65" xfId="0" applyFont="1" applyFill="1"/>
    <xf numFmtId="2" fontId="2" fillId="16" borderId="15" xfId="0" applyNumberFormat="1" applyFont="1" applyFill="1"/>
    <xf numFmtId="170" fontId="13" fillId="0" borderId="0" xfId="0" applyNumberFormat="1" applyFont="1"/>
    <xf numFmtId="14" fontId="12" fillId="25" borderId="24" xfId="0" applyNumberFormat="1" applyFont="1" applyFill="1" applyBorder="1" applyAlignment="1">
      <alignment horizontal="center" vertical="center"/>
    </xf>
    <xf numFmtId="2" fontId="12" fillId="25" borderId="24" xfId="0" applyNumberFormat="1" applyFont="1" applyFill="1" applyBorder="1" applyAlignment="1">
      <alignment horizontal="center" vertical="center"/>
    </xf>
    <xf numFmtId="0" fontId="30" fillId="0" borderId="1" xfId="0" applyFont="1" applyBorder="1" applyAlignment="1">
      <alignment horizontal="left" vertical="center"/>
    </xf>
    <xf numFmtId="0" fontId="31" fillId="0" borderId="1" xfId="0" applyFont="1" applyBorder="1" applyAlignment="1">
      <alignment horizontal="left" vertical="center"/>
    </xf>
    <xf numFmtId="171" fontId="15" fillId="0" borderId="0" xfId="0" applyNumberFormat="1" applyFont="1"/>
    <xf numFmtId="170" fontId="24" fillId="25" borderId="24" xfId="3" applyNumberFormat="1" applyFont="1" applyFill="1" applyBorder="1" applyAlignment="1">
      <alignment horizontal="right" vertical="center"/>
    </xf>
    <xf numFmtId="170" fontId="12" fillId="25" borderId="24" xfId="3" applyNumberFormat="1" applyFont="1" applyFill="1" applyBorder="1" applyAlignment="1">
      <alignment horizontal="center" vertical="center"/>
    </xf>
    <xf numFmtId="0" fontId="18" fillId="67" borderId="66" xfId="0" applyFont="1" applyFill="1" applyAlignment="1">
      <alignment horizontal="center" vertical="center"/>
    </xf>
    <xf numFmtId="170" fontId="12" fillId="68" borderId="67" xfId="3" applyNumberFormat="1" applyFont="1" applyFill="1" applyAlignment="1">
      <alignment horizontal="right" vertical="center"/>
    </xf>
    <xf numFmtId="173" fontId="12" fillId="25" borderId="24" xfId="3" applyNumberFormat="1" applyFont="1" applyFill="1" applyBorder="1" applyAlignment="1">
      <alignment horizontal="center" vertical="center"/>
    </xf>
    <xf numFmtId="171" fontId="2" fillId="0" borderId="0" xfId="0" applyNumberFormat="1" applyFont="1"/>
    <xf numFmtId="0" fontId="24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right"/>
    </xf>
    <xf numFmtId="0" fontId="17" fillId="0" borderId="0" xfId="4" applyFont="1" applyAlignment="1">
      <alignment horizontal="center"/>
    </xf>
    <xf numFmtId="171" fontId="2" fillId="0" borderId="0" xfId="4" applyNumberFormat="1" applyFont="1"/>
    <xf numFmtId="171" fontId="2" fillId="0" borderId="1" xfId="4" applyNumberFormat="1" applyFont="1" applyBorder="1" applyAlignment="1">
      <alignment horizontal="center"/>
    </xf>
    <xf numFmtId="9" fontId="2" fillId="0" borderId="1" xfId="2" applyFont="1" applyBorder="1" applyAlignment="1">
      <alignment horizontal="center"/>
    </xf>
    <xf numFmtId="170" fontId="2" fillId="0" borderId="1" xfId="3" applyNumberFormat="1" applyFont="1" applyBorder="1" applyAlignment="1">
      <alignment horizontal="center"/>
    </xf>
    <xf numFmtId="171" fontId="0" fillId="0" borderId="1" xfId="4" applyNumberFormat="1" applyBorder="1" applyAlignment="1">
      <alignment horizontal="center"/>
    </xf>
    <xf numFmtId="0" fontId="0" fillId="69" borderId="68" xfId="0" applyFill="1" applyAlignment="1">
      <alignment horizontal="center"/>
    </xf>
    <xf numFmtId="0" fontId="0" fillId="69" borderId="68" xfId="0" applyFill="1"/>
    <xf numFmtId="14" fontId="0" fillId="69" borderId="68" xfId="0" applyNumberFormat="1" applyFill="1"/>
    <xf numFmtId="2" fontId="0" fillId="69" borderId="68" xfId="0" applyNumberFormat="1" applyFill="1"/>
    <xf numFmtId="0" fontId="0" fillId="70" borderId="69" xfId="0" applyFill="1" applyAlignment="1">
      <alignment horizontal="center"/>
    </xf>
    <xf numFmtId="0" fontId="0" fillId="70" borderId="69" xfId="0" applyFill="1"/>
    <xf numFmtId="14" fontId="0" fillId="70" borderId="69" xfId="0" applyNumberFormat="1" applyFill="1"/>
    <xf numFmtId="2" fontId="0" fillId="70" borderId="69" xfId="0" applyNumberFormat="1" applyFill="1"/>
    <xf numFmtId="0" fontId="9" fillId="70" borderId="69" xfId="0" applyFont="1" applyFill="1"/>
    <xf numFmtId="0" fontId="2" fillId="71" borderId="70" xfId="0" applyFont="1" applyFill="1" applyBorder="1" applyAlignment="1">
      <alignment horizontal="center"/>
    </xf>
    <xf numFmtId="0" fontId="0" fillId="71" borderId="70" xfId="0" applyFill="1" applyBorder="1"/>
    <xf numFmtId="14" fontId="0" fillId="71" borderId="70" xfId="0" applyNumberFormat="1" applyFill="1" applyBorder="1"/>
    <xf numFmtId="0" fontId="0" fillId="72" borderId="71" xfId="0" applyFill="1" applyBorder="1" applyAlignment="1">
      <alignment horizontal="center"/>
    </xf>
    <xf numFmtId="0" fontId="0" fillId="72" borderId="71" xfId="0" applyFill="1" applyBorder="1"/>
    <xf numFmtId="14" fontId="0" fillId="72" borderId="71" xfId="0" applyNumberFormat="1" applyFill="1" applyBorder="1"/>
    <xf numFmtId="0" fontId="0" fillId="71" borderId="70" xfId="0" applyFill="1" applyBorder="1" applyAlignment="1">
      <alignment horizontal="center"/>
    </xf>
    <xf numFmtId="2" fontId="0" fillId="71" borderId="70" xfId="0" applyNumberFormat="1" applyFill="1" applyBorder="1"/>
    <xf numFmtId="0" fontId="0" fillId="0" borderId="0" xfId="4" applyAlignment="1">
      <alignment horizontal="center"/>
    </xf>
    <xf numFmtId="0" fontId="34" fillId="73" borderId="72" xfId="4" applyFont="1" applyFill="1" applyAlignment="1">
      <alignment horizontal="center"/>
    </xf>
    <xf numFmtId="0" fontId="34" fillId="73" borderId="72" xfId="4" applyFont="1" applyFill="1" applyAlignment="1">
      <alignment horizontal="left"/>
    </xf>
    <xf numFmtId="0" fontId="35" fillId="73" borderId="72" xfId="4" applyFont="1" applyFill="1" applyAlignment="1">
      <alignment horizontal="center"/>
    </xf>
    <xf numFmtId="0" fontId="6" fillId="0" borderId="0" xfId="4" applyFont="1" applyAlignment="1">
      <alignment horizontal="left"/>
    </xf>
    <xf numFmtId="0" fontId="16" fillId="73" borderId="72" xfId="4" applyFont="1" applyFill="1" applyAlignment="1">
      <alignment horizontal="left"/>
    </xf>
    <xf numFmtId="0" fontId="16" fillId="73" borderId="72" xfId="4" applyFont="1" applyFill="1" applyAlignment="1">
      <alignment horizontal="center"/>
    </xf>
    <xf numFmtId="0" fontId="16" fillId="74" borderId="73" xfId="4" applyFont="1" applyFill="1" applyAlignment="1">
      <alignment horizontal="left"/>
    </xf>
    <xf numFmtId="0" fontId="36" fillId="73" borderId="72" xfId="4" applyFont="1" applyFill="1" applyAlignment="1">
      <alignment horizontal="center"/>
    </xf>
    <xf numFmtId="0" fontId="34" fillId="75" borderId="74" xfId="4" applyFont="1" applyFill="1" applyAlignment="1">
      <alignment horizontal="center"/>
    </xf>
    <xf numFmtId="0" fontId="34" fillId="75" borderId="74" xfId="4" applyFont="1" applyFill="1" applyAlignment="1">
      <alignment horizontal="left"/>
    </xf>
    <xf numFmtId="0" fontId="35" fillId="75" borderId="74" xfId="4" applyFont="1" applyFill="1" applyAlignment="1">
      <alignment horizontal="center"/>
    </xf>
    <xf numFmtId="0" fontId="16" fillId="75" borderId="74" xfId="4" applyFont="1" applyFill="1" applyAlignment="1">
      <alignment horizontal="left"/>
    </xf>
    <xf numFmtId="0" fontId="16" fillId="75" borderId="74" xfId="4" applyFont="1" applyFill="1" applyAlignment="1">
      <alignment horizontal="center"/>
    </xf>
    <xf numFmtId="0" fontId="36" fillId="75" borderId="74" xfId="4" applyFont="1" applyFill="1" applyAlignment="1">
      <alignment horizontal="center"/>
    </xf>
    <xf numFmtId="0" fontId="0" fillId="0" borderId="0" xfId="4" applyAlignment="1">
      <alignment horizontal="left"/>
    </xf>
    <xf numFmtId="0" fontId="16" fillId="76" borderId="75" xfId="4" applyFont="1" applyFill="1" applyAlignment="1">
      <alignment horizontal="left"/>
    </xf>
    <xf numFmtId="1" fontId="0" fillId="0" borderId="0" xfId="4" applyNumberFormat="1"/>
    <xf numFmtId="14" fontId="0" fillId="0" borderId="0" xfId="4" applyNumberFormat="1"/>
    <xf numFmtId="0" fontId="37" fillId="0" borderId="0" xfId="4" applyFont="1"/>
    <xf numFmtId="171" fontId="38" fillId="16" borderId="15" xfId="4" applyNumberFormat="1" applyFont="1" applyFill="1" applyAlignment="1">
      <alignment horizontal="center"/>
    </xf>
    <xf numFmtId="171" fontId="37" fillId="77" borderId="76" xfId="4" applyNumberFormat="1" applyFont="1" applyFill="1" applyAlignment="1">
      <alignment horizontal="center"/>
    </xf>
    <xf numFmtId="2" fontId="32" fillId="77" borderId="76" xfId="4" applyNumberFormat="1" applyFont="1" applyFill="1" applyAlignment="1">
      <alignment horizontal="right"/>
    </xf>
    <xf numFmtId="2" fontId="39" fillId="78" borderId="77" xfId="4" applyNumberFormat="1" applyFont="1" applyFill="1" applyAlignment="1">
      <alignment horizontal="right"/>
    </xf>
    <xf numFmtId="2" fontId="37" fillId="77" borderId="76" xfId="4" applyNumberFormat="1" applyFont="1" applyFill="1" applyAlignment="1">
      <alignment horizontal="right"/>
    </xf>
    <xf numFmtId="0" fontId="33" fillId="0" borderId="0" xfId="4" applyFont="1" applyAlignment="1">
      <alignment horizontal="center"/>
    </xf>
    <xf numFmtId="1" fontId="40" fillId="0" borderId="0" xfId="4" applyNumberFormat="1" applyFont="1" applyAlignment="1">
      <alignment horizontal="right"/>
    </xf>
    <xf numFmtId="2" fontId="38" fillId="16" borderId="15" xfId="4" applyNumberFormat="1" applyFont="1" applyFill="1" applyAlignment="1">
      <alignment horizontal="right"/>
    </xf>
    <xf numFmtId="171" fontId="37" fillId="16" borderId="15" xfId="4" applyNumberFormat="1" applyFont="1" applyFill="1" applyAlignment="1">
      <alignment horizontal="center"/>
    </xf>
    <xf numFmtId="2" fontId="37" fillId="16" borderId="15" xfId="4" applyNumberFormat="1" applyFont="1" applyFill="1" applyAlignment="1">
      <alignment horizontal="right"/>
    </xf>
    <xf numFmtId="0" fontId="0" fillId="16" borderId="15" xfId="4" applyFill="1" applyAlignment="1">
      <alignment horizontal="center"/>
    </xf>
    <xf numFmtId="0" fontId="36" fillId="5" borderId="4" xfId="4" applyFont="1" applyFill="1" applyAlignment="1">
      <alignment horizontal="center"/>
    </xf>
    <xf numFmtId="0" fontId="16" fillId="79" borderId="78" xfId="4" applyFont="1" applyFill="1" applyBorder="1" applyAlignment="1">
      <alignment horizontal="left"/>
    </xf>
    <xf numFmtId="14" fontId="25" fillId="0" borderId="0" xfId="4" applyNumberFormat="1" applyFont="1"/>
    <xf numFmtId="0" fontId="33" fillId="38" borderId="37" xfId="5" applyFill="1"/>
    <xf numFmtId="0" fontId="34" fillId="46" borderId="45" xfId="4" applyFont="1" applyFill="1" applyAlignment="1">
      <alignment horizontal="left"/>
    </xf>
    <xf numFmtId="0" fontId="34" fillId="46" borderId="45" xfId="4" applyFont="1" applyFill="1" applyAlignment="1">
      <alignment horizontal="center"/>
    </xf>
    <xf numFmtId="0" fontId="35" fillId="46" borderId="45" xfId="4" applyFont="1" applyFill="1" applyAlignment="1">
      <alignment horizontal="center"/>
    </xf>
    <xf numFmtId="0" fontId="16" fillId="46" borderId="45" xfId="4" applyFont="1" applyFill="1" applyAlignment="1">
      <alignment horizontal="left"/>
    </xf>
    <xf numFmtId="0" fontId="16" fillId="46" borderId="45" xfId="4" applyFont="1" applyFill="1" applyAlignment="1">
      <alignment horizontal="center"/>
    </xf>
    <xf numFmtId="0" fontId="36" fillId="46" borderId="45" xfId="4" applyFont="1" applyFill="1" applyAlignment="1">
      <alignment horizontal="center"/>
    </xf>
    <xf numFmtId="0" fontId="0" fillId="70" borderId="69" xfId="4" applyFill="1" applyAlignment="1">
      <alignment horizontal="right"/>
    </xf>
    <xf numFmtId="0" fontId="17" fillId="70" borderId="69" xfId="4" applyFont="1" applyFill="1" applyAlignment="1">
      <alignment horizontal="right"/>
    </xf>
    <xf numFmtId="14" fontId="2" fillId="0" borderId="0" xfId="4" applyNumberFormat="1" applyFont="1"/>
    <xf numFmtId="0" fontId="16" fillId="80" borderId="79" xfId="4" applyFont="1" applyFill="1" applyBorder="1" applyAlignment="1">
      <alignment horizontal="center"/>
    </xf>
    <xf numFmtId="2" fontId="0" fillId="0" borderId="1" xfId="4" applyNumberFormat="1" applyBorder="1" applyAlignment="1">
      <alignment horizontal="right"/>
    </xf>
    <xf numFmtId="2" fontId="7" fillId="6" borderId="5" xfId="4" applyNumberFormat="1" applyFont="1" applyFill="1" applyBorder="1" applyAlignment="1">
      <alignment horizontal="right"/>
    </xf>
    <xf numFmtId="2" fontId="0" fillId="81" borderId="80" xfId="4" applyNumberFormat="1" applyFill="1" applyBorder="1" applyAlignment="1">
      <alignment horizontal="right"/>
    </xf>
    <xf numFmtId="2" fontId="0" fillId="6" borderId="5" xfId="4" applyNumberFormat="1" applyFill="1" applyBorder="1" applyAlignment="1">
      <alignment horizontal="right"/>
    </xf>
    <xf numFmtId="2" fontId="17" fillId="6" borderId="5" xfId="4" applyNumberFormat="1" applyFont="1" applyFill="1" applyBorder="1" applyAlignment="1">
      <alignment horizontal="right"/>
    </xf>
    <xf numFmtId="2" fontId="2" fillId="6" borderId="5" xfId="4" applyNumberFormat="1" applyFont="1" applyFill="1" applyBorder="1" applyAlignment="1">
      <alignment horizontal="right"/>
    </xf>
    <xf numFmtId="2" fontId="37" fillId="0" borderId="1" xfId="4" applyNumberFormat="1" applyFont="1" applyBorder="1" applyAlignment="1">
      <alignment horizontal="right"/>
    </xf>
    <xf numFmtId="2" fontId="37" fillId="6" borderId="5" xfId="4" applyNumberFormat="1" applyFont="1" applyFill="1" applyBorder="1" applyAlignment="1">
      <alignment horizontal="right"/>
    </xf>
    <xf numFmtId="2" fontId="32" fillId="6" borderId="5" xfId="4" applyNumberFormat="1" applyFont="1" applyFill="1" applyBorder="1" applyAlignment="1">
      <alignment horizontal="right"/>
    </xf>
    <xf numFmtId="2" fontId="38" fillId="6" borderId="5" xfId="4" applyNumberFormat="1" applyFont="1" applyFill="1" applyBorder="1" applyAlignment="1">
      <alignment horizontal="right"/>
    </xf>
    <xf numFmtId="2" fontId="28" fillId="6" borderId="5" xfId="4" applyNumberFormat="1" applyFont="1" applyFill="1" applyBorder="1" applyAlignment="1">
      <alignment horizontal="right"/>
    </xf>
    <xf numFmtId="2" fontId="32" fillId="81" borderId="80" xfId="4" applyNumberFormat="1" applyFont="1" applyFill="1" applyBorder="1" applyAlignment="1">
      <alignment horizontal="right"/>
    </xf>
    <xf numFmtId="2" fontId="37" fillId="81" borderId="80" xfId="4" applyNumberFormat="1" applyFont="1" applyFill="1" applyBorder="1" applyAlignment="1">
      <alignment horizontal="right"/>
    </xf>
    <xf numFmtId="2" fontId="39" fillId="82" borderId="81" xfId="4" applyNumberFormat="1" applyFont="1" applyFill="1" applyBorder="1" applyAlignment="1">
      <alignment horizontal="right"/>
    </xf>
    <xf numFmtId="2" fontId="42" fillId="6" borderId="5" xfId="4" applyNumberFormat="1" applyFont="1" applyFill="1" applyBorder="1" applyAlignment="1">
      <alignment horizontal="right"/>
    </xf>
    <xf numFmtId="0" fontId="37" fillId="0" borderId="1" xfId="4" applyFont="1" applyBorder="1"/>
    <xf numFmtId="0" fontId="7" fillId="0" borderId="1" xfId="4" applyFont="1" applyBorder="1"/>
    <xf numFmtId="2" fontId="39" fillId="6" borderId="5" xfId="4" applyNumberFormat="1" applyFont="1" applyFill="1" applyBorder="1" applyAlignment="1">
      <alignment horizontal="right"/>
    </xf>
    <xf numFmtId="2" fontId="37" fillId="83" borderId="82" xfId="4" applyNumberFormat="1" applyFont="1" applyFill="1" applyBorder="1" applyAlignment="1">
      <alignment horizontal="right"/>
    </xf>
    <xf numFmtId="2" fontId="39" fillId="83" borderId="82" xfId="4" applyNumberFormat="1" applyFont="1" applyFill="1" applyBorder="1" applyAlignment="1">
      <alignment horizontal="right"/>
    </xf>
    <xf numFmtId="0" fontId="38" fillId="0" borderId="1" xfId="4" applyFont="1" applyBorder="1"/>
    <xf numFmtId="171" fontId="38" fillId="6" borderId="5" xfId="4" applyNumberFormat="1" applyFont="1" applyFill="1" applyBorder="1" applyAlignment="1">
      <alignment horizontal="center"/>
    </xf>
    <xf numFmtId="171" fontId="37" fillId="6" borderId="5" xfId="4" applyNumberFormat="1" applyFont="1" applyFill="1" applyBorder="1" applyAlignment="1">
      <alignment horizontal="center"/>
    </xf>
    <xf numFmtId="171" fontId="37" fillId="81" borderId="80" xfId="4" applyNumberFormat="1" applyFont="1" applyFill="1" applyBorder="1" applyAlignment="1">
      <alignment horizontal="center"/>
    </xf>
    <xf numFmtId="0" fontId="33" fillId="0" borderId="1" xfId="5" applyBorder="1"/>
    <xf numFmtId="0" fontId="0" fillId="84" borderId="83" xfId="4" applyFill="1" applyAlignment="1">
      <alignment horizontal="left"/>
    </xf>
    <xf numFmtId="0" fontId="43" fillId="0" borderId="0" xfId="0" applyFont="1"/>
    <xf numFmtId="168" fontId="0" fillId="0" borderId="0" xfId="0" applyNumberFormat="1"/>
    <xf numFmtId="0" fontId="8" fillId="0" borderId="0" xfId="0" applyFont="1"/>
    <xf numFmtId="14" fontId="8" fillId="0" borderId="0" xfId="0" applyNumberFormat="1" applyFont="1" applyAlignment="1">
      <alignment horizontal="center"/>
    </xf>
    <xf numFmtId="0" fontId="2" fillId="85" borderId="84" xfId="0" applyFont="1" applyFill="1" applyBorder="1" applyAlignment="1">
      <alignment horizontal="center" wrapText="1"/>
    </xf>
    <xf numFmtId="0" fontId="2" fillId="0" borderId="0" xfId="0" applyFont="1" applyAlignment="1">
      <alignment horizontal="right"/>
    </xf>
    <xf numFmtId="1" fontId="2" fillId="86" borderId="85" xfId="0" applyNumberFormat="1" applyFont="1" applyFill="1" applyBorder="1" applyAlignment="1">
      <alignment horizontal="center" wrapText="1"/>
    </xf>
    <xf numFmtId="0" fontId="9" fillId="0" borderId="1" xfId="0" applyFont="1" applyBorder="1" applyAlignment="1">
      <alignment horizontal="center"/>
    </xf>
    <xf numFmtId="0" fontId="45" fillId="87" borderId="86" xfId="0" applyFont="1" applyFill="1" applyBorder="1"/>
    <xf numFmtId="177" fontId="45" fillId="87" borderId="86" xfId="0" applyNumberFormat="1" applyFont="1" applyFill="1" applyBorder="1"/>
    <xf numFmtId="177" fontId="45" fillId="30" borderId="29" xfId="0" applyNumberFormat="1" applyFont="1" applyFill="1" applyBorder="1"/>
    <xf numFmtId="0" fontId="2" fillId="0" borderId="60" xfId="0" applyFont="1" applyBorder="1"/>
    <xf numFmtId="168" fontId="0" fillId="0" borderId="7" xfId="0" applyNumberFormat="1" applyBorder="1"/>
    <xf numFmtId="0" fontId="2" fillId="88" borderId="87" xfId="0" applyFont="1" applyFill="1" applyBorder="1" applyAlignment="1">
      <alignment wrapText="1"/>
    </xf>
    <xf numFmtId="166" fontId="2" fillId="89" borderId="88" xfId="2" applyNumberFormat="1" applyFont="1" applyFill="1" applyBorder="1"/>
    <xf numFmtId="0" fontId="2" fillId="0" borderId="61" xfId="0" applyFont="1" applyBorder="1"/>
    <xf numFmtId="168" fontId="2" fillId="0" borderId="49" xfId="0" applyNumberFormat="1" applyFont="1" applyBorder="1"/>
    <xf numFmtId="166" fontId="2" fillId="0" borderId="53" xfId="2" applyNumberFormat="1" applyFont="1" applyBorder="1"/>
    <xf numFmtId="0" fontId="0" fillId="90" borderId="89" xfId="0" applyFill="1" applyBorder="1" applyAlignment="1">
      <alignment horizontal="right"/>
    </xf>
    <xf numFmtId="168" fontId="0" fillId="91" borderId="90" xfId="0" applyNumberFormat="1" applyFill="1" applyBorder="1"/>
    <xf numFmtId="0" fontId="0" fillId="92" borderId="91" xfId="0" applyFill="1" applyBorder="1" applyAlignment="1">
      <alignment horizontal="right"/>
    </xf>
    <xf numFmtId="166" fontId="0" fillId="0" borderId="53" xfId="2" applyNumberFormat="1" applyBorder="1"/>
    <xf numFmtId="0" fontId="0" fillId="93" borderId="92" xfId="0" applyFill="1" applyBorder="1" applyAlignment="1">
      <alignment horizontal="right"/>
    </xf>
    <xf numFmtId="168" fontId="0" fillId="94" borderId="93" xfId="0" applyNumberFormat="1" applyFill="1" applyBorder="1" applyAlignment="1">
      <alignment horizontal="right"/>
    </xf>
    <xf numFmtId="0" fontId="0" fillId="0" borderId="61" xfId="0" applyBorder="1"/>
    <xf numFmtId="168" fontId="0" fillId="0" borderId="49" xfId="0" applyNumberFormat="1" applyBorder="1"/>
    <xf numFmtId="0" fontId="0" fillId="0" borderId="61" xfId="0" applyBorder="1" applyAlignment="1">
      <alignment horizontal="right"/>
    </xf>
    <xf numFmtId="0" fontId="0" fillId="95" borderId="94" xfId="0" applyFill="1" applyBorder="1" applyAlignment="1">
      <alignment horizontal="right"/>
    </xf>
    <xf numFmtId="168" fontId="0" fillId="96" borderId="95" xfId="0" applyNumberFormat="1" applyFill="1" applyBorder="1" applyAlignment="1">
      <alignment horizontal="right"/>
    </xf>
    <xf numFmtId="177" fontId="2" fillId="97" borderId="96" xfId="0" applyNumberFormat="1" applyFont="1" applyFill="1" applyBorder="1"/>
    <xf numFmtId="168" fontId="0" fillId="0" borderId="49" xfId="0" applyNumberFormat="1" applyBorder="1" applyAlignment="1">
      <alignment horizontal="right"/>
    </xf>
    <xf numFmtId="168" fontId="2" fillId="0" borderId="49" xfId="0" applyNumberFormat="1" applyFont="1" applyBorder="1" applyAlignment="1">
      <alignment horizontal="right"/>
    </xf>
    <xf numFmtId="168" fontId="0" fillId="0" borderId="53" xfId="0" applyNumberFormat="1" applyBorder="1"/>
    <xf numFmtId="0" fontId="0" fillId="98" borderId="97" xfId="0" applyFill="1" applyBorder="1" applyAlignment="1">
      <alignment horizontal="right"/>
    </xf>
    <xf numFmtId="177" fontId="10" fillId="97" borderId="96" xfId="0" applyNumberFormat="1" applyFont="1" applyFill="1" applyBorder="1"/>
    <xf numFmtId="0" fontId="10" fillId="0" borderId="0" xfId="0" applyFont="1"/>
    <xf numFmtId="0" fontId="2" fillId="99" borderId="98" xfId="0" applyFont="1" applyFill="1" applyBorder="1"/>
    <xf numFmtId="166" fontId="2" fillId="97" borderId="96" xfId="2" applyNumberFormat="1" applyFont="1" applyFill="1" applyBorder="1"/>
    <xf numFmtId="0" fontId="45" fillId="30" borderId="29" xfId="0" applyFont="1" applyFill="1" applyBorder="1"/>
    <xf numFmtId="0" fontId="8" fillId="0" borderId="0" xfId="0" applyFont="1" applyAlignment="1">
      <alignment wrapText="1"/>
    </xf>
    <xf numFmtId="14" fontId="8" fillId="0" borderId="0" xfId="0" applyNumberFormat="1" applyFont="1" applyAlignment="1">
      <alignment wrapText="1"/>
    </xf>
    <xf numFmtId="178" fontId="2" fillId="0" borderId="0" xfId="0" applyNumberFormat="1" applyFont="1"/>
    <xf numFmtId="178" fontId="2" fillId="0" borderId="0" xfId="0" applyNumberFormat="1" applyFont="1" applyAlignment="1">
      <alignment horizontal="center"/>
    </xf>
    <xf numFmtId="0" fontId="2" fillId="100" borderId="99" xfId="0" applyFont="1" applyFill="1" applyBorder="1" applyAlignment="1">
      <alignment horizontal="center"/>
    </xf>
    <xf numFmtId="179" fontId="2" fillId="100" borderId="99" xfId="3" applyNumberFormat="1" applyFont="1" applyFill="1" applyBorder="1" applyAlignment="1">
      <alignment horizontal="center" wrapText="1"/>
    </xf>
    <xf numFmtId="0" fontId="2" fillId="100" borderId="99" xfId="0" applyFont="1" applyFill="1" applyBorder="1" applyAlignment="1">
      <alignment horizontal="right"/>
    </xf>
    <xf numFmtId="0" fontId="0" fillId="101" borderId="100" xfId="0" applyFill="1" applyBorder="1" applyAlignment="1">
      <alignment horizontal="right"/>
    </xf>
    <xf numFmtId="168" fontId="0" fillId="102" borderId="101" xfId="0" applyNumberFormat="1" applyFill="1" applyBorder="1"/>
    <xf numFmtId="180" fontId="2" fillId="100" borderId="99" xfId="1" applyNumberFormat="1" applyFont="1" applyFill="1" applyBorder="1" applyAlignment="1">
      <alignment horizontal="center" wrapText="1"/>
    </xf>
    <xf numFmtId="166" fontId="10" fillId="0" borderId="1" xfId="2" applyNumberFormat="1" applyFont="1" applyBorder="1"/>
    <xf numFmtId="165" fontId="2" fillId="100" borderId="99" xfId="3" applyFont="1" applyFill="1" applyBorder="1" applyAlignment="1">
      <alignment horizontal="center" wrapText="1"/>
    </xf>
    <xf numFmtId="166" fontId="10" fillId="0" borderId="3" xfId="2" applyNumberFormat="1" applyFont="1" applyBorder="1" applyAlignment="1">
      <alignment horizontal="center"/>
    </xf>
    <xf numFmtId="9" fontId="2" fillId="0" borderId="7" xfId="2" applyFont="1" applyBorder="1"/>
    <xf numFmtId="168" fontId="0" fillId="0" borderId="62" xfId="0" applyNumberFormat="1" applyBorder="1"/>
    <xf numFmtId="0" fontId="7" fillId="0" borderId="0" xfId="0" applyFont="1" applyAlignment="1">
      <alignment horizontal="right"/>
    </xf>
    <xf numFmtId="168" fontId="7" fillId="0" borderId="0" xfId="0" applyNumberFormat="1" applyFont="1"/>
    <xf numFmtId="2" fontId="47" fillId="0" borderId="0" xfId="0" applyNumberFormat="1" applyFont="1"/>
    <xf numFmtId="0" fontId="32" fillId="0" borderId="0" xfId="0" applyFont="1" applyAlignment="1">
      <alignment horizontal="right"/>
    </xf>
    <xf numFmtId="168" fontId="32" fillId="0" borderId="0" xfId="0" applyNumberFormat="1" applyFont="1"/>
    <xf numFmtId="168" fontId="2" fillId="0" borderId="0" xfId="0" applyNumberFormat="1" applyFont="1"/>
    <xf numFmtId="179" fontId="0" fillId="0" borderId="0" xfId="0" applyNumberFormat="1"/>
    <xf numFmtId="177" fontId="0" fillId="0" borderId="0" xfId="0" applyNumberFormat="1"/>
    <xf numFmtId="0" fontId="2" fillId="0" borderId="0" xfId="0" applyFont="1" applyAlignment="1">
      <alignment wrapText="1"/>
    </xf>
    <xf numFmtId="0" fontId="2" fillId="71" borderId="70" xfId="0" applyFont="1" applyFill="1" applyBorder="1" applyAlignment="1">
      <alignment wrapText="1"/>
    </xf>
    <xf numFmtId="177" fontId="0" fillId="71" borderId="70" xfId="0" applyNumberFormat="1" applyFill="1" applyBorder="1"/>
    <xf numFmtId="177" fontId="0" fillId="71" borderId="70" xfId="0" applyNumberFormat="1" applyFill="1" applyBorder="1" applyAlignment="1">
      <alignment horizontal="center"/>
    </xf>
    <xf numFmtId="14" fontId="8" fillId="70" borderId="69" xfId="0" applyNumberFormat="1" applyFont="1" applyFill="1" applyAlignment="1">
      <alignment horizontal="center"/>
    </xf>
    <xf numFmtId="1" fontId="2" fillId="71" borderId="70" xfId="0" applyNumberFormat="1" applyFont="1" applyFill="1" applyBorder="1" applyAlignment="1">
      <alignment horizontal="center" wrapText="1"/>
    </xf>
    <xf numFmtId="177" fontId="0" fillId="103" borderId="102" xfId="0" applyNumberFormat="1" applyFill="1" applyBorder="1"/>
    <xf numFmtId="177" fontId="10" fillId="103" borderId="102" xfId="0" applyNumberFormat="1" applyFont="1" applyFill="1" applyBorder="1"/>
    <xf numFmtId="0" fontId="2" fillId="103" borderId="102" xfId="0" applyFont="1" applyFill="1" applyBorder="1" applyAlignment="1">
      <alignment wrapText="1"/>
    </xf>
    <xf numFmtId="0" fontId="2" fillId="103" borderId="102" xfId="0" applyFont="1" applyFill="1" applyBorder="1"/>
    <xf numFmtId="0" fontId="10" fillId="103" borderId="102" xfId="0" applyFont="1" applyFill="1" applyBorder="1" applyAlignment="1">
      <alignment wrapText="1"/>
    </xf>
    <xf numFmtId="0" fontId="10" fillId="103" borderId="102" xfId="0" applyFont="1" applyFill="1" applyBorder="1"/>
    <xf numFmtId="0" fontId="48" fillId="71" borderId="70" xfId="0" applyFont="1" applyFill="1" applyBorder="1"/>
    <xf numFmtId="0" fontId="48" fillId="71" borderId="70" xfId="0" applyFont="1" applyFill="1" applyBorder="1" applyAlignment="1">
      <alignment wrapText="1"/>
    </xf>
    <xf numFmtId="177" fontId="48" fillId="71" borderId="70" xfId="0" applyNumberFormat="1" applyFont="1" applyFill="1" applyBorder="1"/>
    <xf numFmtId="0" fontId="48" fillId="0" borderId="0" xfId="0" applyFont="1"/>
    <xf numFmtId="166" fontId="48" fillId="0" borderId="1" xfId="0" applyNumberFormat="1" applyFont="1" applyBorder="1"/>
    <xf numFmtId="0" fontId="49" fillId="0" borderId="0" xfId="0" applyFont="1"/>
    <xf numFmtId="177" fontId="2" fillId="23" borderId="22" xfId="0" applyNumberFormat="1" applyFont="1" applyFill="1" applyBorder="1"/>
    <xf numFmtId="177" fontId="48" fillId="23" borderId="22" xfId="0" applyNumberFormat="1" applyFont="1" applyFill="1" applyBorder="1"/>
    <xf numFmtId="0" fontId="2" fillId="71" borderId="70" xfId="0" applyFont="1" applyFill="1" applyBorder="1" applyAlignment="1">
      <alignment horizontal="center" wrapText="1"/>
    </xf>
    <xf numFmtId="0" fontId="45" fillId="104" borderId="103" xfId="0" applyFont="1" applyFill="1" applyBorder="1"/>
    <xf numFmtId="177" fontId="45" fillId="104" borderId="103" xfId="0" applyNumberFormat="1" applyFont="1" applyFill="1" applyBorder="1"/>
    <xf numFmtId="177" fontId="45" fillId="105" borderId="104" xfId="0" applyNumberFormat="1" applyFont="1" applyFill="1" applyBorder="1"/>
    <xf numFmtId="166" fontId="2" fillId="0" borderId="0" xfId="2" applyNumberFormat="1" applyFont="1"/>
    <xf numFmtId="0" fontId="0" fillId="0" borderId="49" xfId="0" applyBorder="1"/>
    <xf numFmtId="0" fontId="0" fillId="106" borderId="105" xfId="0" applyFill="1" applyBorder="1" applyAlignment="1">
      <alignment horizontal="right"/>
    </xf>
    <xf numFmtId="168" fontId="0" fillId="107" borderId="106" xfId="0" applyNumberFormat="1" applyFill="1" applyBorder="1"/>
    <xf numFmtId="0" fontId="9" fillId="0" borderId="54" xfId="0" applyFont="1" applyBorder="1" applyAlignment="1">
      <alignment horizontal="right"/>
    </xf>
    <xf numFmtId="168" fontId="9" fillId="0" borderId="48" xfId="0" applyNumberFormat="1" applyFont="1" applyBorder="1"/>
    <xf numFmtId="168" fontId="0" fillId="17" borderId="16" xfId="0" applyNumberFormat="1" applyFill="1"/>
    <xf numFmtId="168" fontId="0" fillId="21" borderId="20" xfId="0" applyNumberFormat="1" applyFill="1"/>
    <xf numFmtId="168" fontId="2" fillId="0" borderId="0" xfId="0" applyNumberFormat="1" applyFont="1" applyAlignment="1">
      <alignment horizontal="right"/>
    </xf>
    <xf numFmtId="168" fontId="0" fillId="108" borderId="107" xfId="0" applyNumberFormat="1" applyFill="1" applyAlignment="1">
      <alignment horizontal="right"/>
    </xf>
    <xf numFmtId="168" fontId="0" fillId="108" borderId="107" xfId="0" applyNumberFormat="1" applyFill="1"/>
    <xf numFmtId="0" fontId="0" fillId="109" borderId="108" xfId="0" applyFill="1" applyBorder="1" applyAlignment="1">
      <alignment horizontal="right"/>
    </xf>
    <xf numFmtId="9" fontId="2" fillId="0" borderId="51" xfId="2" applyFont="1" applyBorder="1"/>
    <xf numFmtId="166" fontId="0" fillId="0" borderId="51" xfId="2" applyNumberFormat="1" applyBorder="1"/>
    <xf numFmtId="0" fontId="0" fillId="0" borderId="54" xfId="0" applyBorder="1" applyAlignment="1">
      <alignment horizontal="right"/>
    </xf>
    <xf numFmtId="168" fontId="0" fillId="0" borderId="63" xfId="0" applyNumberFormat="1" applyBorder="1"/>
    <xf numFmtId="168" fontId="0" fillId="66" borderId="65" xfId="0" applyNumberFormat="1" applyFill="1" applyAlignment="1">
      <alignment horizontal="right"/>
    </xf>
    <xf numFmtId="0" fontId="9" fillId="0" borderId="3" xfId="0" applyFont="1" applyBorder="1" applyAlignment="1">
      <alignment horizontal="center"/>
    </xf>
    <xf numFmtId="0" fontId="9" fillId="0" borderId="0" xfId="0" applyFont="1" applyAlignment="1">
      <alignment horizontal="left"/>
    </xf>
    <xf numFmtId="0" fontId="50" fillId="0" borderId="0" xfId="4" applyFont="1"/>
    <xf numFmtId="0" fontId="51" fillId="0" borderId="0" xfId="4" applyFont="1" applyAlignment="1">
      <alignment horizontal="center"/>
    </xf>
    <xf numFmtId="0" fontId="52" fillId="0" borderId="0" xfId="4" applyFont="1" applyAlignment="1">
      <alignment horizontal="left"/>
    </xf>
    <xf numFmtId="0" fontId="50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171" fontId="51" fillId="0" borderId="1" xfId="0" applyNumberFormat="1" applyFont="1" applyBorder="1"/>
    <xf numFmtId="173" fontId="51" fillId="0" borderId="1" xfId="3" applyNumberFormat="1" applyFont="1" applyBorder="1" applyAlignment="1">
      <alignment horizontal="center"/>
    </xf>
    <xf numFmtId="0" fontId="51" fillId="0" borderId="0" xfId="0" applyFont="1"/>
    <xf numFmtId="170" fontId="50" fillId="0" borderId="0" xfId="3" applyNumberFormat="1" applyFont="1"/>
    <xf numFmtId="181" fontId="2" fillId="0" borderId="0" xfId="4" applyNumberFormat="1" applyFont="1"/>
    <xf numFmtId="171" fontId="0" fillId="6" borderId="5" xfId="4" applyNumberFormat="1" applyFill="1" applyBorder="1" applyAlignment="1">
      <alignment horizontal="center"/>
    </xf>
    <xf numFmtId="171" fontId="7" fillId="6" borderId="5" xfId="4" applyNumberFormat="1" applyFont="1" applyFill="1" applyBorder="1" applyAlignment="1">
      <alignment horizontal="center"/>
    </xf>
    <xf numFmtId="2" fontId="15" fillId="6" borderId="5" xfId="4" applyNumberFormat="1" applyFont="1" applyFill="1" applyBorder="1" applyAlignment="1">
      <alignment horizontal="right"/>
    </xf>
    <xf numFmtId="177" fontId="2" fillId="71" borderId="70" xfId="0" applyNumberFormat="1" applyFont="1" applyFill="1" applyBorder="1"/>
    <xf numFmtId="177" fontId="2" fillId="71" borderId="70" xfId="0" applyNumberFormat="1" applyFont="1" applyFill="1" applyBorder="1" applyAlignment="1">
      <alignment horizontal="center"/>
    </xf>
    <xf numFmtId="177" fontId="2" fillId="103" borderId="102" xfId="0" applyNumberFormat="1" applyFont="1" applyFill="1" applyBorder="1"/>
    <xf numFmtId="2" fontId="32" fillId="16" borderId="15" xfId="4" applyNumberFormat="1" applyFont="1" applyFill="1" applyAlignment="1">
      <alignment horizontal="right"/>
    </xf>
    <xf numFmtId="177" fontId="43" fillId="0" borderId="0" xfId="0" applyNumberFormat="1" applyFont="1"/>
    <xf numFmtId="1" fontId="0" fillId="0" borderId="1" xfId="0" applyNumberFormat="1" applyBorder="1"/>
    <xf numFmtId="182" fontId="12" fillId="25" borderId="24" xfId="0" applyNumberFormat="1" applyFont="1" applyFill="1" applyBorder="1" applyAlignment="1">
      <alignment horizontal="center" vertical="center"/>
    </xf>
    <xf numFmtId="0" fontId="0" fillId="110" borderId="109" xfId="4" applyFill="1" applyBorder="1" applyAlignment="1">
      <alignment horizontal="right"/>
    </xf>
    <xf numFmtId="0" fontId="2" fillId="111" borderId="110" xfId="0" applyFont="1" applyFill="1" applyAlignment="1">
      <alignment horizontal="center"/>
    </xf>
    <xf numFmtId="0" fontId="9" fillId="0" borderId="0" xfId="0" applyFont="1" applyAlignment="1">
      <alignment horizontal="center"/>
    </xf>
    <xf numFmtId="14" fontId="0" fillId="111" borderId="110" xfId="0" applyNumberFormat="1" applyFill="1" applyAlignment="1">
      <alignment horizontal="center"/>
    </xf>
    <xf numFmtId="0" fontId="41" fillId="0" borderId="0" xfId="5" applyFont="1" applyAlignment="1">
      <alignment horizontal="center"/>
    </xf>
    <xf numFmtId="0" fontId="16" fillId="112" borderId="111" xfId="4" applyFont="1" applyFill="1" applyBorder="1" applyAlignment="1">
      <alignment horizontal="left"/>
    </xf>
    <xf numFmtId="0" fontId="16" fillId="113" borderId="112" xfId="4" applyFont="1" applyFill="1" applyBorder="1" applyAlignment="1">
      <alignment horizontal="left"/>
    </xf>
    <xf numFmtId="0" fontId="44" fillId="114" borderId="113" xfId="0" applyFont="1" applyFill="1" applyBorder="1" applyAlignment="1">
      <alignment horizontal="center"/>
    </xf>
    <xf numFmtId="0" fontId="44" fillId="115" borderId="114" xfId="0" applyFont="1" applyFill="1" applyBorder="1" applyAlignment="1">
      <alignment horizontal="center"/>
    </xf>
    <xf numFmtId="0" fontId="44" fillId="116" borderId="115" xfId="0" applyFont="1" applyFill="1" applyBorder="1" applyAlignment="1">
      <alignment horizontal="center"/>
    </xf>
    <xf numFmtId="0" fontId="0" fillId="0" borderId="60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3" xfId="0" applyBorder="1" applyAlignment="1">
      <alignment horizontal="right"/>
    </xf>
    <xf numFmtId="0" fontId="9" fillId="117" borderId="116" xfId="0" applyFont="1" applyFill="1" applyBorder="1" applyAlignment="1">
      <alignment horizontal="center"/>
    </xf>
    <xf numFmtId="0" fontId="9" fillId="118" borderId="117" xfId="0" applyFont="1" applyFill="1" applyBorder="1" applyAlignment="1">
      <alignment horizontal="center"/>
    </xf>
    <xf numFmtId="0" fontId="9" fillId="119" borderId="118" xfId="0" applyFont="1" applyFill="1" applyBorder="1" applyAlignment="1">
      <alignment horizontal="center"/>
    </xf>
    <xf numFmtId="0" fontId="9" fillId="120" borderId="119" xfId="0" applyFont="1" applyFill="1" applyBorder="1" applyAlignment="1">
      <alignment horizontal="center"/>
    </xf>
    <xf numFmtId="0" fontId="2" fillId="121" borderId="120" xfId="0" applyFont="1" applyFill="1" applyBorder="1" applyAlignment="1">
      <alignment horizontal="center" vertical="top" wrapText="1"/>
    </xf>
    <xf numFmtId="0" fontId="2" fillId="122" borderId="121" xfId="0" applyFont="1" applyFill="1" applyBorder="1" applyAlignment="1">
      <alignment horizontal="center" vertical="top" wrapText="1"/>
    </xf>
    <xf numFmtId="0" fontId="2" fillId="123" borderId="122" xfId="0" applyFont="1" applyFill="1" applyBorder="1" applyAlignment="1">
      <alignment horizontal="center" vertical="top" wrapText="1"/>
    </xf>
    <xf numFmtId="177" fontId="46" fillId="89" borderId="88" xfId="0" applyNumberFormat="1" applyFont="1" applyFill="1" applyBorder="1" applyAlignment="1">
      <alignment horizontal="center"/>
    </xf>
    <xf numFmtId="0" fontId="2" fillId="124" borderId="123" xfId="0" applyFont="1" applyFill="1" applyBorder="1" applyAlignment="1">
      <alignment horizontal="center" vertical="top" wrapText="1"/>
    </xf>
    <xf numFmtId="0" fontId="2" fillId="125" borderId="124" xfId="0" applyFont="1" applyFill="1" applyBorder="1" applyAlignment="1">
      <alignment horizontal="center" vertical="top" wrapText="1"/>
    </xf>
    <xf numFmtId="0" fontId="2" fillId="126" borderId="125" xfId="0" applyFont="1" applyFill="1" applyBorder="1" applyAlignment="1">
      <alignment horizontal="center" vertical="top" wrapText="1"/>
    </xf>
    <xf numFmtId="0" fontId="2" fillId="127" borderId="126" xfId="0" applyFont="1" applyFill="1" applyBorder="1" applyAlignment="1">
      <alignment horizontal="center" vertical="top" wrapText="1"/>
    </xf>
    <xf numFmtId="177" fontId="10" fillId="97" borderId="96" xfId="0" applyNumberFormat="1" applyFont="1" applyFill="1" applyBorder="1" applyAlignment="1">
      <alignment horizontal="center"/>
    </xf>
    <xf numFmtId="14" fontId="32" fillId="84" borderId="83" xfId="0" applyNumberFormat="1" applyFont="1" applyFill="1" applyAlignment="1">
      <alignment horizontal="center"/>
    </xf>
    <xf numFmtId="0" fontId="32" fillId="84" borderId="83" xfId="0" applyFont="1" applyFill="1" applyAlignment="1">
      <alignment horizontal="center"/>
    </xf>
    <xf numFmtId="0" fontId="9" fillId="84" borderId="83" xfId="0" applyFont="1" applyFill="1" applyAlignment="1">
      <alignment horizontal="center"/>
    </xf>
    <xf numFmtId="0" fontId="20" fillId="26" borderId="25" xfId="0" applyFont="1" applyFill="1" applyBorder="1" applyAlignment="1">
      <alignment horizontal="center" vertical="top" wrapText="1"/>
    </xf>
    <xf numFmtId="0" fontId="21" fillId="27" borderId="26" xfId="0" applyFont="1" applyFill="1" applyBorder="1" applyAlignment="1">
      <alignment horizontal="center" vertical="top" wrapText="1"/>
    </xf>
    <xf numFmtId="0" fontId="2" fillId="128" borderId="127" xfId="0" applyFont="1" applyFill="1" applyBorder="1" applyAlignment="1">
      <alignment horizontal="center"/>
    </xf>
    <xf numFmtId="0" fontId="0" fillId="15" borderId="14" xfId="0" applyFill="1" applyBorder="1" applyAlignment="1">
      <alignment horizontal="center"/>
    </xf>
    <xf numFmtId="0" fontId="0" fillId="129" borderId="128" xfId="0" applyFill="1" applyBorder="1" applyAlignment="1">
      <alignment horizontal="center"/>
    </xf>
    <xf numFmtId="0" fontId="0" fillId="130" borderId="129" xfId="0" applyFill="1" applyBorder="1" applyAlignment="1">
      <alignment horizontal="center"/>
    </xf>
    <xf numFmtId="0" fontId="2" fillId="72" borderId="71" xfId="0" applyFont="1" applyFill="1" applyBorder="1" applyAlignment="1">
      <alignment horizontal="center"/>
    </xf>
    <xf numFmtId="0" fontId="9" fillId="69" borderId="68" xfId="0" applyFont="1" applyFill="1"/>
    <xf numFmtId="0" fontId="0" fillId="71" borderId="70" xfId="4" applyFill="1" applyBorder="1" applyAlignment="1">
      <alignment horizontal="right"/>
    </xf>
  </cellXfs>
  <cellStyles count="7">
    <cellStyle name="Normal" xfId="0" builtinId="0" customBuiltin="1"/>
    <cellStyle name="Currency" xfId="1" builtinId="4" customBuiltin="1"/>
    <cellStyle name="Percent" xfId="2" builtinId="5" customBuiltin="1"/>
    <cellStyle name="Comma" xfId="3" builtinId="3" customBuiltin="1"/>
    <cellStyle name="Excel Built-in Normal" xfId="4"/>
    <cellStyle name="Normal 2" xfId="5"/>
    <cellStyle name="Porcentaje 2" xfId="6"/>
  </cellStyles>
  <dxfs count="165"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9C0006"/>
        <extLst>
          <ext uri="smNativeData">
            <pm:charSpec xmlns:pm="smNativeData" id="1595601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1780" type="1" fgLvl="0" fgClr="00000000" bgLvl="100" bgClr="00FFC7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9C0006"/>
        <extLst>
          <ext uri="smNativeData">
            <pm:charSpec xmlns:pm="smNativeData" id="1595601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1780" type="1" fgLvl="0" fgClr="00000000" bgLvl="100" bgClr="00FFC7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9C0006"/>
        <extLst>
          <ext uri="smNativeData">
            <pm:charSpec xmlns:pm="smNativeData" id="1595601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1780" type="1" fgLvl="0" fgClr="00000000" bgLvl="100" bgClr="00FFC7CE"/>
            </ext>
          </extLst>
        </patternFill>
      </fill>
    </dxf>
    <dxf>
      <font>
        <b/>
        <i val="0"/>
        <color rgb="FF000000"/>
        <extLst>
          <ext uri="smNativeData">
            <pm:charSpec xmlns:pm="smNativeData" id="1595601780" fgClr="000000">
              <pm:latin weight="bold" i="0"/>
              <pm:cs weight="bold" i="0"/>
              <pm:ea weight="bold" i="0"/>
            </pm:charSpec>
          </ext>
        </extLst>
      </font>
    </dxf>
    <dxf>
      <font>
        <color rgb="FF9C5700"/>
        <extLst>
          <ext uri="smNativeData">
            <pm:charSpec xmlns:pm="smNativeData" id="1595601780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1780" type="1" fgLvl="0" fgClr="00000000" bgLvl="100" bgClr="00FFEB9C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9C0006"/>
        <extLst>
          <ext uri="smNativeData">
            <pm:charSpec xmlns:pm="smNativeData" id="1595601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1780" type="1" fgLvl="0" fgClr="00000000" bgLvl="100" bgClr="00FFC7CE"/>
            </ext>
          </extLst>
        </patternFill>
      </fill>
    </dxf>
    <dxf>
      <font>
        <color rgb="FF9C5700"/>
        <extLst>
          <ext uri="smNativeData">
            <pm:charSpec xmlns:pm="smNativeData" id="1595601780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1780" type="1" fgLvl="0" fgClr="00000000" bgLvl="100" bgClr="00FFEB9C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9C0006"/>
        <extLst>
          <ext uri="smNativeData">
            <pm:charSpec xmlns:pm="smNativeData" id="1595601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1780" type="1" fgLvl="0" fgClr="00000000" bgLvl="100" bgClr="00FFC7CE"/>
            </ext>
          </extLst>
        </patternFill>
      </fill>
    </dxf>
    <dxf>
      <font>
        <color rgb="FF9C5700"/>
        <extLst>
          <ext uri="smNativeData">
            <pm:charSpec xmlns:pm="smNativeData" id="1595601780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1780" type="1" fgLvl="0" fgClr="00000000" bgLvl="100" bgClr="00FFEB9C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9C0006"/>
        <extLst>
          <ext uri="smNativeData">
            <pm:charSpec xmlns:pm="smNativeData" id="1595601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1780" type="1" fgLvl="0" fgClr="00000000" bgLvl="100" bgClr="00FFC7CE"/>
            </ext>
          </extLst>
        </patternFill>
      </fill>
    </dxf>
    <dxf>
      <font>
        <color rgb="FF9C5700"/>
        <extLst>
          <ext uri="smNativeData">
            <pm:charSpec xmlns:pm="smNativeData" id="1595601780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1780" type="1" fgLvl="0" fgClr="00000000" bgLvl="100" bgClr="00FFEB9C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9C0006"/>
        <extLst>
          <ext uri="smNativeData">
            <pm:charSpec xmlns:pm="smNativeData" id="1595601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1780" type="1" fgLvl="0" fgClr="00000000" bgLvl="100" bgClr="00FFC7CE"/>
            </ext>
          </extLst>
        </patternFill>
      </fill>
    </dxf>
    <dxf>
      <font>
        <color rgb="FF9C5700"/>
        <extLst>
          <ext uri="smNativeData">
            <pm:charSpec xmlns:pm="smNativeData" id="1595601780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1780" type="1" fgLvl="0" fgClr="00000000" bgLvl="100" bgClr="00FFEB9C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9C0006"/>
        <extLst>
          <ext uri="smNativeData">
            <pm:charSpec xmlns:pm="smNativeData" id="1595601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1780" type="1" fgLvl="0" fgClr="00000000" bgLvl="100" bgClr="00FFC7CE"/>
            </ext>
          </extLst>
        </patternFill>
      </fill>
    </dxf>
    <dxf>
      <font>
        <color rgb="FF9C5700"/>
        <extLst>
          <ext uri="smNativeData">
            <pm:charSpec xmlns:pm="smNativeData" id="1595601780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1780" type="1" fgLvl="0" fgClr="00000000" bgLvl="100" bgClr="00FFEB9C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9C0006"/>
        <extLst>
          <ext uri="smNativeData">
            <pm:charSpec xmlns:pm="smNativeData" id="1595601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1780" type="1" fgLvl="0" fgClr="00000000" bgLvl="100" bgClr="00FFC7CE"/>
            </ext>
          </extLst>
        </patternFill>
      </fill>
    </dxf>
    <dxf>
      <font>
        <color rgb="FF9C5700"/>
        <extLst>
          <ext uri="smNativeData">
            <pm:charSpec xmlns:pm="smNativeData" id="1595601780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1780" type="1" fgLvl="0" fgClr="00000000" bgLvl="100" bgClr="00FFEB9C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9C0006"/>
        <extLst>
          <ext uri="smNativeData">
            <pm:charSpec xmlns:pm="smNativeData" id="1595601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1780" type="1" fgLvl="0" fgClr="00000000" bgLvl="100" bgClr="00FFC7CE"/>
            </ext>
          </extLst>
        </patternFill>
      </fill>
    </dxf>
    <dxf>
      <font>
        <color rgb="FF9C5700"/>
        <extLst>
          <ext uri="smNativeData">
            <pm:charSpec xmlns:pm="smNativeData" id="1595601780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1780" type="1" fgLvl="0" fgClr="00000000" bgLvl="100" bgClr="00FFEB9C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9C0006"/>
        <extLst>
          <ext uri="smNativeData">
            <pm:charSpec xmlns:pm="smNativeData" id="1595601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1780" type="1" fgLvl="0" fgClr="00000000" bgLvl="100" bgClr="00FFC7CE"/>
            </ext>
          </extLst>
        </patternFill>
      </fill>
    </dxf>
    <dxf>
      <font>
        <color rgb="FF9C5700"/>
        <extLst>
          <ext uri="smNativeData">
            <pm:charSpec xmlns:pm="smNativeData" id="1595601780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1780" type="1" fgLvl="0" fgClr="00000000" bgLvl="100" bgClr="00FFEB9C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9C0006"/>
        <extLst>
          <ext uri="smNativeData">
            <pm:charSpec xmlns:pm="smNativeData" id="1595601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1780" type="1" fgLvl="0" fgClr="00000000" bgLvl="100" bgClr="00FFC7CE"/>
            </ext>
          </extLst>
        </patternFill>
      </fill>
    </dxf>
    <dxf>
      <font>
        <color rgb="FF9C5700"/>
        <extLst>
          <ext uri="smNativeData">
            <pm:charSpec xmlns:pm="smNativeData" id="1595601780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1780" type="1" fgLvl="0" fgClr="00000000" bgLvl="100" bgClr="00FFEB9C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9C0006"/>
        <extLst>
          <ext uri="smNativeData">
            <pm:charSpec xmlns:pm="smNativeData" id="1595601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1780" type="1" fgLvl="0" fgClr="00000000" bgLvl="100" bgClr="00FFC7CE"/>
            </ext>
          </extLst>
        </patternFill>
      </fill>
    </dxf>
    <dxf>
      <font>
        <color rgb="FF9C5700"/>
        <extLst>
          <ext uri="smNativeData">
            <pm:charSpec xmlns:pm="smNativeData" id="1595601780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1780" type="1" fgLvl="0" fgClr="00000000" bgLvl="100" bgClr="00FFEB9C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9C0006"/>
        <extLst>
          <ext uri="smNativeData">
            <pm:charSpec xmlns:pm="smNativeData" id="1595601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1780" type="1" fgLvl="0" fgClr="00000000" bgLvl="100" bgClr="00FFC7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9C0006"/>
        <extLst>
          <ext uri="smNativeData">
            <pm:charSpec xmlns:pm="smNativeData" id="1595601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1780" type="1" fgLvl="0" fgClr="00000000" bgLvl="100" bgClr="00FFC7CE"/>
            </ext>
          </extLst>
        </patternFill>
      </fill>
    </dxf>
    <dxf>
      <font>
        <color rgb="FF9C0006"/>
        <extLst>
          <ext uri="smNativeData">
            <pm:charSpec xmlns:pm="smNativeData" id="1595601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1780" type="1" fgLvl="0" fgClr="00000000" bgLvl="100" bgClr="00FFC7CE"/>
            </ext>
          </extLst>
        </patternFill>
      </fill>
    </dxf>
    <dxf>
      <font>
        <color rgb="FF9C0006"/>
        <extLst>
          <ext uri="smNativeData">
            <pm:charSpec xmlns:pm="smNativeData" id="1595601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1780" type="1" fgLvl="0" fgClr="00000000" bgLvl="100" bgClr="00FFC7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9C0006"/>
        <extLst>
          <ext uri="smNativeData">
            <pm:charSpec xmlns:pm="smNativeData" id="1595601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1780" type="1" fgLvl="0" fgClr="00000000" bgLvl="100" bgClr="00FFC7CE"/>
            </ext>
          </extLst>
        </patternFill>
      </fill>
    </dxf>
    <dxf>
      <font>
        <color rgb="FF9C6500"/>
        <extLst>
          <ext uri="smNativeData">
            <pm:charSpec xmlns:pm="smNativeData" id="1595601780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1780" type="1" fgLvl="0" fgClr="00000000" bgLvl="100" bgClr="00FFEB9C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9C6500"/>
        <extLst>
          <ext uri="smNativeData">
            <pm:charSpec xmlns:pm="smNativeData" id="1595601780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1780" type="1" fgLvl="0" fgClr="00000000" bgLvl="100" bgClr="00FFEB9C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  <dxf>
      <font>
        <b/>
        <i val="0"/>
        <extLst>
          <ext uri="smNativeData">
            <pm:charSpec xmlns:pm="smNativeData" id="1595601780">
              <pm:latin weight="bold" i="0"/>
              <pm:cs weight="bold" i="0"/>
              <pm:ea weight="bold" i="0"/>
            </pm:charSpec>
          </ext>
        </extLst>
      </font>
    </dxf>
    <dxf>
      <font>
        <color rgb="FF9C0006"/>
        <extLst>
          <ext uri="smNativeData">
            <pm:charSpec xmlns:pm="smNativeData" id="1595601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1780" type="1" fgLvl="0" fgClr="00000000" bgLvl="100" bgClr="00FFC7CE"/>
            </ext>
          </extLst>
        </patternFill>
      </fill>
    </dxf>
    <dxf>
      <font>
        <color rgb="FF006100"/>
        <extLst>
          <ext uri="smNativeData">
            <pm:charSpec xmlns:pm="smNativeData" id="1595601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1780" type="1" fgLvl="0" fgClr="00000000" bgLvl="100" bgClr="00C6EFCE"/>
            </ext>
          </extLst>
        </patternFill>
      </fill>
    </dxf>
  </dxfs>
  <tableStyles count="0"/>
  <extLst>
    <ext uri="smNativeData">
      <pm:charStyles xmlns:pm="smNativeData" id="1595601780" count="1">
        <pm:charStyle name="Normal" fontId="0" Id="1"/>
      </pm:charStyles>
      <pm:colors xmlns:pm="smNativeData" id="1595601780" count="57">
        <pm:color name="Color 24" rgb="974706"/>
        <pm:color name="Color 25" rgb="00B050"/>
        <pm:color name="Color 26" rgb="385724"/>
        <pm:color name="Color 27" rgb="535353"/>
        <pm:color name="Color 28" rgb="548235"/>
        <pm:color name="Color 29" rgb="FFFFCC"/>
        <pm:color name="Color 30" rgb="E26B0A"/>
        <pm:color name="Color 31" rgb="92D050"/>
        <pm:color name="Color 32" rgb="D8D8D8"/>
        <pm:color name="Color 33" rgb="FFC000"/>
        <pm:color name="Color 34" rgb="8DB4E2"/>
        <pm:color name="Color 35" rgb="C2D69A"/>
        <pm:color name="Color 36" rgb="E6B8B7"/>
        <pm:color name="Color 37" rgb="D7E3BB"/>
        <pm:color name="Color 38" rgb="EEEEEE"/>
        <pm:color name="Color 39" rgb="F2F2F2"/>
        <pm:color name="Color 40" rgb="FFFFDD"/>
        <pm:color name="Color 41" rgb="DDD9C4"/>
        <pm:color name="Color 42" rgb="366092"/>
        <pm:color name="Color 43" rgb="B7DEE8"/>
        <pm:color name="Color 44" rgb="DAEEF3"/>
        <pm:color name="Color 45" rgb="FABF8F"/>
        <pm:color name="Color 46" rgb="B8CCE4"/>
        <pm:color name="Color 47" rgb="0070C0"/>
        <pm:color name="Color 48" rgb="76933C"/>
        <pm:color name="Color 49" rgb="002060"/>
        <pm:color name="Color 50" rgb="7030A0"/>
        <pm:color name="Color 51" rgb="92CDDC"/>
        <pm:color name="Color 52" rgb="EBF1DC"/>
        <pm:color name="Color 53" rgb="F2DCDB"/>
        <pm:color name="Color 54" rgb="666699"/>
        <pm:color name="Color 55" rgb="008080"/>
        <pm:color name="Color 56" rgb="CCFFFF"/>
        <pm:color name="Color 57" rgb="99CC00"/>
        <pm:color name="Color 58" rgb="99CCFF"/>
        <pm:color name="Color 59" rgb="FFCC00"/>
        <pm:color name="Color 60" rgb="FDE9D9"/>
        <pm:color name="Color 61" rgb="FFE699"/>
        <pm:color name="Color 62" rgb="DAE3F3"/>
        <pm:color name="Color 63" rgb="DBDBDB"/>
        <pm:color name="Color 64" rgb="F8CBAD"/>
        <pm:color name="Color 65" rgb="E4DFEC"/>
        <pm:color name="Color 66" rgb="BDD7EE"/>
        <pm:color name="Color 67" rgb="D0CECE"/>
        <pm:color name="Color 68" rgb="215967"/>
        <pm:color name="Color 69" rgb="C4BD97"/>
        <pm:color name="Color 70" rgb="E0FFFF"/>
        <pm:color name="Color 71" rgb="006100"/>
        <pm:color name="Color 72" rgb="C6EFCE"/>
        <pm:color name="Color 73" rgb="9C0006"/>
        <pm:color name="Color 74" rgb="FFC7CE"/>
        <pm:color name="Color 75" rgb="9C6500"/>
        <pm:color name="Color 76" rgb="FFEB9C"/>
        <pm:color name="Color 77" rgb="9C5700"/>
        <pm:color name="Color 78" rgb="DA9694"/>
        <pm:color name="Color 79" rgb="FCD5B4"/>
        <pm:color name="Color 80" rgb="60497A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/Relationships>
</file>

<file path=xl/drawings/_rels/drawing1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hyperlink" Target="http://www88.hattrick.org/World/Leagues/League.aspx?LeagueID=36" TargetMode="External"/><Relationship Id="rId2" Type="http://schemas.openxmlformats.org/officeDocument/2006/relationships/image" Target="../media/image2.gif"/><Relationship Id="rId3" Type="http://schemas.openxmlformats.org/officeDocument/2006/relationships/hyperlink" Target="http://www88.hattrick.org/World/Leagues/League.aspx?LeagueID=7" TargetMode="External"/><Relationship Id="rId4" Type="http://schemas.openxmlformats.org/officeDocument/2006/relationships/hyperlink" Target="http://www88.hattrick.org/World/Leagues/League.aspx?LeagueID=4" TargetMode="External"/><Relationship Id="rId5" Type="http://schemas.openxmlformats.org/officeDocument/2006/relationships/hyperlink" Target="http://www88.hattrick.org/World/Leagues/League.aspx?LeagueID=24" TargetMode="External"/><Relationship Id="rId6" Type="http://schemas.openxmlformats.org/officeDocument/2006/relationships/hyperlink" Target="http://www88.hattrick.org/World/Leagues/League.aspx?LeagueID=50" TargetMode="External"/><Relationship Id="rId7" Type="http://schemas.openxmlformats.org/officeDocument/2006/relationships/hyperlink" Target="http://www88.hattrick.org/World/Leagues/League.aspx?LeagueID=26" TargetMode="External"/><Relationship Id="rId8" Type="http://schemas.openxmlformats.org/officeDocument/2006/relationships/hyperlink" Target="http://www88.hattrick.org/World/Leagues/League.aspx?LeagueID=19" TargetMode="External"/><Relationship Id="rId9" Type="http://schemas.openxmlformats.org/officeDocument/2006/relationships/hyperlink" Target="http://www88.hattrick.org/World/Leagues/League.aspx?LeagueID=62" TargetMode="External"/><Relationship Id="rId10" Type="http://schemas.openxmlformats.org/officeDocument/2006/relationships/hyperlink" Target="http://www88.hattrick.org/World/Leagues/League.aspx?LeagueID=14" TargetMode="External"/><Relationship Id="rId11" Type="http://schemas.openxmlformats.org/officeDocument/2006/relationships/hyperlink" Target="http://www88.hattrick.org/World/Leagues/League.aspx?LeagueID=11" TargetMode="External"/><Relationship Id="rId12" Type="http://schemas.openxmlformats.org/officeDocument/2006/relationships/hyperlink" Target="http://www88.hattrick.org/World/Leagues/League.aspx?LeagueID=3" TargetMode="External"/><Relationship Id="rId13" Type="http://schemas.openxmlformats.org/officeDocument/2006/relationships/hyperlink" Target="http://www88.hattrick.org/World/Leagues/League.aspx?LeagueID=63" TargetMode="External"/><Relationship Id="rId14" Type="http://schemas.openxmlformats.org/officeDocument/2006/relationships/hyperlink" Target="http://www88.hattrick.org/World/Leagues/League.aspx?LeagueID=70" TargetMode="External"/><Relationship Id="rId15" Type="http://schemas.openxmlformats.org/officeDocument/2006/relationships/hyperlink" Target="http://www88.hattrick.org/World/Leagues/League.aspx?LeagueID=44" TargetMode="External"/><Relationship Id="rId16" Type="http://schemas.openxmlformats.org/officeDocument/2006/relationships/hyperlink" Target="http://www88.hattrick.org/World/Leagues/League.aspx?LeagueID=25" TargetMode="External"/><Relationship Id="rId17" Type="http://schemas.openxmlformats.org/officeDocument/2006/relationships/hyperlink" Target="http://www83.hattrick.org/World/Leagues/League.aspx?LeagueID=36" TargetMode="External"/><Relationship Id="rId18" Type="http://schemas.openxmlformats.org/officeDocument/2006/relationships/hyperlink" Target="http://www83.hattrick.org/World/Leagues/League.aspx?LeagueID=7" TargetMode="External"/><Relationship Id="rId19" Type="http://schemas.openxmlformats.org/officeDocument/2006/relationships/hyperlink" Target="http://www83.hattrick.org/World/Leagues/League.aspx?LeagueID=12" TargetMode="External"/><Relationship Id="rId20" Type="http://schemas.openxmlformats.org/officeDocument/2006/relationships/hyperlink" Target="http://www83.hattrick.org/World/Leagues/League.aspx?LeagueID=3" TargetMode="External"/><Relationship Id="rId21" Type="http://schemas.openxmlformats.org/officeDocument/2006/relationships/hyperlink" Target="http://www83.hattrick.org/World/Leagues/League.aspx?LeagueID=19" TargetMode="External"/><Relationship Id="rId22" Type="http://schemas.openxmlformats.org/officeDocument/2006/relationships/hyperlink" Target="http://www83.hattrick.org/World/Leagues/League.aspx?LeagueID=25" TargetMode="External"/><Relationship Id="rId23" Type="http://schemas.openxmlformats.org/officeDocument/2006/relationships/hyperlink" Target="http://www83.hattrick.org/World/Leagues/League.aspx?LeagueID=14" TargetMode="External"/><Relationship Id="rId24" Type="http://schemas.openxmlformats.org/officeDocument/2006/relationships/hyperlink" Target="http://www83.hattrick.org/World/Leagues/League.aspx?LeagueID=93" TargetMode="External"/><Relationship Id="rId25" Type="http://schemas.openxmlformats.org/officeDocument/2006/relationships/hyperlink" Target="http://www83.hattrick.org/World/Leagues/League.aspx?LeagueID=34" TargetMode="External"/><Relationship Id="rId26" Type="http://schemas.openxmlformats.org/officeDocument/2006/relationships/hyperlink" Target="http://www83.hattrick.org/World/Leagues/League.aspx?LeagueID=24" TargetMode="External"/><Relationship Id="rId27" Type="http://schemas.openxmlformats.org/officeDocument/2006/relationships/hyperlink" Target="http://www83.hattrick.org/World/Leagues/League.aspx?LeagueID=11" TargetMode="External"/><Relationship Id="rId28" Type="http://schemas.openxmlformats.org/officeDocument/2006/relationships/hyperlink" Target="http://www83.hattrick.org/World/Leagues/League.aspx?LeagueID=70" TargetMode="External"/><Relationship Id="rId29" Type="http://schemas.openxmlformats.org/officeDocument/2006/relationships/hyperlink" Target="http://www83.hattrick.org/World/Leagues/League.aspx?LeagueID=4" TargetMode="External"/><Relationship Id="rId30" Type="http://schemas.openxmlformats.org/officeDocument/2006/relationships/hyperlink" Target="http://www83.hattrick.org/World/Leagues/League.aspx?LeagueID=37" TargetMode="External"/><Relationship Id="rId31" Type="http://schemas.openxmlformats.org/officeDocument/2006/relationships/hyperlink" Target="http://www93.hattrick.org/World/Leagues/League.aspx?LeagueID=36" TargetMode="External"/><Relationship Id="rId32" Type="http://schemas.openxmlformats.org/officeDocument/2006/relationships/hyperlink" Target="http://www93.hattrick.org/World/Leagues/League.aspx?LeagueID=7" TargetMode="External"/><Relationship Id="rId33" Type="http://schemas.openxmlformats.org/officeDocument/2006/relationships/hyperlink" Target="http://www93.hattrick.org/World/Leagues/League.aspx?LeagueID=12" TargetMode="External"/><Relationship Id="rId34" Type="http://schemas.openxmlformats.org/officeDocument/2006/relationships/hyperlink" Target="http://www93.hattrick.org/World/Leagues/League.aspx?LeagueID=3" TargetMode="External"/><Relationship Id="rId35" Type="http://schemas.openxmlformats.org/officeDocument/2006/relationships/hyperlink" Target="http://www93.hattrick.org/World/Leagues/League.aspx?LeagueID=19" TargetMode="External"/><Relationship Id="rId36" Type="http://schemas.openxmlformats.org/officeDocument/2006/relationships/hyperlink" Target="http://www93.hattrick.org/World/Leagues/League.aspx?LeagueID=25" TargetMode="External"/><Relationship Id="rId37" Type="http://schemas.openxmlformats.org/officeDocument/2006/relationships/hyperlink" Target="http://www93.hattrick.org/World/Leagues/League.aspx?LeagueID=14" TargetMode="External"/><Relationship Id="rId38" Type="http://schemas.openxmlformats.org/officeDocument/2006/relationships/hyperlink" Target="http://www93.hattrick.org/World/Leagues/League.aspx?LeagueID=93" TargetMode="External"/><Relationship Id="rId39" Type="http://schemas.openxmlformats.org/officeDocument/2006/relationships/hyperlink" Target="http://www93.hattrick.org/World/Leagues/League.aspx?LeagueID=34" TargetMode="External"/><Relationship Id="rId40" Type="http://schemas.openxmlformats.org/officeDocument/2006/relationships/hyperlink" Target="http://www93.hattrick.org/World/Leagues/League.aspx?LeagueID=24" TargetMode="External"/><Relationship Id="rId41" Type="http://schemas.openxmlformats.org/officeDocument/2006/relationships/hyperlink" Target="http://www93.hattrick.org/World/Leagues/League.aspx?LeagueID=11" TargetMode="External"/><Relationship Id="rId42" Type="http://schemas.openxmlformats.org/officeDocument/2006/relationships/hyperlink" Target="http://www93.hattrick.org/World/Leagues/League.aspx?LeagueID=70" TargetMode="External"/><Relationship Id="rId43" Type="http://schemas.openxmlformats.org/officeDocument/2006/relationships/hyperlink" Target="http://www93.hattrick.org/World/Leagues/League.aspx?LeagueID=4" TargetMode="External"/><Relationship Id="rId44" Type="http://schemas.openxmlformats.org/officeDocument/2006/relationships/hyperlink" Target="http://www93.hattrick.org/World/Leagues/League.aspx?LeagueID=37" TargetMode="External"/><Relationship Id="rId45" Type="http://schemas.openxmlformats.org/officeDocument/2006/relationships/hyperlink" Target="http://www94.hattrick.org/World/Leagues/League.aspx?LeagueID=36" TargetMode="External"/><Relationship Id="rId46" Type="http://schemas.openxmlformats.org/officeDocument/2006/relationships/hyperlink" Target="http://www94.hattrick.org/World/Leagues/League.aspx?LeagueID=7" TargetMode="External"/><Relationship Id="rId47" Type="http://schemas.openxmlformats.org/officeDocument/2006/relationships/hyperlink" Target="http://www94.hattrick.org/World/Leagues/League.aspx?LeagueID=12" TargetMode="External"/><Relationship Id="rId48" Type="http://schemas.openxmlformats.org/officeDocument/2006/relationships/hyperlink" Target="http://www94.hattrick.org/World/Leagues/League.aspx?LeagueID=3" TargetMode="External"/><Relationship Id="rId49" Type="http://schemas.openxmlformats.org/officeDocument/2006/relationships/hyperlink" Target="http://www94.hattrick.org/World/Leagues/League.aspx?LeagueID=19" TargetMode="External"/><Relationship Id="rId50" Type="http://schemas.openxmlformats.org/officeDocument/2006/relationships/hyperlink" Target="http://www94.hattrick.org/World/Leagues/League.aspx?LeagueID=25" TargetMode="External"/><Relationship Id="rId51" Type="http://schemas.openxmlformats.org/officeDocument/2006/relationships/hyperlink" Target="http://www94.hattrick.org/World/Leagues/League.aspx?LeagueID=14" TargetMode="External"/><Relationship Id="rId52" Type="http://schemas.openxmlformats.org/officeDocument/2006/relationships/hyperlink" Target="http://www94.hattrick.org/World/Leagues/League.aspx?LeagueID=93" TargetMode="External"/><Relationship Id="rId53" Type="http://schemas.openxmlformats.org/officeDocument/2006/relationships/hyperlink" Target="http://www94.hattrick.org/World/Leagues/League.aspx?LeagueID=34" TargetMode="External"/><Relationship Id="rId54" Type="http://schemas.openxmlformats.org/officeDocument/2006/relationships/hyperlink" Target="http://www94.hattrick.org/World/Leagues/League.aspx?LeagueID=24" TargetMode="External"/><Relationship Id="rId55" Type="http://schemas.openxmlformats.org/officeDocument/2006/relationships/hyperlink" Target="http://www94.hattrick.org/World/Leagues/League.aspx?LeagueID=11" TargetMode="External"/><Relationship Id="rId56" Type="http://schemas.openxmlformats.org/officeDocument/2006/relationships/hyperlink" Target="http://www94.hattrick.org/World/Leagues/League.aspx?LeagueID=70" TargetMode="External"/><Relationship Id="rId57" Type="http://schemas.openxmlformats.org/officeDocument/2006/relationships/hyperlink" Target="http://www94.hattrick.org/World/Leagues/League.aspx?LeagueID=4" TargetMode="External"/><Relationship Id="rId58" Type="http://schemas.openxmlformats.org/officeDocument/2006/relationships/hyperlink" Target="http://www94.hattrick.org/World/Leagues/League.aspx?LeagueID=37" TargetMode="External"/><Relationship Id="rId59" Type="http://schemas.openxmlformats.org/officeDocument/2006/relationships/hyperlink" Target="http://www88.hattrick.org/World/Leagues/League.aspx?LeagueID=12" TargetMode="External"/><Relationship Id="rId60" Type="http://schemas.openxmlformats.org/officeDocument/2006/relationships/hyperlink" Target="http://www88.hattrick.org/World/Leagues/League.aspx?LeagueID=93" TargetMode="External"/><Relationship Id="rId61" Type="http://schemas.openxmlformats.org/officeDocument/2006/relationships/hyperlink" Target="http://www88.hattrick.org/World/Leagues/League.aspx?LeagueID=34" TargetMode="External"/><Relationship Id="rId62" Type="http://schemas.openxmlformats.org/officeDocument/2006/relationships/hyperlink" Target="http://www88.hattrick.org/World/Leagues/League.aspx?LeagueID=37" TargetMode="External"/><Relationship Id="rId63" Type="http://schemas.openxmlformats.org/officeDocument/2006/relationships/hyperlink" Target="http://www78.hattrick.org/World/Leagues/League.aspx?LeagueID=36" TargetMode="External"/><Relationship Id="rId64" Type="http://schemas.openxmlformats.org/officeDocument/2006/relationships/hyperlink" Target="http://www78.hattrick.org/World/Leagues/League.aspx?LeagueID=7" TargetMode="External"/><Relationship Id="rId65" Type="http://schemas.openxmlformats.org/officeDocument/2006/relationships/hyperlink" Target="http://www78.hattrick.org/World/Leagues/League.aspx?LeagueID=12" TargetMode="External"/><Relationship Id="rId66" Type="http://schemas.openxmlformats.org/officeDocument/2006/relationships/hyperlink" Target="http://www78.hattrick.org/World/Leagues/League.aspx?LeagueID=3" TargetMode="External"/><Relationship Id="rId67" Type="http://schemas.openxmlformats.org/officeDocument/2006/relationships/hyperlink" Target="http://www78.hattrick.org/World/Leagues/League.aspx?LeagueID=19" TargetMode="External"/><Relationship Id="rId68" Type="http://schemas.openxmlformats.org/officeDocument/2006/relationships/hyperlink" Target="http://www78.hattrick.org/World/Leagues/League.aspx?LeagueID=25" TargetMode="External"/><Relationship Id="rId69" Type="http://schemas.openxmlformats.org/officeDocument/2006/relationships/hyperlink" Target="http://www78.hattrick.org/World/Leagues/League.aspx?LeagueID=14" TargetMode="External"/><Relationship Id="rId70" Type="http://schemas.openxmlformats.org/officeDocument/2006/relationships/hyperlink" Target="http://www78.hattrick.org/World/Leagues/League.aspx?LeagueID=93" TargetMode="External"/><Relationship Id="rId71" Type="http://schemas.openxmlformats.org/officeDocument/2006/relationships/hyperlink" Target="http://www78.hattrick.org/World/Leagues/League.aspx?LeagueID=34" TargetMode="External"/><Relationship Id="rId72" Type="http://schemas.openxmlformats.org/officeDocument/2006/relationships/hyperlink" Target="http://www78.hattrick.org/World/Leagues/League.aspx?LeagueID=24" TargetMode="External"/><Relationship Id="rId73" Type="http://schemas.openxmlformats.org/officeDocument/2006/relationships/hyperlink" Target="http://www78.hattrick.org/World/Leagues/League.aspx?LeagueID=11" TargetMode="External"/><Relationship Id="rId74" Type="http://schemas.openxmlformats.org/officeDocument/2006/relationships/hyperlink" Target="http://www78.hattrick.org/World/Leagues/League.aspx?LeagueID=5" TargetMode="External"/><Relationship Id="rId75" Type="http://schemas.openxmlformats.org/officeDocument/2006/relationships/hyperlink" Target="http://www78.hattrick.org/World/Leagues/League.aspx?LeagueID=4" TargetMode="External"/><Relationship Id="rId76" Type="http://schemas.openxmlformats.org/officeDocument/2006/relationships/hyperlink" Target="http://www78.hattrick.org/World/Leagues/League.aspx?LeagueID=37" TargetMode="External"/><Relationship Id="rId77" Type="http://schemas.openxmlformats.org/officeDocument/2006/relationships/hyperlink" Target="http://www92.hattrick.org/World/Leagues/League.aspx?LeagueID=36" TargetMode="External"/><Relationship Id="rId78" Type="http://schemas.openxmlformats.org/officeDocument/2006/relationships/hyperlink" Target="http://www92.hattrick.org/World/Leagues/League.aspx?LeagueID=12" TargetMode="External"/><Relationship Id="rId79" Type="http://schemas.openxmlformats.org/officeDocument/2006/relationships/hyperlink" Target="http://www92.hattrick.org/World/Leagues/League.aspx?LeagueID=3" TargetMode="External"/><Relationship Id="rId80" Type="http://schemas.openxmlformats.org/officeDocument/2006/relationships/hyperlink" Target="http://www92.hattrick.org/World/Leagues/League.aspx?LeagueID=19" TargetMode="External"/><Relationship Id="rId81" Type="http://schemas.openxmlformats.org/officeDocument/2006/relationships/hyperlink" Target="http://www92.hattrick.org/World/Leagues/League.aspx?LeagueID=25" TargetMode="External"/><Relationship Id="rId82" Type="http://schemas.openxmlformats.org/officeDocument/2006/relationships/hyperlink" Target="http://www92.hattrick.org/World/Leagues/League.aspx?LeagueID=14" TargetMode="External"/><Relationship Id="rId83" Type="http://schemas.openxmlformats.org/officeDocument/2006/relationships/hyperlink" Target="http://www92.hattrick.org/World/Leagues/League.aspx?LeagueID=93" TargetMode="External"/><Relationship Id="rId84" Type="http://schemas.openxmlformats.org/officeDocument/2006/relationships/hyperlink" Target="http://www92.hattrick.org/World/Leagues/League.aspx?LeagueID=34" TargetMode="External"/><Relationship Id="rId85" Type="http://schemas.openxmlformats.org/officeDocument/2006/relationships/hyperlink" Target="http://www92.hattrick.org/World/Leagues/League.aspx?LeagueID=24" TargetMode="External"/><Relationship Id="rId86" Type="http://schemas.openxmlformats.org/officeDocument/2006/relationships/hyperlink" Target="http://www92.hattrick.org/World/Leagues/League.aspx?LeagueID=11" TargetMode="External"/><Relationship Id="rId87" Type="http://schemas.openxmlformats.org/officeDocument/2006/relationships/hyperlink" Target="http://www92.hattrick.org/World/Leagues/League.aspx?LeagueID=64" TargetMode="External"/><Relationship Id="rId88" Type="http://schemas.openxmlformats.org/officeDocument/2006/relationships/hyperlink" Target="http://www92.hattrick.org/World/Leagues/League.aspx?LeagueID=5" TargetMode="External"/><Relationship Id="rId89" Type="http://schemas.openxmlformats.org/officeDocument/2006/relationships/hyperlink" Target="http://www92.hattrick.org/World/Leagues/League.aspx?LeagueID=37" TargetMode="External"/><Relationship Id="rId90" Type="http://schemas.openxmlformats.org/officeDocument/2006/relationships/hyperlink" Target="http://www76.hattrick.org/World/Leagues/League.aspx?LeagueID=36" TargetMode="External"/><Relationship Id="rId91" Type="http://schemas.openxmlformats.org/officeDocument/2006/relationships/hyperlink" Target="http://www76.hattrick.org/World/Leagues/League.aspx?LeagueID=8" TargetMode="External"/><Relationship Id="rId92" Type="http://schemas.openxmlformats.org/officeDocument/2006/relationships/hyperlink" Target="http://www76.hattrick.org/World/Leagues/League.aspx?LeagueID=52" TargetMode="External"/><Relationship Id="rId93" Type="http://schemas.openxmlformats.org/officeDocument/2006/relationships/hyperlink" Target="http://www76.hattrick.org/World/Leagues/League.aspx?LeagueID=1" TargetMode="External"/><Relationship Id="rId94" Type="http://schemas.openxmlformats.org/officeDocument/2006/relationships/hyperlink" Target="http://www76.hattrick.org/World/Leagues/League.aspx?LeagueID=12" TargetMode="External"/><Relationship Id="rId95" Type="http://schemas.openxmlformats.org/officeDocument/2006/relationships/hyperlink" Target="http://www76.hattrick.org/World/Leagues/League.aspx?LeagueID=14" TargetMode="External"/><Relationship Id="rId96" Type="http://schemas.openxmlformats.org/officeDocument/2006/relationships/hyperlink" Target="http://www76.hattrick.org/World/Leagues/League.aspx?LeagueID=4" TargetMode="External"/><Relationship Id="rId97" Type="http://schemas.openxmlformats.org/officeDocument/2006/relationships/hyperlink" Target="http://www76.hattrick.org/World/Leagues/League.aspx?LeagueID=5" TargetMode="External"/><Relationship Id="rId98" Type="http://schemas.openxmlformats.org/officeDocument/2006/relationships/hyperlink" Target="http://www76.hattrick.org/World/Leagues/League.aspx?LeagueID=7" TargetMode="External"/><Relationship Id="rId99" Type="http://schemas.openxmlformats.org/officeDocument/2006/relationships/hyperlink" Target="http://www76.hattrick.org/World/Leagues/League.aspx?LeagueID=120" TargetMode="External"/><Relationship Id="rId100" Type="http://schemas.openxmlformats.org/officeDocument/2006/relationships/hyperlink" Target="http://www76.hattrick.org/World/Leagues/League.aspx?LeagueID=51" TargetMode="External"/><Relationship Id="rId101" Type="http://schemas.openxmlformats.org/officeDocument/2006/relationships/hyperlink" Target="http://www76.hattrick.org/World/Leagues/League.aspx?LeagueID=28" TargetMode="External"/><Relationship Id="rId102" Type="http://schemas.openxmlformats.org/officeDocument/2006/relationships/hyperlink" Target="http://www76.hattrick.org/World/Leagues/League.aspx?LeagueID=3" TargetMode="External"/><Relationship Id="rId103" Type="http://schemas.openxmlformats.org/officeDocument/2006/relationships/hyperlink" Target="http://www76.hattrick.org/World/Leagues/League.aspx?LeagueID=63" TargetMode="External"/><Relationship Id="rId104" Type="http://schemas.openxmlformats.org/officeDocument/2006/relationships/hyperlink" Target="http://www76.hattrick.org/World/Leagues/League.aspx?LeagueID=67" TargetMode="External"/><Relationship Id="rId105" Type="http://schemas.openxmlformats.org/officeDocument/2006/relationships/hyperlink" Target="http://www75.hattrick.org/World/Leagues/League.aspx?LeagueID=36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85725</xdr:rowOff>
    </xdr:from>
    <xdr:to>
      <xdr:col>7</xdr:col>
      <xdr:colOff>190500</xdr:colOff>
      <xdr:row>19</xdr:row>
      <xdr:rowOff>66675</xdr:rowOff>
    </xdr:to>
    <xdr:pic macro="">
      <xdr:nvPicPr>
        <xdr:cNvPr id="2" name="Imagen 1"/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XQ4AAO0KAADmFAAAIR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AAAAAAAAAAwQEAARMAAAAHAAAAXQEAASwBAACHAAAA0CAAAL4WAAABAAAA"/>
            </a:ext>
          </a:extLst>
        </xdr:cNvPicPr>
      </xdr:nvPicPr>
      <xdr:blipFill>
        <a:blip xmlns:r="http://schemas.openxmlformats.org/officeDocument/2006/relationships" r:embed="rId1"/>
        <a:srcRect l="36770" t="27970" r="53500" b="41290"/>
        <a:stretch>
          <a:fillRect/>
        </a:stretch>
      </xdr:blipFill>
      <xdr:spPr>
        <a:xfrm>
          <a:off x="190500" y="85725"/>
          <a:ext cx="5334000" cy="369697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10160</xdr:colOff>
      <xdr:row>1</xdr:row>
      <xdr:rowOff>9525</xdr:rowOff>
    </xdr:to>
    <xdr:pic macro="">
      <xdr:nvPicPr>
        <xdr:cNvPr id="3518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GAAAAAAA6A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10160</xdr:colOff>
      <xdr:row>1</xdr:row>
      <xdr:rowOff>9525</xdr:rowOff>
    </xdr:to>
    <xdr:pic macro="">
      <xdr:nvPicPr>
        <xdr:cNvPr id="3517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GAAAAAAA6A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10160</xdr:colOff>
      <xdr:row>1</xdr:row>
      <xdr:rowOff>9525</xdr:rowOff>
    </xdr:to>
    <xdr:pic macro="">
      <xdr:nvPicPr>
        <xdr:cNvPr id="3516" name="Picture 9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g7f8CDAAAABAAAAAAAAAAAAAAAAAAAAAAAAAAHgAAAGgAAAAAAAAAAAAAAAAAAAAAAAAAAAAAABAnAAAQJwAAAAAAAAAAAAAAAAAAAAAAAAAAAAAAAAAAAAAAAAAAAAAUAAAAAAAAAMDA/wAAAAAAZAAAADIAAAAAAAAAZAAAAAAAAAB/f38ACgAAACEAAAAwAAAALAAAAAEAAAAAAAAAAAAAAAEAAAAAAAAAMQAGAAAAAAA6A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10160</xdr:colOff>
      <xdr:row>1</xdr:row>
      <xdr:rowOff>9525</xdr:rowOff>
    </xdr:to>
    <xdr:pic macro="">
      <xdr:nvPicPr>
        <xdr:cNvPr id="3515" name="Picture 10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GAAAAAAA6A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10160</xdr:colOff>
      <xdr:row>1</xdr:row>
      <xdr:rowOff>9525</xdr:rowOff>
    </xdr:to>
    <xdr:pic macro="">
      <xdr:nvPicPr>
        <xdr:cNvPr id="3514" name="Picture 11" descr="Hellas">
          <a:hlinkClick xmlns:r="http://schemas.openxmlformats.org/officeDocument/2006/relationships" r:id="rId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vDwAADAAAABAAAAAAAAAAAAAAAAAAAAAAAAAAHgAAAGgAAAAAAAAAAAAAAAAAAAAAAAAAAAAAABAnAAAQJwAAAAAAAAAAAAAAAAAAAAAAAAAAAAAAAAAAAAAAAAAAAAAUAAAAAAAAAMDA/wAAAAAAZAAAADIAAAAAAAAAZAAAAAAAAAB/f38ACgAAACEAAAAwAAAALAAAAAEAAAAAAAAAAAAAAAEAAAAAAAAAMQAGAAAAAAA6A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10160</xdr:colOff>
      <xdr:row>1</xdr:row>
      <xdr:rowOff>9525</xdr:rowOff>
    </xdr:to>
    <xdr:pic macro="">
      <xdr:nvPicPr>
        <xdr:cNvPr id="3513" name="Picture 12" descr="Scotland">
          <a:hlinkClick xmlns:r="http://schemas.openxmlformats.org/officeDocument/2006/relationships" r:id="rId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4////DAAAABAAAAAAAAAAAAAAAAAAAAAAAAAAHgAAAGgAAAAAAAAAAAAAAAAAAAAAAAAAAAAAABAnAAAQJwAAAAAAAAAAAAAAAAAAAAAAAAAAAAAAAAAAAAAAAAAAAAAUAAAAAAAAAMDA/wAAAAAAZAAAADIAAAAAAAAAZAAAAAAAAAB/f38ACgAAACEAAAAwAAAALAAAAAEAAAAAAAAAAAAAAAEAAAAAAAAAMQAGAAAAAAA6A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10160</xdr:colOff>
      <xdr:row>1</xdr:row>
      <xdr:rowOff>9525</xdr:rowOff>
    </xdr:to>
    <xdr:pic macro="">
      <xdr:nvPicPr>
        <xdr:cNvPr id="3512" name="Picture 13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GAAAAAAA6A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511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10160</xdr:colOff>
      <xdr:row>15</xdr:row>
      <xdr:rowOff>9525</xdr:rowOff>
    </xdr:to>
    <xdr:pic macro="">
      <xdr:nvPicPr>
        <xdr:cNvPr id="3510" name="Picture 15" descr="Bulgaria">
          <a:hlinkClick xmlns:r="http://schemas.openxmlformats.org/officeDocument/2006/relationships" r:id="rId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HcADAAAABAAAAAAAAAAAAAAAAAAAAAAAAAAHgAAAGgAAAAAAAAAAAAAAAAAAAAAAAAAAAAAABAnAAAQJwAAAAAAAAAAAAAAAAAAAAAAAAAAAAAAAAAAAAAAAAAAAAAUAAAAAAAAAMDA/wAAAAAAZAAAADIAAAAAAAAAZAAAAAAAAAB/f38ACgAAACEAAAAwAAAALAAAAA8AAAAAAAAAAAAAAA8AAAAAAAAAMQAGAAAAAABmE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509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8Z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508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</xdr:colOff>
      <xdr:row>13</xdr:row>
      <xdr:rowOff>9525</xdr:rowOff>
    </xdr:to>
    <xdr:pic macro="">
      <xdr:nvPicPr>
        <xdr:cNvPr id="3507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0AAAAAAAAAAAAAAA0AAAAAAAAAMQAGAAAAAADyD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506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505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504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503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502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501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500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99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98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97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</xdr:colOff>
      <xdr:row>13</xdr:row>
      <xdr:rowOff>9525</xdr:rowOff>
    </xdr:to>
    <xdr:pic macro="">
      <xdr:nvPicPr>
        <xdr:cNvPr id="3496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GAAAAAADyD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9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494" name="Picture 31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93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10160</xdr:colOff>
      <xdr:row>1</xdr:row>
      <xdr:rowOff>9525</xdr:rowOff>
    </xdr:to>
    <xdr:pic macro="">
      <xdr:nvPicPr>
        <xdr:cNvPr id="3492" name="Picture 7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GAAAAAAA6A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10160</xdr:colOff>
      <xdr:row>1</xdr:row>
      <xdr:rowOff>9525</xdr:rowOff>
    </xdr:to>
    <xdr:pic macro="">
      <xdr:nvPicPr>
        <xdr:cNvPr id="3491" name="Picture 9" descr="Argentina">
          <a:hlinkClick xmlns:r="http://schemas.openxmlformats.org/officeDocument/2006/relationships" r:id="rId1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GAAAAAAA6A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10160</xdr:colOff>
      <xdr:row>1</xdr:row>
      <xdr:rowOff>9525</xdr:rowOff>
    </xdr:to>
    <xdr:pic macro="">
      <xdr:nvPicPr>
        <xdr:cNvPr id="3490" name="Picture 1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GAAAAAAA6A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89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10160</xdr:colOff>
      <xdr:row>15</xdr:row>
      <xdr:rowOff>9525</xdr:rowOff>
    </xdr:to>
    <xdr:pic macro="">
      <xdr:nvPicPr>
        <xdr:cNvPr id="3488" name="Picture 13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w8ZD7DAAAABAAAAAAAAAAAAAAAAAAAAAAAAAAHgAAAGgAAAAAAAAAAAAAAAAAAAAAAAAAAAAAABAnAAAQJwAAAAAAAAAAAAAAAAAAAAAAAAAAAAAAAAAAAAAAAAAAAAAUAAAAAAAAAMDA/wAAAAAAZAAAADIAAAAAAAAAZAAAAAAAAAB/f38ACgAAACEAAAAwAAAALAAAAA8AAAAAAAAAAAAAAA8AAAAAAAAAMQAGAAAAAABmE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87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86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</xdr:colOff>
      <xdr:row>13</xdr:row>
      <xdr:rowOff>9525</xdr:rowOff>
    </xdr:to>
    <xdr:pic macro="">
      <xdr:nvPicPr>
        <xdr:cNvPr id="3485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GAAAAAADyD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84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83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82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81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80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79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78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77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76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75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</xdr:colOff>
      <xdr:row>13</xdr:row>
      <xdr:rowOff>9525</xdr:rowOff>
    </xdr:to>
    <xdr:pic macro="">
      <xdr:nvPicPr>
        <xdr:cNvPr id="3474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w8ZD7DAAAABAAAAAAAAAAAAAAAAAAAAAAAAAAHgAAAGgAAAAAAAAAAAAAAAAAAAAAAAAAAAAAABAnAAAQJwAAAAAAAAAAAAAAAAAAAAAAAAAAAAAAAAAAAAAAAAAAAAAUAAAAAAAAAMDA/wAAAAAAZAAAADIAAAAAAAAAZAAAAAAAAAB/f38ACgAAACEAAAAwAAAALAAAAA0AAAAAAAAAAAAAAA0AAAAAAAAAMQAGAAAAAADyD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73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472" name="Picture 32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71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</xdr:colOff>
      <xdr:row>13</xdr:row>
      <xdr:rowOff>9525</xdr:rowOff>
    </xdr:to>
    <xdr:pic macro="">
      <xdr:nvPicPr>
        <xdr:cNvPr id="3470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GAAAAAADyD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69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68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67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10160</xdr:colOff>
      <xdr:row>15</xdr:row>
      <xdr:rowOff>9525</xdr:rowOff>
    </xdr:to>
    <xdr:pic macro="">
      <xdr:nvPicPr>
        <xdr:cNvPr id="3466" name="Picture 4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GAAAAAABmE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10160</xdr:colOff>
      <xdr:row>15</xdr:row>
      <xdr:rowOff>9525</xdr:rowOff>
    </xdr:to>
    <xdr:pic macro="">
      <xdr:nvPicPr>
        <xdr:cNvPr id="3465" name="Picture 41" descr="România">
          <a:hlinkClick xmlns:r="http://schemas.openxmlformats.org/officeDocument/2006/relationships" r:id="rId3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GAAAAAABmE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</xdr:colOff>
      <xdr:row>13</xdr:row>
      <xdr:rowOff>9525</xdr:rowOff>
    </xdr:to>
    <xdr:pic macro="">
      <xdr:nvPicPr>
        <xdr:cNvPr id="3464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GAAAAAADyD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63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10160</xdr:colOff>
      <xdr:row>15</xdr:row>
      <xdr:rowOff>9525</xdr:rowOff>
    </xdr:to>
    <xdr:pic macro="">
      <xdr:nvPicPr>
        <xdr:cNvPr id="3462" name="Picture 8" descr="Argentina">
          <a:hlinkClick xmlns:r="http://schemas.openxmlformats.org/officeDocument/2006/relationships" r:id="rId3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GAAAAAABmE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61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60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</xdr:colOff>
      <xdr:row>13</xdr:row>
      <xdr:rowOff>9525</xdr:rowOff>
    </xdr:to>
    <xdr:pic macro="">
      <xdr:nvPicPr>
        <xdr:cNvPr id="3459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0AAAAAAAAAAAAAAA0AAAAAAAAAMQAGAAAAAADyD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58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57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56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55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54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53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52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51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50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49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</xdr:colOff>
      <xdr:row>13</xdr:row>
      <xdr:rowOff>9525</xdr:rowOff>
    </xdr:to>
    <xdr:pic macro="">
      <xdr:nvPicPr>
        <xdr:cNvPr id="3448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0AAAAAAAAAAAAAAA0AAAAAAAAAMQAGAAAAAADyD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47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446" name="Picture 26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45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</xdr:colOff>
      <xdr:row>13</xdr:row>
      <xdr:rowOff>9525</xdr:rowOff>
    </xdr:to>
    <xdr:pic macro="">
      <xdr:nvPicPr>
        <xdr:cNvPr id="3444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GAAAAAADyD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43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42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41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10160</xdr:colOff>
      <xdr:row>15</xdr:row>
      <xdr:rowOff>9525</xdr:rowOff>
    </xdr:to>
    <xdr:pic macro="">
      <xdr:nvPicPr>
        <xdr:cNvPr id="3440" name="Picture 32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GAAAAAABmE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10160</xdr:colOff>
      <xdr:row>15</xdr:row>
      <xdr:rowOff>9525</xdr:rowOff>
    </xdr:to>
    <xdr:pic macro="">
      <xdr:nvPicPr>
        <xdr:cNvPr id="3439" name="Picture 3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GAAAAAABmE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</xdr:colOff>
      <xdr:row>13</xdr:row>
      <xdr:rowOff>9525</xdr:rowOff>
    </xdr:to>
    <xdr:pic macro="">
      <xdr:nvPicPr>
        <xdr:cNvPr id="3438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GAAAAAADyD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37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436" name="Picture 36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35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10160</xdr:colOff>
      <xdr:row>15</xdr:row>
      <xdr:rowOff>9525</xdr:rowOff>
    </xdr:to>
    <xdr:pic macro="">
      <xdr:nvPicPr>
        <xdr:cNvPr id="3434" name="Picture 8" descr="Argentina">
          <a:hlinkClick xmlns:r="http://schemas.openxmlformats.org/officeDocument/2006/relationships" r:id="rId4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GAAAAAABmE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33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32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</xdr:colOff>
      <xdr:row>13</xdr:row>
      <xdr:rowOff>9525</xdr:rowOff>
    </xdr:to>
    <xdr:pic macro="">
      <xdr:nvPicPr>
        <xdr:cNvPr id="3431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GAAAAAADyD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30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29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28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27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26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25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24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23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22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21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</xdr:colOff>
      <xdr:row>13</xdr:row>
      <xdr:rowOff>9525</xdr:rowOff>
    </xdr:to>
    <xdr:pic macro="">
      <xdr:nvPicPr>
        <xdr:cNvPr id="3420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GAAAAAADyD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19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418" name="Picture 26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17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</xdr:colOff>
      <xdr:row>13</xdr:row>
      <xdr:rowOff>9525</xdr:rowOff>
    </xdr:to>
    <xdr:pic macro="">
      <xdr:nvPicPr>
        <xdr:cNvPr id="3416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0AAAAAAAAAAAAAAA0AAAAAAAAAMQAGAAAAAADyD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15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14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13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10160</xdr:colOff>
      <xdr:row>15</xdr:row>
      <xdr:rowOff>9525</xdr:rowOff>
    </xdr:to>
    <xdr:pic macro="">
      <xdr:nvPicPr>
        <xdr:cNvPr id="3412" name="Picture 3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GAAAAAABmE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10160</xdr:colOff>
      <xdr:row>15</xdr:row>
      <xdr:rowOff>9525</xdr:rowOff>
    </xdr:to>
    <xdr:pic macro="">
      <xdr:nvPicPr>
        <xdr:cNvPr id="3411" name="Picture 34" descr="Italia">
          <a:hlinkClick xmlns:r="http://schemas.openxmlformats.org/officeDocument/2006/relationships" r:id="rId5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8AAAAAAAAAAAAAAA8AAAAAAAAAMQAGAAAAAABmE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</xdr:colOff>
      <xdr:row>13</xdr:row>
      <xdr:rowOff>9525</xdr:rowOff>
    </xdr:to>
    <xdr:pic macro="">
      <xdr:nvPicPr>
        <xdr:cNvPr id="3410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GAAAAAADyD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09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408" name="Picture 37" descr="România">
          <a:hlinkClick xmlns:r="http://schemas.openxmlformats.org/officeDocument/2006/relationships" r:id="rId5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10160</xdr:colOff>
      <xdr:row>15</xdr:row>
      <xdr:rowOff>9525</xdr:rowOff>
    </xdr:to>
    <xdr:pic macro="">
      <xdr:nvPicPr>
        <xdr:cNvPr id="3407" name="Picture 38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GAAAAAABmE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06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10160</xdr:colOff>
      <xdr:row>15</xdr:row>
      <xdr:rowOff>9525</xdr:rowOff>
    </xdr:to>
    <xdr:pic macro="">
      <xdr:nvPicPr>
        <xdr:cNvPr id="3405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GAAAAAABmE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04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03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</xdr:colOff>
      <xdr:row>13</xdr:row>
      <xdr:rowOff>9525</xdr:rowOff>
    </xdr:to>
    <xdr:pic macro="">
      <xdr:nvPicPr>
        <xdr:cNvPr id="3402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GAAAAAADyD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01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400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99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98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9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96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95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94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93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92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</xdr:colOff>
      <xdr:row>13</xdr:row>
      <xdr:rowOff>9525</xdr:rowOff>
    </xdr:to>
    <xdr:pic macro="">
      <xdr:nvPicPr>
        <xdr:cNvPr id="3391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GAAAAAADyD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90" name="Picture 24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89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</xdr:colOff>
      <xdr:row>13</xdr:row>
      <xdr:rowOff>9525</xdr:rowOff>
    </xdr:to>
    <xdr:pic macro="">
      <xdr:nvPicPr>
        <xdr:cNvPr id="3388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GAAAAAADyD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87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86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10160</xdr:colOff>
      <xdr:row>15</xdr:row>
      <xdr:rowOff>9525</xdr:rowOff>
    </xdr:to>
    <xdr:pic macro="">
      <xdr:nvPicPr>
        <xdr:cNvPr id="3385" name="Picture 31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GAAAAAABmE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10160</xdr:colOff>
      <xdr:row>15</xdr:row>
      <xdr:rowOff>9525</xdr:rowOff>
    </xdr:to>
    <xdr:pic macro="">
      <xdr:nvPicPr>
        <xdr:cNvPr id="3384" name="Picture 33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8AAAAAAAAAAAAAAA8AAAAAAAAAMQAGAAAAAABmE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</xdr:colOff>
      <xdr:row>13</xdr:row>
      <xdr:rowOff>9525</xdr:rowOff>
    </xdr:to>
    <xdr:pic macro="">
      <xdr:nvPicPr>
        <xdr:cNvPr id="3383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GAAAAAADyD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82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81" name="Picture 36" descr="România">
          <a:hlinkClick xmlns:r="http://schemas.openxmlformats.org/officeDocument/2006/relationships" r:id="rId6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10160</xdr:colOff>
      <xdr:row>15</xdr:row>
      <xdr:rowOff>9525</xdr:rowOff>
    </xdr:to>
    <xdr:pic macro="">
      <xdr:nvPicPr>
        <xdr:cNvPr id="3380" name="Picture 37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GAAAAAABmE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79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10160</xdr:colOff>
      <xdr:row>15</xdr:row>
      <xdr:rowOff>9525</xdr:rowOff>
    </xdr:to>
    <xdr:pic macro="">
      <xdr:nvPicPr>
        <xdr:cNvPr id="3378" name="Picture 8" descr="Argentina">
          <a:hlinkClick xmlns:r="http://schemas.openxmlformats.org/officeDocument/2006/relationships" r:id="rId6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GAAAAAABmE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77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76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</xdr:colOff>
      <xdr:row>13</xdr:row>
      <xdr:rowOff>9525</xdr:rowOff>
    </xdr:to>
    <xdr:pic macro="">
      <xdr:nvPicPr>
        <xdr:cNvPr id="3375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GAAAAAADyD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74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73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72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71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70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69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68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9fX3/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67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Q8J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66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65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</xdr:colOff>
      <xdr:row>13</xdr:row>
      <xdr:rowOff>9525</xdr:rowOff>
    </xdr:to>
    <xdr:pic macro="">
      <xdr:nvPicPr>
        <xdr:cNvPr id="3364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GAAAAAADyD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63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62" name="Picture 26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61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g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</xdr:colOff>
      <xdr:row>13</xdr:row>
      <xdr:rowOff>9525</xdr:rowOff>
    </xdr:to>
    <xdr:pic macro="">
      <xdr:nvPicPr>
        <xdr:cNvPr id="3360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GAAAAAADyD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59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58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57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10160</xdr:colOff>
      <xdr:row>15</xdr:row>
      <xdr:rowOff>9525</xdr:rowOff>
    </xdr:to>
    <xdr:pic macro="">
      <xdr:nvPicPr>
        <xdr:cNvPr id="3356" name="Picture 34" descr="Italia">
          <a:hlinkClick xmlns:r="http://schemas.openxmlformats.org/officeDocument/2006/relationships" r:id="rId7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GAAAAAABmE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10160</xdr:colOff>
      <xdr:row>15</xdr:row>
      <xdr:rowOff>9525</xdr:rowOff>
    </xdr:to>
    <xdr:pic macro="">
      <xdr:nvPicPr>
        <xdr:cNvPr id="3355" name="Picture 35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GAAAAAABmE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</xdr:colOff>
      <xdr:row>13</xdr:row>
      <xdr:rowOff>9525</xdr:rowOff>
    </xdr:to>
    <xdr:pic macro="">
      <xdr:nvPicPr>
        <xdr:cNvPr id="3354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GAAAAAADyD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53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A8J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52" name="Picture 38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51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10160</xdr:colOff>
      <xdr:row>15</xdr:row>
      <xdr:rowOff>9525</xdr:rowOff>
    </xdr:to>
    <xdr:pic macro="">
      <xdr:nvPicPr>
        <xdr:cNvPr id="3350" name="Picture 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GAAAAAABmE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49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48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</xdr:colOff>
      <xdr:row>13</xdr:row>
      <xdr:rowOff>9525</xdr:rowOff>
    </xdr:to>
    <xdr:pic macro="">
      <xdr:nvPicPr>
        <xdr:cNvPr id="3347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GAAAAAADyD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46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45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44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43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42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41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40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39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38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37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</xdr:colOff>
      <xdr:row>13</xdr:row>
      <xdr:rowOff>9525</xdr:rowOff>
    </xdr:to>
    <xdr:pic macro="">
      <xdr:nvPicPr>
        <xdr:cNvPr id="3336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GAAAAAADyD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35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34" name="Picture 25" descr="France">
          <a:hlinkClick xmlns:r="http://schemas.openxmlformats.org/officeDocument/2006/relationships" r:id="rId8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33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</xdr:colOff>
      <xdr:row>13</xdr:row>
      <xdr:rowOff>9525</xdr:rowOff>
    </xdr:to>
    <xdr:pic macro="">
      <xdr:nvPicPr>
        <xdr:cNvPr id="3332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GAAAAAADyD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31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30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29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10160</xdr:colOff>
      <xdr:row>15</xdr:row>
      <xdr:rowOff>9525</xdr:rowOff>
    </xdr:to>
    <xdr:pic macro="">
      <xdr:nvPicPr>
        <xdr:cNvPr id="3328" name="Picture 31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GAAAAAABmE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</xdr:colOff>
      <xdr:row>13</xdr:row>
      <xdr:rowOff>9525</xdr:rowOff>
    </xdr:to>
    <xdr:pic macro="">
      <xdr:nvPicPr>
        <xdr:cNvPr id="3327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GAAAAAADyD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26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25" name="Picture 3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10160</xdr:colOff>
      <xdr:row>15</xdr:row>
      <xdr:rowOff>9525</xdr:rowOff>
    </xdr:to>
    <xdr:pic macro="">
      <xdr:nvPicPr>
        <xdr:cNvPr id="3324" name="Picture 35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GAAAAAABmE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23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322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2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2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1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1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1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1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1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1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1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1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1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1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0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0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0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0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0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0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0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0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0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30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29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29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9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9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9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9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9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9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9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9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8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8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8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8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8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8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8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8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8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8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7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7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7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7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7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7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7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7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7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7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6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6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6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6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6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6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6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6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6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6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5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5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5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5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5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5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5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5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5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5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4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4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4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4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4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4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4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4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4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4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3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3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3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3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3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3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3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3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3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3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2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2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2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2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2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2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2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2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2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2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1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1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1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1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1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1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1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1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1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1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0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0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0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0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0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0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0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0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0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20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9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9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9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9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9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9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9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9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9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9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8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8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8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8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8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8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8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8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8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8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7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7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7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7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7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7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7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7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7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7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6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6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6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6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6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6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6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6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6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6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5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5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5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5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5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5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15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15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15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15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14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14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14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14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14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14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14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14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14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14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13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13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13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13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13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13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13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13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13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</xdr:colOff>
      <xdr:row>20</xdr:row>
      <xdr:rowOff>9525</xdr:rowOff>
    </xdr:to>
    <xdr:pic macro="">
      <xdr:nvPicPr>
        <xdr:cNvPr id="313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BQAAAAAAAAAAAAAABQAAAAAAAAAMQAGAAAA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2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2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2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2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2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2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2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2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2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2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1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1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1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1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1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1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1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1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1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1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0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0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0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0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0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0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0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0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0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10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9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9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9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9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9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9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9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9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9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9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8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8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8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8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8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8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8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8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8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8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7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7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7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7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7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7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7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7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7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7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6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6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6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6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6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6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6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6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6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6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5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5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5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5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5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5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5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5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5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5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4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4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4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4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4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4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4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4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4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4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3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3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3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3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3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3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3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3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3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3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2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2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2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2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2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2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2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2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2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2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1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1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1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1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1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1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1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1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1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1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0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0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0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0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0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0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0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0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0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300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9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9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9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9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9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9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9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9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9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9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8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8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8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8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8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8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8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8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81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80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79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78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77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76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75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7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73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72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71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70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69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68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67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66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65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64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63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</xdr:colOff>
      <xdr:row>11</xdr:row>
      <xdr:rowOff>9525</xdr:rowOff>
    </xdr:to>
    <xdr:pic macro="">
      <xdr:nvPicPr>
        <xdr:cNvPr id="2962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g8pD7DAAAABAAAAAAAAAAAAAAAAAAAAAAAAAAHgAAAGgAAAAAAAAAAAAAAAAAAAAAAAAAAAAAABAnAAAQJwAAAAAAAAAAAAAAAAAAAAAAAAAAAAAAAAAAAAAAAAAAAAAUAAAAAAAAAMDA/wAAAAAAZAAAADIAAAAAAAAAZAAAAAAAAAB/f38ACgAAACEAAAAwAAAALAAAAAsAAAAAAAAAAAAAAAsAAAAAAAAAMQAGAAAAAAB+D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6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6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5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5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5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5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5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Q8ZD7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5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5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5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5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5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4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4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4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4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4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4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4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4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4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4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3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3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3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3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3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3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3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3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3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3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2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2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2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2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2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2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2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2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2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2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1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1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1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1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1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1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1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1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1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1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0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0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0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0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0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0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0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0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0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0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89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89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89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89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89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89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89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89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89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89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8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8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8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8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8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8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8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8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8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8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7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7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7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7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7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7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7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7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7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7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6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6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6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6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6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64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8890</xdr:colOff>
      <xdr:row>23</xdr:row>
      <xdr:rowOff>9525</xdr:rowOff>
    </xdr:to>
    <xdr:pic macro="">
      <xdr:nvPicPr>
        <xdr:cNvPr id="2863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cAAAALAAAAAAAAABcAAAALAAAAMQAEAGAqAAA2H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58597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8890</xdr:colOff>
      <xdr:row>20</xdr:row>
      <xdr:rowOff>9525</xdr:rowOff>
    </xdr:to>
    <xdr:pic macro="">
      <xdr:nvPicPr>
        <xdr:cNvPr id="2862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LAAAAAAAAABQAAAALAAAAMQAEAGAqAACIG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98780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8890</xdr:colOff>
      <xdr:row>21</xdr:row>
      <xdr:rowOff>9525</xdr:rowOff>
    </xdr:to>
    <xdr:pic macro="">
      <xdr:nvPicPr>
        <xdr:cNvPr id="2861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EAGAq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1871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8890</xdr:colOff>
      <xdr:row>21</xdr:row>
      <xdr:rowOff>9525</xdr:rowOff>
    </xdr:to>
    <xdr:pic macro="">
      <xdr:nvPicPr>
        <xdr:cNvPr id="2860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EAGAq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1871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8890</xdr:colOff>
      <xdr:row>21</xdr:row>
      <xdr:rowOff>9525</xdr:rowOff>
    </xdr:to>
    <xdr:pic macro="">
      <xdr:nvPicPr>
        <xdr:cNvPr id="2859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EAGAq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1871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858" name="Picture 30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8890</xdr:colOff>
      <xdr:row>20</xdr:row>
      <xdr:rowOff>9525</xdr:rowOff>
    </xdr:to>
    <xdr:pic macro="">
      <xdr:nvPicPr>
        <xdr:cNvPr id="2857" name="Picture 31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LAAAAAAAAABQAAAALAAAAMQAEAGAqAACIG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98780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8890</xdr:colOff>
      <xdr:row>21</xdr:row>
      <xdr:rowOff>9525</xdr:rowOff>
    </xdr:to>
    <xdr:pic macro="">
      <xdr:nvPicPr>
        <xdr:cNvPr id="2856" name="Picture 32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EAGAq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1871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8890</xdr:colOff>
      <xdr:row>21</xdr:row>
      <xdr:rowOff>9525</xdr:rowOff>
    </xdr:to>
    <xdr:pic macro="">
      <xdr:nvPicPr>
        <xdr:cNvPr id="2855" name="Picture 33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EAGAq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1871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8890</xdr:colOff>
      <xdr:row>21</xdr:row>
      <xdr:rowOff>9525</xdr:rowOff>
    </xdr:to>
    <xdr:pic macro="">
      <xdr:nvPicPr>
        <xdr:cNvPr id="2854" name="Picture 4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EAGAq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1871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304165</xdr:colOff>
      <xdr:row>22</xdr:row>
      <xdr:rowOff>95250</xdr:rowOff>
    </xdr:to>
    <xdr:sp macro="" fLocksText="0">
      <xdr:nvSpPr>
        <xdr:cNvPr id="2853" name="AutoShape 42" descr="Imprevisible"/>
        <xdr:cNvSpPr>
          <a:spLocks noChangeAspect="1"/>
          <a:extLst>
            <a:ext uri="smNativeData">
              <pm:smNativeData xmlns:pm="smNativeData" val="SMDATA_11_dPMaXx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FQAAAAsAAAAAAAAAFgAAAAsAAADpAYYAYCoAAMIZAADfAQAA0AEAAAEAAAA="/>
            </a:ext>
          </a:extLst>
        </xdr:cNvSpPr>
      </xdr:nvSpPr>
      <xdr:spPr>
        <a:xfrm>
          <a:off x="6888480" y="4187190"/>
          <a:ext cx="304165" cy="29464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52" name="Picture 4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/AAAADAAAABAAAAAAAAAAAAAAAAAAAAAAAAAAHgAAAGgAAAAAAAAAAAAAAAAAAAAAAAAAAAAAABAnAAAQJwAAAAAAAAAAAAAAAAAAAAAAAAAAAAAAAAAAAAAAAAAAAAAUAAAAAAAAAMDA/wAAAAAAZAAAADIAAAAAAAAAZAAAAAAAAAB/f38ACgAAACEAAAAwAAAALAAAABYAAAALAAAAAAAAABYAAAALAAAAMQAEAGAq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3865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304165</xdr:colOff>
      <xdr:row>23</xdr:row>
      <xdr:rowOff>104775</xdr:rowOff>
    </xdr:to>
    <xdr:sp macro="" fLocksText="0">
      <xdr:nvSpPr>
        <xdr:cNvPr id="2851" name="AutoShape 44" descr="Ràpid"/>
        <xdr:cNvSpPr>
          <a:spLocks noChangeAspect="1"/>
          <a:extLst>
            <a:ext uri="smNativeData">
              <pm:smNativeData xmlns:pm="smNativeData" val="SMDATA_11_dPMaXx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IQAAAMAAAAEAAAAAAAAAAAAAAAAAAAAAAAAAAeAAAAaAAAAAAAAAAAAAAAAAAAAAAAAAAAAAAAECcAABAnAAAAAAAAAAAAAAAAAAAAAAAAAAAAAAAAAAAAAAAAAAAAABQAAAAAAAAAwMD/AAAAAABkAAAAMgAAAAAAAABkAAAAAAAAAH9/fwAKAAAAIQAAADAAAAAsAAAAFgAAAAsAAAAAAAAAFwAAAAsAAAAaAoYAYCoAAPwaAADfAQAA3wEAAAEAAAA="/>
            </a:ext>
          </a:extLst>
        </xdr:cNvSpPr>
      </xdr:nvSpPr>
      <xdr:spPr>
        <a:xfrm>
          <a:off x="6888480" y="4386580"/>
          <a:ext cx="304165" cy="30416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304165</xdr:colOff>
      <xdr:row>18</xdr:row>
      <xdr:rowOff>104775</xdr:rowOff>
    </xdr:to>
    <xdr:sp macro="" fLocksText="0">
      <xdr:nvSpPr>
        <xdr:cNvPr id="2850" name="AutoShape 47" descr="Entrenador"/>
        <xdr:cNvSpPr>
          <a:spLocks noChangeAspect="1"/>
          <a:extLst>
            <a:ext uri="smNativeData">
              <pm:smNativeData xmlns:pm="smNativeData" val="SMDATA_11_dPMaXx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EEAQQAMAAAAEAAAAAAAAAAAAAAAAAAAAAAAAAAeAAAAaAAAAAAAAAAAAAAAAAAAAAAAAAAAAAAAECcAABAnAAAAAAAAAAAAAAAAAAAAAAAAAAAAAAAAAAAAAAAAAAAAABQAAAAAAAAAwMD/AAAAAABkAAAAMgAAAAAAAABkAAAAAAAAAH9/fwAKAAAAIQAAADAAAAAsAAAAEQAAAAsAAAAAAAAAEgAAAAsAAAAaAoYAYCoAANoUAADfAQAA3wEAAAEAAAA="/>
            </a:ext>
          </a:extLst>
        </xdr:cNvSpPr>
      </xdr:nvSpPr>
      <xdr:spPr>
        <a:xfrm>
          <a:off x="6888480" y="3389630"/>
          <a:ext cx="304165" cy="30416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304165</xdr:colOff>
      <xdr:row>18</xdr:row>
      <xdr:rowOff>104775</xdr:rowOff>
    </xdr:to>
    <xdr:sp macro="" fLocksText="0">
      <xdr:nvSpPr>
        <xdr:cNvPr id="2849" name="AutoShape 48" descr="Imprevisible"/>
        <xdr:cNvSpPr>
          <a:spLocks noChangeAspect="1"/>
          <a:extLst>
            <a:ext uri="smNativeData">
              <pm:smNativeData xmlns:pm="smNativeData" val="SMDATA_11_dPMaXx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EEAQQAMAAAAEAAAAAAAAAAAAAAAAAAAAAAAAAAeAAAAaAAAAAAAAAAAAAAAAAAAAAAAAAAAAAAAECcAABAnAAAAAAAAAAAAAAAAAAAAAAAAAAAAAAAAAAAAAAAAAAAAABQAAAAAAAAAwMD/AAAAAABkAAAAMgAAAAAAAABkAAAAAAAAAH9/fwAKAAAAIQAAADAAAAAsAAAAEQAAAAsAAAAAAAAAEgAAAAsAAAAaAoYAYCoAANoUAADfAQAA3wEAAAEAAAA="/>
            </a:ext>
          </a:extLst>
        </xdr:cNvSpPr>
      </xdr:nvSpPr>
      <xdr:spPr>
        <a:xfrm>
          <a:off x="6888480" y="3389630"/>
          <a:ext cx="304165" cy="30416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848" name="Picture 50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GAq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78841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304165</xdr:colOff>
      <xdr:row>20</xdr:row>
      <xdr:rowOff>104775</xdr:rowOff>
    </xdr:to>
    <xdr:sp macro="" fLocksText="0">
      <xdr:nvSpPr>
        <xdr:cNvPr id="2847" name="AutoShape 51" descr="Tècnic"/>
        <xdr:cNvSpPr>
          <a:spLocks noChangeAspect="1"/>
          <a:extLst>
            <a:ext uri="smNativeData">
              <pm:smNativeData xmlns:pm="smNativeData" val="SMDATA_11_dPMaXx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EwAAAAsAAAAAAAAAFAAAAAsAAAAaAoYAYCoAAE4XAADfAQAA3wEAAAEAAAA="/>
            </a:ext>
          </a:extLst>
        </xdr:cNvSpPr>
      </xdr:nvSpPr>
      <xdr:spPr>
        <a:xfrm>
          <a:off x="6888480" y="3788410"/>
          <a:ext cx="304165" cy="30416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8890</xdr:colOff>
      <xdr:row>20</xdr:row>
      <xdr:rowOff>9525</xdr:rowOff>
    </xdr:to>
    <xdr:pic macro="">
      <xdr:nvPicPr>
        <xdr:cNvPr id="2846" name="Picture 52" descr="România">
          <a:hlinkClick xmlns:r="http://schemas.openxmlformats.org/officeDocument/2006/relationships" r:id="rId5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LAAAAAAAAABQAAAALAAAAMQAEAGAqAACIG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398780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8890</xdr:colOff>
      <xdr:row>21</xdr:row>
      <xdr:rowOff>9525</xdr:rowOff>
    </xdr:to>
    <xdr:pic macro="">
      <xdr:nvPicPr>
        <xdr:cNvPr id="2845" name="Picture 5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EAGAq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8480" y="41871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44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B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43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B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42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B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41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B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40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w8pD7DAAAABAAAAAAAAAAAAAAAAAAAAAAAAAAHgAAAGgAAAAAAAAAAAAAAAAAAAAAAAAAAAAAABAnAAAQJwAAAAAAAAAAAAAAAAAAAAAAAAAAAAAAAAAAAAAAAAAAAAAUAAAAAAAAAMDA/wAAAAAAZAAAADIAAAAAAAAAZAAAAAAAAAB/f38ACgAAACEAAAAwAAAALAAAAAcAAAAOAAAAAAAAAAcAAAAOAAAAMQAGAB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39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B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38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B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37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B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36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B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35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B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34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B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33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B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32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cAAAAOAAAAAAAAAAcAAAAOAAAAMQAGAB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31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B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30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B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29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cAAAAOAAAAAAAAAAcAAAAOAAAAMQAGAB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28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B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27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B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26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B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25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B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24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cAAAAOAAAAAAAAAAcAAAAOAAAAMQAGAB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23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B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22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B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21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cAAAAOAAAAAAAAAAcAAAAOAAAAMQAGAB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20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B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19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B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18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1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16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15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14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13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12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11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10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09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08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07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06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0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04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03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02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01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00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99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98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97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96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95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94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93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92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91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90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89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88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87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86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85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84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83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82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81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80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79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78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77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76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75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74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73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72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71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70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69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68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67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66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65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64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63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62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61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60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59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58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57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56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55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54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53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52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51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50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49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48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47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46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45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44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43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42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41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40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39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38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37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36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35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34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33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32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31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30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29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28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27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26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25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24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23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22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21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20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19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18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17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16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15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14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13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12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11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10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09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08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07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06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05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04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03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02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01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00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99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98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97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96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95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94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93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92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9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9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8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8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8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8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8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8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8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8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8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8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7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7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7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7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7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7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7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7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7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7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6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6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6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6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6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6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6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6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6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6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5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5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5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5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5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5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5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5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5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5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4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4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4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4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4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4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4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4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4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4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3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3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3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3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3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3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3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3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3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3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2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2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2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2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2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2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2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2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2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2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1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1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1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1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1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1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1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1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1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1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0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0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0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0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0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0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0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0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0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0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9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9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9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9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9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9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9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9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9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9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8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8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8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8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8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8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8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8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8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8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7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7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7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7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7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7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7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7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7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7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6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6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6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6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6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6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6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6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6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6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5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5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5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5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5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5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5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5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5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5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4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4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4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4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4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4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4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4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4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4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3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3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3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3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3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3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3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3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3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3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2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2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2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2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2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2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2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2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2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2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1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1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1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1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1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1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1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1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1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1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0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0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0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0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0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0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0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0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0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0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9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9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9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9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9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9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9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9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9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9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8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8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8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8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8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8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8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8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8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8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7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7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7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7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7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7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7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7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7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7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6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6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6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6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6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6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6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6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6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6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5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5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5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5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5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5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5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5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5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5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4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4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4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4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4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4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4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4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4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4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3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3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3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3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3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3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3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3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3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3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2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2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2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2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2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2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2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2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2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2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1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1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1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1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1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1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1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1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1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1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0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0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0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0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0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0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0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0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0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0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99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98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97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96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95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94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93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9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91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90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89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88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87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86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85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84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83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82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81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80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B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9525</xdr:colOff>
      <xdr:row>12</xdr:row>
      <xdr:rowOff>9525</xdr:rowOff>
    </xdr:to>
    <xdr:pic macro="">
      <xdr:nvPicPr>
        <xdr:cNvPr id="2379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OAAAAAAAAAAwAAAAOAAAAMQAGABBB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39268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8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7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6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5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4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3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2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1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0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9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8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7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6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5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4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3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2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1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0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9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8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7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6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5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4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3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2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1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0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9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8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7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6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5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4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3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2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1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0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9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8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7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6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5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4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3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2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1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0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9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8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7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6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5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4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3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2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1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0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9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8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7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6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5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4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3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2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1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0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9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8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7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6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5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4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3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2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1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0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9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8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7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6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5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4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3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2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1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0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9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8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7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6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5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4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3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2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1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0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9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8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7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6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5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4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3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2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1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0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9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8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7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6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5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4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3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2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1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0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9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8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7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6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5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4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3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2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1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0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9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8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7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6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5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4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3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2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1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0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9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8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7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6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5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4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3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2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1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0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9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8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7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6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3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2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1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0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9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8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7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5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4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3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2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1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0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9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8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7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6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5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4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1913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SAEBb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39268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9525</xdr:colOff>
      <xdr:row>12</xdr:row>
      <xdr:rowOff>9525</xdr:rowOff>
    </xdr:to>
    <xdr:pic macro="">
      <xdr:nvPicPr>
        <xdr:cNvPr id="1912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wAAAAOAAAAAAAAAAwAAAAOAAAAMQAGABBB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6560" y="239268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11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10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9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8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7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6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5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4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3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2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1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0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9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8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7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6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5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4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3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2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1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0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9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8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7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6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5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4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3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2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1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0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9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8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7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6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5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4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3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2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1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0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9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8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7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6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5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4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3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2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1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0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9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8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7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6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5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4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3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2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1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0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9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8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7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6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5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4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3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2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1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0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9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8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7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6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5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4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3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2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1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0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9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8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7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6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5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4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3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2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1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0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9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8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7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6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5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4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3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2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1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0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9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8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6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5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4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3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2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1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0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9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8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7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6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5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4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3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2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1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0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9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8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7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6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5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4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3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2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1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0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9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8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7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6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5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4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3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2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1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0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9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8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7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6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5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4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3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2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1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0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9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6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5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4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3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2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1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0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8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7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6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5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4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3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2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1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0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9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8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7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1446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SAEBb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39268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1445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wAAAAUAAAAAAAAAAwAAAAUAAAAMQASAEBb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39268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4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3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2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1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0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9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8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7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6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5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4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3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2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1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0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9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8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7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6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5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4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3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2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1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0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19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8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6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5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4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3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2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1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0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9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8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7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6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4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3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2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1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0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9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8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7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6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5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4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3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2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1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0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9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8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7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6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5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4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3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2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1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0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9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8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7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6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5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4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3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2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1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0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9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8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7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6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5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4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3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2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1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0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9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8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7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6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5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4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3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2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1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0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9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8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7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6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5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4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3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2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1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0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9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8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7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6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5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4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3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2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1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0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9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8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7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6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5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4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3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2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1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0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9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8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7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6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5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4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3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2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1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0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9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8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7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6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5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4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3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2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1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0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9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8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7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6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5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4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3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2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9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8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7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6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5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4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3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1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0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9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8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7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6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5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4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3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2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1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0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979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SAEBb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39268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978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SAEBb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39268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7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6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5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4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3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2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1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0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9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8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7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6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5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4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3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2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1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0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9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8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7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6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5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4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3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2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cAAAAUAAAAAAAAAAcAAAAUAAAAMQASAEBb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139573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51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50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9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8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7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6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5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4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3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2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1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0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9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8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7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6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5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4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3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2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1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0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9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8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7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6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5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4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3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2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1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0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9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8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7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6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5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4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3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2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1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0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9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8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7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6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5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4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3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2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1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0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9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8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7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6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5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4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3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2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1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0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9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8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7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6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5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4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3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2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1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0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9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8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7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6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5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4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3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2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1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0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9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8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7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6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4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3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2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1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0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9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8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7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6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5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4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3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2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1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0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9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8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7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6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5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4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3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2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1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0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9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8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7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6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5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4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3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2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1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0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9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8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7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6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5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2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1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0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9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8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7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6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4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3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2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1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0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9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8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7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6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5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4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3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EBb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19329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512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wAAAAUAAAAAAAAAAwAAAAUAAAAMQASAEBb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39268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511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SAEBb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33600" y="2392680"/>
          <a:ext cx="9525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510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KBe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139573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509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KBe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139573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508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KBe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139573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507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KBe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139573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506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KBe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139573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505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KBe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139573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504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cAAAAVAAAAAAAAAAcAAAAVAAAAMQAGAKBe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139573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503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KBe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139573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502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KBe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139573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501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KBe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139573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500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KBe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139573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99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KBe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139573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98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KBe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139573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97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KBe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139573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96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cAAAAVAAAAAAAAAAcAAAAVAAAAMQAGAKBe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139573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95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KBe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139573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94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KBe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139573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93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cAAAAVAAAAAAAAAAcAAAAVAAAAMQAGAKBe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139573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92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KBe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139573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91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KBe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139573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90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KBe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139573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89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KBe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139573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88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cAAAAVAAAAAAAAAAcAAAAVAAAAMQAGAKBe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139573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87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KBe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139573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86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KBe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139573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85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cAAAAVAAAAAAAAAAcAAAAVAAAAMQAGAKBe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139573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84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83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82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81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80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79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78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77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76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75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74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73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72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71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70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69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68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67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66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65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64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63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62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61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60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59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58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57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56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55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54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53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52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51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50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49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48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47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46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45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44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43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42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41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40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39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38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37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36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35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34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33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32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31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30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29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28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27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26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25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24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23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22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21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20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19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18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17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16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15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14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13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12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11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10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09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08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07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06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05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04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03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02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01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00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99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98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97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96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95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94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93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92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91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90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89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88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87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86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85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84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83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82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81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80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79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78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77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76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75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74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73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72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71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70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69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68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67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66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65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64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63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62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61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60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59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58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5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5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5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5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5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5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5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5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4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4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4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4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4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4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4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4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4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4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3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3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3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3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3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3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3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3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3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3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2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2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2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2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2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2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2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2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2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2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1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1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1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1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1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1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1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1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1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1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0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0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0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0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0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0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0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0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0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0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9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9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9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9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9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9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9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9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9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9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8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8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8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8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8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8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8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8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8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8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7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7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7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7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7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7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7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7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7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7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6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6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6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6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6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6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6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6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6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6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5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5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5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5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5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5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5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5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5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5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4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4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4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4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4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4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4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4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4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4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3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3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3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3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3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3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3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3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3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3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2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2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2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2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2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2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2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2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2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2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1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1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1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1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1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1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1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1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1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1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0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0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0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0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0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0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0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0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0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0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9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9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9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9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9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9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9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9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9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9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8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8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8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8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8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8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8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8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8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8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7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7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7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7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7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7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7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7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7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7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6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6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6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6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6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6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6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6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6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6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5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5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5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5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5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5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5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5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5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5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4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4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4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4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4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4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4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4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4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4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3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3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3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3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3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3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3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3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3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3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2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2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2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2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2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2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2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2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2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2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1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1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1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1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1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1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1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1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1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1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0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0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0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0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0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0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0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0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0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0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9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9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9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9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9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9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9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9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9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9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8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8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8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8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8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8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8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8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8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8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7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7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7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7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7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7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7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7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7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7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6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6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6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6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65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64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63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62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61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60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59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5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57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56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55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54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53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52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51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50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9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8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7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6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KBe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19329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12</xdr:row>
      <xdr:rowOff>0</xdr:rowOff>
    </xdr:from>
    <xdr:to>
      <xdr:col>21</xdr:col>
      <xdr:colOff>8890</xdr:colOff>
      <xdr:row>12</xdr:row>
      <xdr:rowOff>9525</xdr:rowOff>
    </xdr:to>
    <xdr:pic macro="">
      <xdr:nvPicPr>
        <xdr:cNvPr id="45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AwAAAAVAAAAAAAAAAwAAAAVAAAAMQAGAKBe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3926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12</xdr:row>
      <xdr:rowOff>0</xdr:rowOff>
    </xdr:from>
    <xdr:to>
      <xdr:col>21</xdr:col>
      <xdr:colOff>8890</xdr:colOff>
      <xdr:row>12</xdr:row>
      <xdr:rowOff>9525</xdr:rowOff>
    </xdr:to>
    <xdr:pic macro="">
      <xdr:nvPicPr>
        <xdr:cNvPr id="44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VAAAAAAAAAAwAAAAVAAAAMQAGAKBe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2240" y="2392680"/>
          <a:ext cx="889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10160</xdr:colOff>
      <xdr:row>16</xdr:row>
      <xdr:rowOff>9525</xdr:rowOff>
    </xdr:to>
    <xdr:pic macro="">
      <xdr:nvPicPr>
        <xdr:cNvPr id="43" name="Picture 15" descr="Bulgaria">
          <a:hlinkClick xmlns:r="http://schemas.openxmlformats.org/officeDocument/2006/relationships" r:id="rId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GAAAAAACgE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10160</xdr:colOff>
      <xdr:row>16</xdr:row>
      <xdr:rowOff>9525</xdr:rowOff>
    </xdr:to>
    <xdr:pic macro="">
      <xdr:nvPicPr>
        <xdr:cNvPr id="42" name="Picture 13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GAAAAAACgE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10160</xdr:colOff>
      <xdr:row>16</xdr:row>
      <xdr:rowOff>9525</xdr:rowOff>
    </xdr:to>
    <xdr:pic macro="">
      <xdr:nvPicPr>
        <xdr:cNvPr id="41" name="Picture 4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GAAAAAACgE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10160</xdr:colOff>
      <xdr:row>16</xdr:row>
      <xdr:rowOff>9525</xdr:rowOff>
    </xdr:to>
    <xdr:pic macro="">
      <xdr:nvPicPr>
        <xdr:cNvPr id="40" name="Picture 41" descr="România">
          <a:hlinkClick xmlns:r="http://schemas.openxmlformats.org/officeDocument/2006/relationships" r:id="rId3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8pD7DAAAABAAAAAAAAAAAAAAAAAAAAAAAAAAHgAAAGgAAAAAAAAAAAAAAAAAAAAAAAAAAAAAABAnAAAQJwAAAAAAAAAAAAAAAAAAAAAAAAAAAAAAAAAAAAAAAAAAAAAUAAAAAAAAAMDA/wAAAAAAZAAAADIAAAAAAAAAZAAAAAAAAAB/f38ACgAAACEAAAAwAAAALAAAABAAAAAAAAAAAAAAABAAAAAAAAAAMQAGAAAAAACgE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10160</xdr:colOff>
      <xdr:row>16</xdr:row>
      <xdr:rowOff>9525</xdr:rowOff>
    </xdr:to>
    <xdr:pic macro="">
      <xdr:nvPicPr>
        <xdr:cNvPr id="39" name="Picture 8" descr="Argentina">
          <a:hlinkClick xmlns:r="http://schemas.openxmlformats.org/officeDocument/2006/relationships" r:id="rId3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GAAAAAACgE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10160</xdr:colOff>
      <xdr:row>16</xdr:row>
      <xdr:rowOff>9525</xdr:rowOff>
    </xdr:to>
    <xdr:pic macro="">
      <xdr:nvPicPr>
        <xdr:cNvPr id="38" name="Picture 32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GAAAAAACgE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10160</xdr:colOff>
      <xdr:row>16</xdr:row>
      <xdr:rowOff>9525</xdr:rowOff>
    </xdr:to>
    <xdr:pic macro="">
      <xdr:nvPicPr>
        <xdr:cNvPr id="37" name="Picture 3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AAAAAAAAAAAAAAABAAAAAAAAAAMQAGAAAAAACgE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10160</xdr:colOff>
      <xdr:row>16</xdr:row>
      <xdr:rowOff>9525</xdr:rowOff>
    </xdr:to>
    <xdr:pic macro="">
      <xdr:nvPicPr>
        <xdr:cNvPr id="36" name="Picture 8" descr="Argentina">
          <a:hlinkClick xmlns:r="http://schemas.openxmlformats.org/officeDocument/2006/relationships" r:id="rId4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GAAAAAACgE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10160</xdr:colOff>
      <xdr:row>16</xdr:row>
      <xdr:rowOff>9525</xdr:rowOff>
    </xdr:to>
    <xdr:pic macro="">
      <xdr:nvPicPr>
        <xdr:cNvPr id="35" name="Picture 3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GAAAAAACgE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10160</xdr:colOff>
      <xdr:row>16</xdr:row>
      <xdr:rowOff>9525</xdr:rowOff>
    </xdr:to>
    <xdr:pic macro="">
      <xdr:nvPicPr>
        <xdr:cNvPr id="34" name="Picture 34" descr="Italia">
          <a:hlinkClick xmlns:r="http://schemas.openxmlformats.org/officeDocument/2006/relationships" r:id="rId5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GAAAAAACgE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10160</xdr:colOff>
      <xdr:row>16</xdr:row>
      <xdr:rowOff>9525</xdr:rowOff>
    </xdr:to>
    <xdr:pic macro="">
      <xdr:nvPicPr>
        <xdr:cNvPr id="33" name="Picture 38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GAAAAAACgE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10160</xdr:colOff>
      <xdr:row>16</xdr:row>
      <xdr:rowOff>9525</xdr:rowOff>
    </xdr:to>
    <xdr:pic macro="">
      <xdr:nvPicPr>
        <xdr:cNvPr id="32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BAAAAAAAAAAAAAAABAAAAAAAAAAMQAGAAAAAACgE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10160</xdr:colOff>
      <xdr:row>16</xdr:row>
      <xdr:rowOff>9525</xdr:rowOff>
    </xdr:to>
    <xdr:pic macro="">
      <xdr:nvPicPr>
        <xdr:cNvPr id="31" name="Picture 31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GAAAAAACgE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10160</xdr:colOff>
      <xdr:row>16</xdr:row>
      <xdr:rowOff>9525</xdr:rowOff>
    </xdr:to>
    <xdr:pic macro="">
      <xdr:nvPicPr>
        <xdr:cNvPr id="30" name="Picture 33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GAAAAAACgE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10160</xdr:colOff>
      <xdr:row>16</xdr:row>
      <xdr:rowOff>9525</xdr:rowOff>
    </xdr:to>
    <xdr:pic macro="">
      <xdr:nvPicPr>
        <xdr:cNvPr id="29" name="Picture 37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BAAAAAAAAAAAAAAABAAAAAAAAAAMQAGAAAAAACgE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10160</xdr:colOff>
      <xdr:row>16</xdr:row>
      <xdr:rowOff>9525</xdr:rowOff>
    </xdr:to>
    <xdr:pic macro="">
      <xdr:nvPicPr>
        <xdr:cNvPr id="28" name="Picture 8" descr="Argentina">
          <a:hlinkClick xmlns:r="http://schemas.openxmlformats.org/officeDocument/2006/relationships" r:id="rId6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GAAAAAACgE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10160</xdr:colOff>
      <xdr:row>16</xdr:row>
      <xdr:rowOff>9525</xdr:rowOff>
    </xdr:to>
    <xdr:pic macro="">
      <xdr:nvPicPr>
        <xdr:cNvPr id="27" name="Picture 34" descr="Italia">
          <a:hlinkClick xmlns:r="http://schemas.openxmlformats.org/officeDocument/2006/relationships" r:id="rId7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GAAAAAACgE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10160</xdr:colOff>
      <xdr:row>16</xdr:row>
      <xdr:rowOff>9525</xdr:rowOff>
    </xdr:to>
    <xdr:pic macro="">
      <xdr:nvPicPr>
        <xdr:cNvPr id="26" name="Picture 35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GAAAAAACgE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10160</xdr:colOff>
      <xdr:row>16</xdr:row>
      <xdr:rowOff>9525</xdr:rowOff>
    </xdr:to>
    <xdr:pic macro="">
      <xdr:nvPicPr>
        <xdr:cNvPr id="25" name="Picture 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GAAAAAACgE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10160</xdr:colOff>
      <xdr:row>16</xdr:row>
      <xdr:rowOff>9525</xdr:rowOff>
    </xdr:to>
    <xdr:pic macro="">
      <xdr:nvPicPr>
        <xdr:cNvPr id="24" name="Picture 31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BAAAAAAAAAAAAAAABAAAAAAAAAAMQAGAAAAAACgE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10160</xdr:colOff>
      <xdr:row>16</xdr:row>
      <xdr:rowOff>9525</xdr:rowOff>
    </xdr:to>
    <xdr:pic macro="">
      <xdr:nvPicPr>
        <xdr:cNvPr id="23" name="Picture 35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GAAAAAACgE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10160</xdr:colOff>
      <xdr:row>17</xdr:row>
      <xdr:rowOff>9525</xdr:rowOff>
    </xdr:to>
    <xdr:pic macro="">
      <xdr:nvPicPr>
        <xdr:cNvPr id="22" name="Picture 15" descr="Bulgaria">
          <a:hlinkClick xmlns:r="http://schemas.openxmlformats.org/officeDocument/2006/relationships" r:id="rId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GAAAAAADaF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10160</xdr:colOff>
      <xdr:row>17</xdr:row>
      <xdr:rowOff>9525</xdr:rowOff>
    </xdr:to>
    <xdr:pic macro="">
      <xdr:nvPicPr>
        <xdr:cNvPr id="21" name="Picture 13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GAAAAAADaF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10160</xdr:colOff>
      <xdr:row>17</xdr:row>
      <xdr:rowOff>9525</xdr:rowOff>
    </xdr:to>
    <xdr:pic macro="">
      <xdr:nvPicPr>
        <xdr:cNvPr id="20" name="Picture 4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GAAAAAADaF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10160</xdr:colOff>
      <xdr:row>17</xdr:row>
      <xdr:rowOff>9525</xdr:rowOff>
    </xdr:to>
    <xdr:pic macro="">
      <xdr:nvPicPr>
        <xdr:cNvPr id="19" name="Picture 41" descr="România">
          <a:hlinkClick xmlns:r="http://schemas.openxmlformats.org/officeDocument/2006/relationships" r:id="rId3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GAAAAAADaF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10160</xdr:colOff>
      <xdr:row>17</xdr:row>
      <xdr:rowOff>9525</xdr:rowOff>
    </xdr:to>
    <xdr:pic macro="">
      <xdr:nvPicPr>
        <xdr:cNvPr id="18" name="Picture 8" descr="Argentina">
          <a:hlinkClick xmlns:r="http://schemas.openxmlformats.org/officeDocument/2006/relationships" r:id="rId3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GAAAAAADaF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10160</xdr:colOff>
      <xdr:row>17</xdr:row>
      <xdr:rowOff>9525</xdr:rowOff>
    </xdr:to>
    <xdr:pic macro="">
      <xdr:nvPicPr>
        <xdr:cNvPr id="17" name="Picture 32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GAAAAAADaF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10160</xdr:colOff>
      <xdr:row>17</xdr:row>
      <xdr:rowOff>9525</xdr:rowOff>
    </xdr:to>
    <xdr:pic macro="">
      <xdr:nvPicPr>
        <xdr:cNvPr id="16" name="Picture 3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BEAAAAAAAAAAAAAABEAAAAAAAAAMQAGAAAAAADaF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10160</xdr:colOff>
      <xdr:row>17</xdr:row>
      <xdr:rowOff>9525</xdr:rowOff>
    </xdr:to>
    <xdr:pic macro="">
      <xdr:nvPicPr>
        <xdr:cNvPr id="15" name="Picture 8" descr="Argentina">
          <a:hlinkClick xmlns:r="http://schemas.openxmlformats.org/officeDocument/2006/relationships" r:id="rId4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GAAAAAADaF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10160</xdr:colOff>
      <xdr:row>17</xdr:row>
      <xdr:rowOff>9525</xdr:rowOff>
    </xdr:to>
    <xdr:pic macro="">
      <xdr:nvPicPr>
        <xdr:cNvPr id="14" name="Picture 3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GAAAAAADaF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10160</xdr:colOff>
      <xdr:row>17</xdr:row>
      <xdr:rowOff>9525</xdr:rowOff>
    </xdr:to>
    <xdr:pic macro="">
      <xdr:nvPicPr>
        <xdr:cNvPr id="13" name="Picture 34" descr="Italia">
          <a:hlinkClick xmlns:r="http://schemas.openxmlformats.org/officeDocument/2006/relationships" r:id="rId5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GAAAAAADaF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10160</xdr:colOff>
      <xdr:row>17</xdr:row>
      <xdr:rowOff>9525</xdr:rowOff>
    </xdr:to>
    <xdr:pic macro="">
      <xdr:nvPicPr>
        <xdr:cNvPr id="12" name="Picture 38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GAAAAAADaF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10160</xdr:colOff>
      <xdr:row>17</xdr:row>
      <xdr:rowOff>9525</xdr:rowOff>
    </xdr:to>
    <xdr:pic macro="">
      <xdr:nvPicPr>
        <xdr:cNvPr id="11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GAAAAAADaF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10160</xdr:colOff>
      <xdr:row>17</xdr:row>
      <xdr:rowOff>9525</xdr:rowOff>
    </xdr:to>
    <xdr:pic macro="">
      <xdr:nvPicPr>
        <xdr:cNvPr id="10" name="Picture 31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GAAAAAADaF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10160</xdr:colOff>
      <xdr:row>17</xdr:row>
      <xdr:rowOff>9525</xdr:rowOff>
    </xdr:to>
    <xdr:pic macro="">
      <xdr:nvPicPr>
        <xdr:cNvPr id="9" name="Picture 33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GAAAAAADaF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10160</xdr:colOff>
      <xdr:row>17</xdr:row>
      <xdr:rowOff>9525</xdr:rowOff>
    </xdr:to>
    <xdr:pic macro="">
      <xdr:nvPicPr>
        <xdr:cNvPr id="8" name="Picture 37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8pD7DAAAABAAAAAAAAAAAAAAAAAAAAAAAAAAHgAAAGgAAAAAAAAAAAAAAAAAAAAAAAAAAAAAABAnAAAQJwAAAAAAAAAAAAAAAAAAAAAAAAAAAAAAAAAAAAAAAAAAAAAUAAAAAAAAAMDA/wAAAAAAZAAAADIAAAAAAAAAZAAAAAAAAAB/f38ACgAAACEAAAAwAAAALAAAABEAAAAAAAAAAAAAABEAAAAAAAAAMQAGAAAAAADaF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10160</xdr:colOff>
      <xdr:row>17</xdr:row>
      <xdr:rowOff>9525</xdr:rowOff>
    </xdr:to>
    <xdr:pic macro="">
      <xdr:nvPicPr>
        <xdr:cNvPr id="7" name="Picture 8" descr="Argentina">
          <a:hlinkClick xmlns:r="http://schemas.openxmlformats.org/officeDocument/2006/relationships" r:id="rId64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GAAAAAADaF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10160</xdr:colOff>
      <xdr:row>17</xdr:row>
      <xdr:rowOff>9525</xdr:rowOff>
    </xdr:to>
    <xdr:pic macro="">
      <xdr:nvPicPr>
        <xdr:cNvPr id="6" name="Picture 34" descr="Italia">
          <a:hlinkClick xmlns:r="http://schemas.openxmlformats.org/officeDocument/2006/relationships" r:id="rId75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GAAAAAADaF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10160</xdr:colOff>
      <xdr:row>17</xdr:row>
      <xdr:rowOff>9525</xdr:rowOff>
    </xdr:to>
    <xdr:pic macro="">
      <xdr:nvPicPr>
        <xdr:cNvPr id="5" name="Picture 35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BAEEADAAAABAAAAAAAAAAAAAAAAAAAAAAAAAAHgAAAGgAAAAAAAAAAAAAAAAAAAAAAAAAAAAAABAnAAAQJwAAAAAAAAAAAAAAAAAAAAAAAAAAAAAAAAAAAAAAAAAAAAAUAAAAAAAAAMDA/wAAAAAAZAAAADIAAAAAAAAAZAAAAAAAAAB/f38ACgAAACEAAAAwAAAALAAAABEAAAAAAAAAAAAAABEAAAAAAAAAMQAGAAAAAADaF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10160</xdr:colOff>
      <xdr:row>17</xdr:row>
      <xdr:rowOff>9525</xdr:rowOff>
    </xdr:to>
    <xdr:pic macro="">
      <xdr:nvPicPr>
        <xdr:cNvPr id="4" name="Picture 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GAAAAAADaF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10160</xdr:colOff>
      <xdr:row>17</xdr:row>
      <xdr:rowOff>9525</xdr:rowOff>
    </xdr:to>
    <xdr:pic macro="">
      <xdr:nvPicPr>
        <xdr:cNvPr id="3" name="Picture 31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GAAAAAADaF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10160</xdr:colOff>
      <xdr:row>17</xdr:row>
      <xdr:rowOff>9525</xdr:rowOff>
    </xdr:to>
    <xdr:pic macro="">
      <xdr:nvPicPr>
        <xdr:cNvPr id="2" name="Picture 35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dPM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GAAAAAADaF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10160" cy="95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</Relationships>
</file>

<file path=xl/worksheets/_rels/sheet6.xml.rels><?xml version="1.0" encoding="UTF-8" standalone="yes" 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</Relationships>
</file>

<file path=xl/worksheets/_rels/sheet7.xml.rels><?xml version="1.0" encoding="UTF-8" standalone="yes" 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</Relationships>
</file>

<file path=xl/worksheets/_rels/sheet8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 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4.vml"/></Relationships>
</file>

<file path=xl/worksheets/_rels/sheet12.xml.rels><?xml version="1.0" encoding="UTF-8" standalone="yes" 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60497A"/>
  </sheetPr>
  <dimension ref="A1:W52"/>
  <sheetViews>
    <sheetView view="normal" workbookViewId="0">
      <selection activeCell="L7" sqref="L7"/>
    </sheetView>
  </sheetViews>
  <sheetFormatPr baseColWidth="10" defaultColWidth="11.428571" defaultRowHeight="15.40"/>
  <cols>
    <col min="1" max="1" width="3.000000" customWidth="1"/>
    <col min="2" max="2" width="9.857143" customWidth="1"/>
    <col min="3" max="3" width="23.571429" customWidth="1"/>
    <col min="4" max="5" width="5.000000" customWidth="1"/>
    <col min="6" max="6" width="6.714286" customWidth="1"/>
    <col min="7" max="7" width="10.714286" customWidth="1" style="62"/>
    <col min="8" max="8" width="20.428571" customWidth="1"/>
    <col min="9" max="9" width="5.000000" customWidth="1"/>
    <col min="10" max="10" width="4.000000" customWidth="1"/>
    <col min="11" max="11" width="3.000000" customWidth="1"/>
    <col min="12" max="12" width="5.000000" customWidth="1"/>
    <col min="13" max="13" width="20.428571" customWidth="1"/>
    <col min="14" max="14" width="7.714286" customWidth="1"/>
    <col min="15" max="15" width="4.571429" customWidth="1"/>
    <col min="16" max="16" width="4.000000" customWidth="1"/>
    <col min="17" max="17" width="5.571429" customWidth="1"/>
    <col min="18" max="18" width="3.000000" customWidth="1"/>
    <col min="19" max="19" width="5.571429" customWidth="1"/>
    <col min="20" max="20" width="23.571429" customWidth="1"/>
    <col min="21" max="21" width="5.000000" customWidth="1"/>
    <col min="22" max="22" width="4.000000" customWidth="1"/>
    <col min="23" max="23" width="3.285714" customWidth="1"/>
    <col min="24" max="24" width="5.857143" customWidth="1"/>
    <col min="25" max="25" width="20.428571" customWidth="1"/>
    <col min="26" max="26" width="5.000000" customWidth="1"/>
  </cols>
  <sheetData>
    <row r="1" spans="1:8">
      <c r="A1" s="472" t="s">
        <v>0</v>
      </c>
      <c r="B1" s="472"/>
      <c r="C1" s="472"/>
      <c r="E1" s="473" t="s">
        <v>1</v>
      </c>
      <c r="F1" s="473"/>
      <c r="G1" s="473"/>
      <c r="H1" s="473"/>
    </row>
    <row r="2" spans="1:8">
      <c r="A2" s="474" t="n">
        <v>44035</v>
      </c>
      <c r="B2" s="474"/>
      <c r="C2" s="474"/>
      <c r="E2" s="62" t="s">
        <v>2</v>
      </c>
      <c r="F2" s="7" t="s">
        <v>3</v>
      </c>
      <c r="G2" s="78" t="n">
        <v>43276</v>
      </c>
      <c r="H2" t="s">
        <v>4</v>
      </c>
    </row>
    <row r="3" spans="5:8">
      <c r="E3" s="62" t="s">
        <v>5</v>
      </c>
      <c r="F3" s="152" t="s">
        <v>6</v>
      </c>
      <c r="G3" s="78" t="n">
        <v>43258</v>
      </c>
      <c r="H3" t="s">
        <v>7</v>
      </c>
    </row>
    <row r="4" spans="1:1" s="79" customFormat="1" ht="10.50" customHeight="1"/>
    <row r="5" spans="2:20" s="79" customFormat="1" ht="19.10">
      <c r="B5" s="450" t="s">
        <v>8</v>
      </c>
      <c r="C5" s="450"/>
      <c r="D5"/>
      <c r="G5" s="450" t="s">
        <v>9</v>
      </c>
      <c r="H5" s="450"/>
      <c r="I5" s="450"/>
      <c r="J5" s="92"/>
      <c r="K5" s="92"/>
      <c r="L5" s="450" t="s">
        <v>10</v>
      </c>
      <c r="M5" s="450"/>
      <c r="N5"/>
      <c r="O5" s="8" t="s">
        <v>11</v>
      </c>
      <c r="S5" s="450" t="s">
        <v>12</v>
      </c>
      <c r="T5" s="450"/>
    </row>
    <row r="6" spans="1:21">
      <c r="A6" s="9" t="n">
        <v>1</v>
      </c>
      <c r="B6" s="267" t="n">
        <v>116</v>
      </c>
      <c r="C6" s="268" t="s">
        <v>13</v>
      </c>
      <c r="D6" s="268" t="s">
        <v>14</v>
      </c>
      <c r="F6" s="74" t="n">
        <v>1</v>
      </c>
      <c r="G6" s="267" t="n">
        <v>436</v>
      </c>
      <c r="H6" s="268" t="s">
        <v>15</v>
      </c>
      <c r="I6" s="268" t="s">
        <v>16</v>
      </c>
      <c r="K6" s="74" t="n">
        <v>1</v>
      </c>
      <c r="L6" s="267" t="n">
        <v>283</v>
      </c>
      <c r="M6" s="268" t="s">
        <v>17</v>
      </c>
      <c r="N6" s="268" t="s">
        <v>18</v>
      </c>
      <c r="O6" s="274">
        <f>L6/G9</f>
        <v>0.808571428571429074</v>
      </c>
      <c r="P6" s="268"/>
      <c r="R6" s="9" t="n">
        <v>1</v>
      </c>
      <c r="S6" s="270" t="s">
        <v>19</v>
      </c>
      <c r="T6" s="271" t="s">
        <v>20</v>
      </c>
      <c r="U6" s="272" t="s">
        <v>21</v>
      </c>
    </row>
    <row r="7" spans="1:21">
      <c r="A7" s="9" t="n">
        <v>2</v>
      </c>
      <c r="B7" s="507" t="n">
        <v>66</v>
      </c>
      <c r="C7" s="271" t="s">
        <v>22</v>
      </c>
      <c r="D7" s="272" t="s">
        <v>14</v>
      </c>
      <c r="F7" s="74" t="n">
        <v>2</v>
      </c>
      <c r="G7" s="267" t="n">
        <v>419</v>
      </c>
      <c r="H7" s="268" t="s">
        <v>23</v>
      </c>
      <c r="I7" s="269" t="s">
        <v>24</v>
      </c>
      <c r="K7" s="74" t="n">
        <v>2</v>
      </c>
      <c r="L7" s="267" t="n">
        <v>132</v>
      </c>
      <c r="M7" s="268" t="s">
        <v>15</v>
      </c>
      <c r="N7" s="268" t="s">
        <v>16</v>
      </c>
      <c r="O7" s="274">
        <f>L7/G6</f>
        <v>0.302752293577982012</v>
      </c>
      <c r="P7" s="268"/>
      <c r="R7" s="9" t="n">
        <v>2</v>
      </c>
      <c r="S7" s="273" t="s">
        <v>25</v>
      </c>
      <c r="T7" s="268" t="s">
        <v>13</v>
      </c>
      <c r="U7" s="268" t="s">
        <v>14</v>
      </c>
    </row>
    <row r="8" spans="1:21">
      <c r="A8" s="9" t="n">
        <v>3</v>
      </c>
      <c r="B8" s="270" t="n">
        <v>46</v>
      </c>
      <c r="C8" s="271" t="s">
        <v>26</v>
      </c>
      <c r="D8" s="272" t="s">
        <v>14</v>
      </c>
      <c r="F8" s="74" t="n">
        <v>3</v>
      </c>
      <c r="G8" s="267" t="n">
        <v>362</v>
      </c>
      <c r="H8" s="268" t="s">
        <v>27</v>
      </c>
      <c r="I8" s="269" t="s">
        <v>28</v>
      </c>
      <c r="K8" s="74" t="n">
        <v>3</v>
      </c>
      <c r="L8" s="267" t="n">
        <v>132</v>
      </c>
      <c r="M8" s="268" t="s">
        <v>29</v>
      </c>
      <c r="N8" s="268" t="s">
        <v>30</v>
      </c>
      <c r="O8" s="274">
        <f>L8/G10</f>
        <v>0.391691394658754</v>
      </c>
      <c r="P8" s="268"/>
      <c r="R8" s="9" t="n">
        <v>2</v>
      </c>
      <c r="S8" s="273" t="s">
        <v>25</v>
      </c>
      <c r="T8" s="268" t="s">
        <v>15</v>
      </c>
      <c r="U8" s="268" t="s">
        <v>16</v>
      </c>
    </row>
    <row r="9" spans="1:21" s="79" customFormat="1" ht="19.10">
      <c r="A9" t="n">
        <v>4</v>
      </c>
      <c r="B9" s="262" t="n">
        <v>22</v>
      </c>
      <c r="C9" s="263" t="s">
        <v>31</v>
      </c>
      <c r="D9" s="264" t="s">
        <v>14</v>
      </c>
      <c r="F9" s="62" t="n">
        <v>4</v>
      </c>
      <c r="G9" s="258" t="n">
        <v>350</v>
      </c>
      <c r="H9" s="259" t="s">
        <v>32</v>
      </c>
      <c r="I9" s="260" t="s">
        <v>18</v>
      </c>
      <c r="K9" s="62" t="n">
        <v>4</v>
      </c>
      <c r="L9" s="258" t="n">
        <v>100</v>
      </c>
      <c r="M9" s="259" t="s">
        <v>33</v>
      </c>
      <c r="N9" s="259" t="s">
        <v>28</v>
      </c>
      <c r="O9" s="261">
        <f>L9/G11</f>
        <v>0.319488817891374</v>
      </c>
      <c r="P9" s="259"/>
      <c r="R9" s="9" t="n">
        <v>2</v>
      </c>
      <c r="S9" s="273" t="s">
        <v>25</v>
      </c>
      <c r="T9" s="268" t="s">
        <v>27</v>
      </c>
      <c r="U9" s="269" t="s">
        <v>28</v>
      </c>
    </row>
    <row r="10" spans="1:21">
      <c r="A10" t="n">
        <v>5</v>
      </c>
      <c r="B10" s="258" t="n">
        <v>2</v>
      </c>
      <c r="C10" s="259" t="s">
        <v>34</v>
      </c>
      <c r="D10" s="259" t="s">
        <v>14</v>
      </c>
      <c r="F10" s="62" t="n">
        <v>5</v>
      </c>
      <c r="G10" s="262" t="n">
        <v>337</v>
      </c>
      <c r="H10" s="263" t="s">
        <v>29</v>
      </c>
      <c r="I10" s="263" t="s">
        <v>30</v>
      </c>
      <c r="K10" s="62" t="n">
        <v>5</v>
      </c>
      <c r="L10" s="262" t="n">
        <v>95</v>
      </c>
      <c r="M10" s="263" t="s">
        <v>27</v>
      </c>
      <c r="N10" s="264" t="s">
        <v>28</v>
      </c>
      <c r="O10" s="265">
        <f>L10/G8</f>
        <v>0.262430939226518989</v>
      </c>
      <c r="P10" s="266"/>
      <c r="R10" s="9" t="n">
        <v>2</v>
      </c>
      <c r="S10" s="270" t="s">
        <v>25</v>
      </c>
      <c r="T10" s="271" t="s">
        <v>35</v>
      </c>
      <c r="U10" s="271" t="s">
        <v>21</v>
      </c>
    </row>
    <row r="11" spans="1:21">
      <c r="A11" t="n">
        <v>6</v>
      </c>
      <c r="B11" s="258" t="n">
        <v>1</v>
      </c>
      <c r="C11" s="259" t="s">
        <v>36</v>
      </c>
      <c r="D11" s="259" t="s">
        <v>37</v>
      </c>
      <c r="F11" s="62" t="n">
        <v>6</v>
      </c>
      <c r="G11" s="258" t="n">
        <v>313</v>
      </c>
      <c r="H11" s="259" t="s">
        <v>33</v>
      </c>
      <c r="I11" s="260" t="s">
        <v>28</v>
      </c>
      <c r="K11" s="62" t="n">
        <v>6</v>
      </c>
      <c r="L11" s="258" t="n">
        <v>90</v>
      </c>
      <c r="M11" s="259" t="s">
        <v>20</v>
      </c>
      <c r="N11" s="259" t="s">
        <v>21</v>
      </c>
      <c r="O11" s="261">
        <f>L11/G21</f>
        <v>0.616438356164383983</v>
      </c>
      <c r="P11" s="259" t="n">
        <v>169</v>
      </c>
      <c r="R11" s="9" t="n">
        <v>2</v>
      </c>
      <c r="S11" s="270" t="s">
        <v>25</v>
      </c>
      <c r="T11" s="271" t="s">
        <v>38</v>
      </c>
      <c r="U11" s="272" t="s">
        <v>24</v>
      </c>
    </row>
    <row r="12" spans="1:21">
      <c r="A12" t="n">
        <v>6</v>
      </c>
      <c r="B12" s="258" t="n">
        <v>1</v>
      </c>
      <c r="C12" s="259" t="s">
        <v>39</v>
      </c>
      <c r="D12" s="259" t="s">
        <v>24</v>
      </c>
      <c r="F12" s="62" t="n">
        <v>7</v>
      </c>
      <c r="G12" s="258" t="n">
        <v>312</v>
      </c>
      <c r="H12" s="259" t="s">
        <v>40</v>
      </c>
      <c r="I12" s="260" t="s">
        <v>30</v>
      </c>
      <c r="K12" s="62" t="n">
        <v>7</v>
      </c>
      <c r="L12" s="258" t="n">
        <v>85</v>
      </c>
      <c r="M12" s="259" t="s">
        <v>40</v>
      </c>
      <c r="N12" s="260" t="s">
        <v>30</v>
      </c>
      <c r="O12" s="261">
        <f>L12/G12</f>
        <v>0.272435897435897001</v>
      </c>
      <c r="P12" s="508"/>
      <c r="R12" t="n">
        <v>7</v>
      </c>
      <c r="S12" s="258" t="s">
        <v>41</v>
      </c>
      <c r="T12" s="259" t="s">
        <v>42</v>
      </c>
      <c r="U12" s="259" t="s">
        <v>37</v>
      </c>
    </row>
    <row r="13" spans="1:21">
      <c r="A13"/>
      <c r="B13" s="62"/>
      <c r="C13" s="62"/>
      <c r="D13" s="62"/>
      <c r="E13" s="79"/>
      <c r="F13" s="62" t="n">
        <v>8</v>
      </c>
      <c r="G13" s="258" t="n">
        <v>299</v>
      </c>
      <c r="H13" s="259" t="s">
        <v>43</v>
      </c>
      <c r="I13" s="260" t="s">
        <v>28</v>
      </c>
      <c r="J13" s="79"/>
      <c r="K13" s="62" t="n">
        <v>7</v>
      </c>
      <c r="L13" s="258" t="n">
        <v>85</v>
      </c>
      <c r="M13" s="259" t="s">
        <v>44</v>
      </c>
      <c r="N13" s="260" t="s">
        <v>28</v>
      </c>
      <c r="O13" s="261">
        <f>L13/G15</f>
        <v>0.298245614035087989</v>
      </c>
      <c r="P13" s="259"/>
      <c r="Q13" s="79"/>
      <c r="R13" t="n">
        <v>7</v>
      </c>
      <c r="S13" s="258" t="s">
        <v>41</v>
      </c>
      <c r="T13" s="259" t="s">
        <v>33</v>
      </c>
      <c r="U13" s="260" t="s">
        <v>28</v>
      </c>
    </row>
    <row r="14" spans="1:21">
      <c r="A14" s="79"/>
      <c r="B14" s="450" t="s">
        <v>45</v>
      </c>
      <c r="C14" s="450"/>
      <c r="F14" s="62" t="n">
        <v>9</v>
      </c>
      <c r="G14" s="262" t="n">
        <v>294</v>
      </c>
      <c r="H14" s="263" t="s">
        <v>13</v>
      </c>
      <c r="I14" s="263" t="s">
        <v>14</v>
      </c>
      <c r="K14" s="62" t="n">
        <v>9</v>
      </c>
      <c r="L14" s="262" t="n">
        <v>84</v>
      </c>
      <c r="M14" s="263" t="s">
        <v>23</v>
      </c>
      <c r="N14" s="264" t="s">
        <v>24</v>
      </c>
      <c r="O14" s="265">
        <f>L14/G7</f>
        <v>0.200477326968974001</v>
      </c>
      <c r="P14" s="263"/>
      <c r="R14" t="n">
        <v>7</v>
      </c>
      <c r="S14" s="258" t="s">
        <v>41</v>
      </c>
      <c r="T14" s="259" t="s">
        <v>23</v>
      </c>
      <c r="U14" s="260" t="s">
        <v>24</v>
      </c>
    </row>
    <row r="15" spans="1:21">
      <c r="A15" s="9" t="n">
        <v>1</v>
      </c>
      <c r="B15" s="273" t="n">
        <v>260</v>
      </c>
      <c r="C15" s="268" t="s">
        <v>13</v>
      </c>
      <c r="D15" s="268" t="s">
        <v>14</v>
      </c>
      <c r="F15" s="62" t="n">
        <v>10</v>
      </c>
      <c r="G15" s="258" t="n">
        <v>285</v>
      </c>
      <c r="H15" s="259" t="s">
        <v>44</v>
      </c>
      <c r="I15" s="260" t="s">
        <v>28</v>
      </c>
      <c r="K15" s="62" t="n">
        <v>10</v>
      </c>
      <c r="L15" s="258" t="n">
        <v>68</v>
      </c>
      <c r="M15" s="259" t="s">
        <v>46</v>
      </c>
      <c r="N15" s="260" t="s">
        <v>24</v>
      </c>
      <c r="O15" s="261">
        <f>L15/G16</f>
        <v>0.245487364620939008</v>
      </c>
      <c r="P15" s="259"/>
      <c r="R15" t="n">
        <v>10</v>
      </c>
      <c r="S15" s="262" t="s">
        <v>47</v>
      </c>
      <c r="T15" s="263" t="s">
        <v>29</v>
      </c>
      <c r="U15" s="264" t="s">
        <v>30</v>
      </c>
    </row>
    <row r="16" spans="1:21">
      <c r="A16" s="9" t="n">
        <v>2</v>
      </c>
      <c r="B16" s="270" t="n">
        <v>88</v>
      </c>
      <c r="C16" s="271" t="s">
        <v>26</v>
      </c>
      <c r="D16" s="272" t="s">
        <v>14</v>
      </c>
      <c r="F16" s="62" t="n">
        <v>11</v>
      </c>
      <c r="G16" s="258" t="n">
        <v>277</v>
      </c>
      <c r="H16" s="259" t="s">
        <v>46</v>
      </c>
      <c r="I16" s="260" t="s">
        <v>24</v>
      </c>
      <c r="K16" s="62" t="n">
        <v>11</v>
      </c>
      <c r="L16" s="262" t="n">
        <v>63</v>
      </c>
      <c r="M16" s="263" t="s">
        <v>48</v>
      </c>
      <c r="N16" s="264" t="s">
        <v>18</v>
      </c>
      <c r="O16" s="265">
        <f>L16/G22</f>
        <v>0.443661971830985991</v>
      </c>
      <c r="P16" s="263"/>
      <c r="R16" t="n">
        <v>10</v>
      </c>
      <c r="S16" s="258" t="s">
        <v>47</v>
      </c>
      <c r="T16" s="259" t="s">
        <v>40</v>
      </c>
      <c r="U16" s="260" t="s">
        <v>30</v>
      </c>
    </row>
    <row r="17" spans="1:21">
      <c r="A17" s="9" t="n">
        <v>3</v>
      </c>
      <c r="B17" s="270" t="n">
        <v>83</v>
      </c>
      <c r="C17" s="271" t="s">
        <v>23</v>
      </c>
      <c r="D17" s="272" t="s">
        <v>24</v>
      </c>
      <c r="F17" s="62" t="n">
        <v>12</v>
      </c>
      <c r="G17" s="258" t="n">
        <v>202</v>
      </c>
      <c r="H17" s="259" t="s">
        <v>36</v>
      </c>
      <c r="I17" s="260" t="s">
        <v>24</v>
      </c>
      <c r="K17" s="62" t="n">
        <v>12</v>
      </c>
      <c r="L17" s="258" t="n">
        <v>61</v>
      </c>
      <c r="M17" s="259" t="s">
        <v>43</v>
      </c>
      <c r="N17" s="259" t="s">
        <v>28</v>
      </c>
      <c r="O17" s="261">
        <f>L17/G13</f>
        <v>0.204013377926421002</v>
      </c>
      <c r="P17" s="259"/>
      <c r="R17" t="n">
        <v>12</v>
      </c>
      <c r="S17" s="258" t="s">
        <v>49</v>
      </c>
      <c r="T17" s="259" t="s">
        <v>44</v>
      </c>
      <c r="U17" s="260" t="s">
        <v>28</v>
      </c>
    </row>
    <row r="18" spans="1:21">
      <c r="A18" t="n">
        <v>4</v>
      </c>
      <c r="B18" s="258" t="n">
        <v>21</v>
      </c>
      <c r="C18" s="259" t="s">
        <v>50</v>
      </c>
      <c r="D18" s="259" t="s">
        <v>30</v>
      </c>
      <c r="F18" s="62" t="n">
        <v>12</v>
      </c>
      <c r="G18" s="258" t="n">
        <v>202</v>
      </c>
      <c r="H18" s="259" t="s">
        <v>22</v>
      </c>
      <c r="I18" s="260" t="s">
        <v>14</v>
      </c>
      <c r="K18" s="62" t="n">
        <v>13</v>
      </c>
      <c r="L18" s="258" t="n">
        <v>53</v>
      </c>
      <c r="M18" s="259" t="s">
        <v>36</v>
      </c>
      <c r="N18" s="259" t="s">
        <v>37</v>
      </c>
      <c r="O18" s="261">
        <f>L18/G17</f>
        <v>0.262376237623761988</v>
      </c>
      <c r="P18" s="259"/>
      <c r="R18" t="n">
        <v>12</v>
      </c>
      <c r="S18" s="258" t="s">
        <v>49</v>
      </c>
      <c r="T18" s="259" t="s">
        <v>43</v>
      </c>
      <c r="U18" s="260" t="s">
        <v>28</v>
      </c>
    </row>
    <row r="19" spans="1:21">
      <c r="A19" t="n">
        <v>5</v>
      </c>
      <c r="B19" s="262" t="n">
        <v>12</v>
      </c>
      <c r="C19" s="263" t="s">
        <v>51</v>
      </c>
      <c r="D19" s="263" t="s">
        <v>28</v>
      </c>
      <c r="F19" s="62" t="n">
        <v>14</v>
      </c>
      <c r="G19" s="258" t="n">
        <v>172</v>
      </c>
      <c r="H19" s="259" t="s">
        <v>42</v>
      </c>
      <c r="I19" s="259" t="s">
        <v>37</v>
      </c>
      <c r="K19" s="62" t="n">
        <v>14</v>
      </c>
      <c r="L19" s="258" t="n">
        <v>33</v>
      </c>
      <c r="M19" s="259" t="s">
        <v>42</v>
      </c>
      <c r="N19" s="259" t="s">
        <v>37</v>
      </c>
      <c r="O19" s="261">
        <f>L19/G21</f>
        <v>0.226027397260273988</v>
      </c>
      <c r="P19" s="259" t="n">
        <v>79</v>
      </c>
      <c r="R19" t="n">
        <v>12</v>
      </c>
      <c r="S19" s="258" t="s">
        <v>49</v>
      </c>
      <c r="T19" s="259" t="s">
        <v>32</v>
      </c>
      <c r="U19" s="260" t="s">
        <v>18</v>
      </c>
    </row>
    <row r="20" spans="1:21">
      <c r="A20" t="n">
        <v>6</v>
      </c>
      <c r="B20" s="258" t="n">
        <v>10</v>
      </c>
      <c r="C20" s="259" t="s">
        <v>32</v>
      </c>
      <c r="D20" s="260" t="s">
        <v>18</v>
      </c>
      <c r="F20" s="62" t="n">
        <v>15</v>
      </c>
      <c r="G20" s="258" t="n">
        <v>146</v>
      </c>
      <c r="H20" s="259" t="s">
        <v>26</v>
      </c>
      <c r="I20" s="260" t="s">
        <v>14</v>
      </c>
      <c r="K20" s="62" t="n">
        <v>15</v>
      </c>
      <c r="L20" s="258" t="n">
        <v>32</v>
      </c>
      <c r="M20" s="259" t="s">
        <v>35</v>
      </c>
      <c r="N20" s="259" t="s">
        <v>21</v>
      </c>
      <c r="O20" s="261">
        <f>L20/G25</f>
        <v>0.333333333333332993</v>
      </c>
      <c r="P20" s="259" t="n">
        <v>89</v>
      </c>
      <c r="R20" t="n">
        <v>15</v>
      </c>
      <c r="S20" s="262" t="s">
        <v>52</v>
      </c>
      <c r="T20" s="263" t="s">
        <v>48</v>
      </c>
      <c r="U20" s="264" t="s">
        <v>18</v>
      </c>
    </row>
    <row r="21" spans="1:21">
      <c r="A21" t="n">
        <v>7</v>
      </c>
      <c r="B21" s="258" t="n">
        <v>8</v>
      </c>
      <c r="C21" s="259" t="s">
        <v>33</v>
      </c>
      <c r="D21" s="260" t="s">
        <v>28</v>
      </c>
      <c r="F21" s="62" t="n">
        <v>15</v>
      </c>
      <c r="G21" s="258" t="n">
        <v>146</v>
      </c>
      <c r="H21" s="259" t="s">
        <v>20</v>
      </c>
      <c r="I21" s="259" t="s">
        <v>21</v>
      </c>
      <c r="K21" s="62" t="n">
        <v>16</v>
      </c>
      <c r="L21" s="258" t="n">
        <v>27</v>
      </c>
      <c r="M21" s="259" t="s">
        <v>53</v>
      </c>
      <c r="N21" s="259" t="s">
        <v>28</v>
      </c>
      <c r="O21" s="261">
        <f>L21/G24</f>
        <v>0.243243243243243024</v>
      </c>
      <c r="P21" s="259"/>
      <c r="R21" t="n">
        <v>16</v>
      </c>
      <c r="S21" s="258" t="s">
        <v>54</v>
      </c>
      <c r="T21" s="259" t="s">
        <v>46</v>
      </c>
      <c r="U21" s="260" t="s">
        <v>24</v>
      </c>
    </row>
    <row r="22" spans="1:21">
      <c r="A22" t="n">
        <v>8</v>
      </c>
      <c r="B22" s="258" t="n">
        <v>6</v>
      </c>
      <c r="C22" s="259" t="s">
        <v>55</v>
      </c>
      <c r="D22" s="260" t="s">
        <v>28</v>
      </c>
      <c r="F22" s="62" t="n">
        <v>17</v>
      </c>
      <c r="G22" s="262" t="n">
        <v>142</v>
      </c>
      <c r="H22" s="263" t="s">
        <v>56</v>
      </c>
      <c r="I22" s="264" t="s">
        <v>18</v>
      </c>
      <c r="K22" s="62" t="n">
        <v>17</v>
      </c>
      <c r="L22" s="262" t="n">
        <v>24</v>
      </c>
      <c r="M22" s="263" t="s">
        <v>57</v>
      </c>
      <c r="N22" s="263" t="s">
        <v>37</v>
      </c>
      <c r="O22" s="265">
        <f>L22/G23</f>
        <v>0.210526315789473983</v>
      </c>
      <c r="P22" s="263"/>
      <c r="R22" t="n">
        <v>16</v>
      </c>
      <c r="S22" s="262" t="s">
        <v>54</v>
      </c>
      <c r="T22" s="263" t="s">
        <v>31</v>
      </c>
      <c r="U22" s="264" t="s">
        <v>14</v>
      </c>
    </row>
    <row r="23" spans="1:21">
      <c r="A23" t="n">
        <v>9</v>
      </c>
      <c r="B23" s="262" t="n">
        <v>5</v>
      </c>
      <c r="C23" s="263" t="s">
        <v>27</v>
      </c>
      <c r="D23" s="264" t="s">
        <v>28</v>
      </c>
      <c r="F23" s="62" t="n">
        <v>18</v>
      </c>
      <c r="G23" s="262" t="n">
        <v>114</v>
      </c>
      <c r="H23" s="263" t="s">
        <v>57</v>
      </c>
      <c r="I23" s="263" t="s">
        <v>24</v>
      </c>
      <c r="K23" s="62" t="n">
        <v>18</v>
      </c>
      <c r="L23" s="262" t="n">
        <v>21</v>
      </c>
      <c r="M23" s="263" t="s">
        <v>58</v>
      </c>
      <c r="N23" s="263" t="s">
        <v>28</v>
      </c>
      <c r="O23" s="265"/>
      <c r="P23" s="263"/>
      <c r="R23" t="n">
        <v>18</v>
      </c>
      <c r="S23" s="262" t="s">
        <v>59</v>
      </c>
      <c r="T23" s="263" t="s">
        <v>22</v>
      </c>
      <c r="U23" s="264" t="s">
        <v>14</v>
      </c>
    </row>
    <row r="24" spans="1:21">
      <c r="A24" t="n">
        <v>9</v>
      </c>
      <c r="B24" s="258" t="n">
        <v>5</v>
      </c>
      <c r="C24" s="259" t="s">
        <v>60</v>
      </c>
      <c r="D24" s="260" t="s">
        <v>28</v>
      </c>
      <c r="F24" s="62" t="n">
        <v>19</v>
      </c>
      <c r="G24" s="258" t="n">
        <v>111</v>
      </c>
      <c r="H24" s="259" t="s">
        <v>53</v>
      </c>
      <c r="I24" s="259" t="s">
        <v>28</v>
      </c>
      <c r="K24" s="62" t="n">
        <v>19</v>
      </c>
      <c r="L24" s="258" t="n">
        <v>19</v>
      </c>
      <c r="M24" s="259" t="s">
        <v>61</v>
      </c>
      <c r="N24" s="260" t="s">
        <v>62</v>
      </c>
      <c r="O24" s="261"/>
      <c r="P24" s="259"/>
      <c r="R24" t="n">
        <v>18</v>
      </c>
      <c r="S24" s="258" t="s">
        <v>59</v>
      </c>
      <c r="T24" s="259" t="s">
        <v>26</v>
      </c>
      <c r="U24" s="260" t="s">
        <v>14</v>
      </c>
    </row>
    <row r="25" spans="1:21">
      <c r="A25" t="n">
        <v>11</v>
      </c>
      <c r="B25" s="258" t="n">
        <v>4</v>
      </c>
      <c r="C25" s="259" t="s">
        <v>63</v>
      </c>
      <c r="D25" s="260" t="s">
        <v>18</v>
      </c>
      <c r="F25" s="62" t="n">
        <v>20</v>
      </c>
      <c r="G25" s="258" t="n">
        <v>96</v>
      </c>
      <c r="H25" s="259" t="s">
        <v>35</v>
      </c>
      <c r="I25" s="259" t="s">
        <v>21</v>
      </c>
      <c r="K25" s="62" t="n">
        <v>20</v>
      </c>
      <c r="L25" s="262" t="n">
        <v>17</v>
      </c>
      <c r="M25" s="263" t="s">
        <v>64</v>
      </c>
      <c r="N25" s="263" t="s">
        <v>28</v>
      </c>
      <c r="O25" s="265"/>
      <c r="P25" s="263"/>
      <c r="R25" t="n">
        <v>18</v>
      </c>
      <c r="S25" s="258" t="s">
        <v>59</v>
      </c>
      <c r="T25" s="259" t="s">
        <v>53</v>
      </c>
      <c r="U25" s="259" t="s">
        <v>28</v>
      </c>
    </row>
    <row r="26" spans="1:21">
      <c r="A26" t="n">
        <v>12</v>
      </c>
      <c r="B26" s="262" t="n">
        <v>3</v>
      </c>
      <c r="C26" s="263" t="s">
        <v>56</v>
      </c>
      <c r="D26" s="264" t="s">
        <v>18</v>
      </c>
      <c r="F26" s="62" t="n">
        <v>21</v>
      </c>
      <c r="G26" s="258" t="n">
        <v>89</v>
      </c>
      <c r="H26" s="259" t="s">
        <v>39</v>
      </c>
      <c r="I26" s="260" t="s">
        <v>24</v>
      </c>
      <c r="K26" s="62" t="n">
        <v>21</v>
      </c>
      <c r="L26" s="258" t="n">
        <v>15</v>
      </c>
      <c r="M26" s="259" t="s">
        <v>60</v>
      </c>
      <c r="N26" s="260" t="s">
        <v>28</v>
      </c>
      <c r="O26" s="261"/>
      <c r="P26" s="259"/>
      <c r="R26" t="n">
        <v>18</v>
      </c>
      <c r="S26" s="258" t="s">
        <v>59</v>
      </c>
      <c r="T26" s="259" t="s">
        <v>63</v>
      </c>
      <c r="U26" s="260" t="s">
        <v>18</v>
      </c>
    </row>
    <row r="27" spans="1:21">
      <c r="A27" t="n">
        <v>13</v>
      </c>
      <c r="B27" s="258" t="n">
        <v>2</v>
      </c>
      <c r="C27" s="259" t="s">
        <v>22</v>
      </c>
      <c r="D27" s="260" t="s">
        <v>14</v>
      </c>
      <c r="F27" s="62" t="n">
        <v>22</v>
      </c>
      <c r="G27" s="262" t="n">
        <v>65</v>
      </c>
      <c r="H27" s="263" t="s">
        <v>58</v>
      </c>
      <c r="I27" s="263" t="s">
        <v>28</v>
      </c>
      <c r="K27" s="62" t="n">
        <v>22</v>
      </c>
      <c r="L27" s="258" t="n">
        <v>12</v>
      </c>
      <c r="M27" s="259" t="s">
        <v>65</v>
      </c>
      <c r="N27" s="260" t="s">
        <v>18</v>
      </c>
      <c r="O27" s="261"/>
      <c r="P27" s="259"/>
      <c r="R27" t="n">
        <v>18</v>
      </c>
      <c r="S27" s="262" t="s">
        <v>59</v>
      </c>
      <c r="T27" s="263" t="s">
        <v>66</v>
      </c>
      <c r="U27" s="263" t="s">
        <v>28</v>
      </c>
    </row>
    <row r="28" spans="1:21">
      <c r="A28" t="n">
        <v>13</v>
      </c>
      <c r="B28" s="262" t="n">
        <v>2</v>
      </c>
      <c r="C28" s="263" t="s">
        <v>58</v>
      </c>
      <c r="D28" s="263" t="s">
        <v>28</v>
      </c>
      <c r="F28" s="62" t="n">
        <v>23</v>
      </c>
      <c r="G28" s="262" t="n">
        <v>61</v>
      </c>
      <c r="H28" s="263" t="s">
        <v>67</v>
      </c>
      <c r="I28" s="263" t="s">
        <v>28</v>
      </c>
      <c r="K28" s="62" t="n">
        <v>23</v>
      </c>
      <c r="L28" s="258" t="n">
        <v>11</v>
      </c>
      <c r="M28" s="259" t="s">
        <v>22</v>
      </c>
      <c r="N28" s="260" t="s">
        <v>14</v>
      </c>
      <c r="O28" s="261">
        <f>L28/G18</f>
        <v>0.0544554455445539887</v>
      </c>
      <c r="P28" s="259"/>
      <c r="R28" t="n">
        <v>18</v>
      </c>
      <c r="S28" s="262" t="s">
        <v>59</v>
      </c>
      <c r="T28" s="263" t="s">
        <v>51</v>
      </c>
      <c r="U28" s="263" t="s">
        <v>28</v>
      </c>
    </row>
    <row r="29" spans="1:23">
      <c r="A29" t="n">
        <v>15</v>
      </c>
      <c r="B29" s="258" t="n">
        <v>1</v>
      </c>
      <c r="C29" s="259" t="s">
        <v>61</v>
      </c>
      <c r="D29" s="260" t="s">
        <v>18</v>
      </c>
      <c r="F29" s="62" t="n">
        <v>24</v>
      </c>
      <c r="G29" s="258" t="n">
        <v>55</v>
      </c>
      <c r="H29" s="259" t="s">
        <v>61</v>
      </c>
      <c r="I29" s="260" t="s">
        <v>18</v>
      </c>
      <c r="K29" s="62" t="n">
        <v>23</v>
      </c>
      <c r="L29" s="262" t="n">
        <v>11</v>
      </c>
      <c r="M29" s="263" t="s">
        <v>68</v>
      </c>
      <c r="N29" s="263" t="s">
        <v>28</v>
      </c>
      <c r="O29" s="265"/>
      <c r="P29" s="263"/>
      <c r="Q29"/>
      <c r="R29"/>
      <c r="S29" s="62"/>
      <c r="T29"/>
      <c r="U29" s="78"/>
      <c r="V29"/>
      <c r="W29"/>
    </row>
    <row r="30" spans="1:23">
      <c r="A30" t="n">
        <v>15</v>
      </c>
      <c r="B30" s="258" t="n">
        <v>1</v>
      </c>
      <c r="C30" s="259" t="s">
        <v>36</v>
      </c>
      <c r="D30" s="259" t="s">
        <v>37</v>
      </c>
      <c r="F30" s="62" t="n">
        <v>25</v>
      </c>
      <c r="G30" s="262" t="n">
        <v>53</v>
      </c>
      <c r="H30" s="263" t="s">
        <v>66</v>
      </c>
      <c r="I30" s="263" t="s">
        <v>28</v>
      </c>
      <c r="K30" s="62" t="n">
        <v>25</v>
      </c>
      <c r="L30" s="258" t="n">
        <v>10</v>
      </c>
      <c r="M30" s="259" t="s">
        <v>39</v>
      </c>
      <c r="N30" s="260" t="s">
        <v>24</v>
      </c>
      <c r="O30" s="261"/>
      <c r="P30" s="259"/>
      <c r="Q30"/>
      <c r="R30"/>
      <c r="S30" s="62"/>
      <c r="T30"/>
      <c r="U30"/>
      <c r="V30"/>
      <c r="W30"/>
    </row>
    <row r="31" spans="1:23">
      <c r="A31" t="n">
        <v>15</v>
      </c>
      <c r="B31" s="258" t="n">
        <v>1</v>
      </c>
      <c r="C31" s="259" t="s">
        <v>40</v>
      </c>
      <c r="D31" s="260" t="s">
        <v>30</v>
      </c>
      <c r="F31" s="62" t="n">
        <v>26</v>
      </c>
      <c r="G31" s="262" t="n">
        <v>51</v>
      </c>
      <c r="H31" s="263" t="s">
        <v>68</v>
      </c>
      <c r="I31" s="263" t="s">
        <v>28</v>
      </c>
      <c r="K31" s="62" t="n">
        <v>25</v>
      </c>
      <c r="L31" s="258" t="n">
        <v>10</v>
      </c>
      <c r="M31" s="259" t="s">
        <v>69</v>
      </c>
      <c r="N31" s="260" t="s">
        <v>18</v>
      </c>
      <c r="O31" s="261"/>
      <c r="P31" s="259"/>
      <c r="Q31"/>
      <c r="R31"/>
      <c r="S31" s="62"/>
      <c r="T31"/>
      <c r="U31"/>
      <c r="V31"/>
      <c r="W31"/>
    </row>
    <row r="32" spans="1:23">
      <c r="A32" t="n">
        <v>15</v>
      </c>
      <c r="B32" s="258" t="n">
        <v>1</v>
      </c>
      <c r="C32" s="259" t="s">
        <v>38</v>
      </c>
      <c r="D32" s="260" t="s">
        <v>37</v>
      </c>
      <c r="F32" s="62" t="n">
        <v>27</v>
      </c>
      <c r="G32" s="262" t="n">
        <v>50</v>
      </c>
      <c r="H32" s="263" t="s">
        <v>70</v>
      </c>
      <c r="I32" s="263" t="s">
        <v>28</v>
      </c>
      <c r="K32" s="62" t="n">
        <v>27</v>
      </c>
      <c r="L32" s="258" t="n">
        <v>9</v>
      </c>
      <c r="M32" s="259" t="s">
        <v>71</v>
      </c>
      <c r="N32" s="259" t="s">
        <v>18</v>
      </c>
      <c r="O32" s="261"/>
      <c r="P32" s="259"/>
      <c r="Q32"/>
      <c r="R32"/>
      <c r="S32" s="62"/>
      <c r="T32"/>
      <c r="U32"/>
      <c r="V32"/>
      <c r="W32"/>
    </row>
    <row r="33" spans="2:23">
      <c r="B33" s="235">
        <f>SUM(B15:B32)</f>
        <v>513</v>
      </c>
      <c r="G33"/>
      <c r="H33"/>
      <c r="I33"/>
      <c r="K33" s="62" t="n">
        <v>27</v>
      </c>
      <c r="L33" s="258" t="n">
        <v>9</v>
      </c>
      <c r="M33" s="259" t="s">
        <v>72</v>
      </c>
      <c r="N33" s="259" t="s">
        <v>18</v>
      </c>
      <c r="O33" s="261"/>
      <c r="P33" s="259"/>
      <c r="Q33"/>
      <c r="R33"/>
      <c r="S33" s="62"/>
      <c r="T33"/>
      <c r="U33" s="78"/>
      <c r="V33"/>
      <c r="W33"/>
    </row>
    <row r="34" spans="2:23">
      <c r="B34" s="62"/>
      <c r="G34"/>
      <c r="H34"/>
      <c r="I34"/>
      <c r="K34" s="62" t="n">
        <v>27</v>
      </c>
      <c r="L34" s="262" t="n">
        <v>9</v>
      </c>
      <c r="M34" s="263" t="s">
        <v>70</v>
      </c>
      <c r="N34" s="263" t="s">
        <v>28</v>
      </c>
      <c r="O34" s="265"/>
      <c r="P34" s="263"/>
      <c r="Q34"/>
      <c r="R34"/>
      <c r="S34" s="62"/>
      <c r="T34"/>
      <c r="U34"/>
      <c r="V34"/>
      <c r="W34"/>
    </row>
    <row r="35" spans="2:23">
      <c r="B35" s="62"/>
      <c r="G35"/>
      <c r="H35"/>
      <c r="I35"/>
      <c r="K35" s="62" t="n">
        <v>30</v>
      </c>
      <c r="L35" s="258" t="n">
        <v>8</v>
      </c>
      <c r="M35" s="259" t="s">
        <v>73</v>
      </c>
      <c r="N35" s="259" t="s">
        <v>24</v>
      </c>
      <c r="O35" s="261"/>
      <c r="P35" s="259"/>
      <c r="Q35"/>
      <c r="R35"/>
      <c r="S35"/>
      <c r="T35"/>
      <c r="U35"/>
      <c r="V35"/>
      <c r="W35"/>
    </row>
    <row r="36" spans="2:16">
      <c r="B36" s="62"/>
      <c r="G36"/>
      <c r="K36" s="62" t="n">
        <v>31</v>
      </c>
      <c r="L36" s="262" t="n">
        <v>7</v>
      </c>
      <c r="M36" s="263" t="s">
        <v>74</v>
      </c>
      <c r="N36" s="263" t="s">
        <v>28</v>
      </c>
      <c r="O36" s="265"/>
      <c r="P36" s="263"/>
    </row>
    <row r="37" spans="2:16">
      <c r="B37" s="62"/>
      <c r="G37"/>
      <c r="K37" s="62" t="n">
        <v>32</v>
      </c>
      <c r="L37" s="258" t="n">
        <v>6</v>
      </c>
      <c r="M37" s="259" t="s">
        <v>26</v>
      </c>
      <c r="N37" s="260" t="s">
        <v>14</v>
      </c>
      <c r="O37" s="261"/>
      <c r="P37" s="259"/>
    </row>
    <row r="38" spans="2:16">
      <c r="B38" s="62"/>
      <c r="G38"/>
      <c r="K38" s="62" t="n">
        <v>32</v>
      </c>
      <c r="L38" s="262" t="n">
        <v>6</v>
      </c>
      <c r="M38" s="263" t="s">
        <v>66</v>
      </c>
      <c r="N38" s="263" t="s">
        <v>28</v>
      </c>
      <c r="O38" s="265"/>
      <c r="P38" s="263"/>
    </row>
    <row r="39" spans="2:16">
      <c r="B39" s="62"/>
      <c r="G39"/>
      <c r="K39" s="62" t="n">
        <v>34</v>
      </c>
      <c r="L39" s="258" t="n">
        <v>5</v>
      </c>
      <c r="M39" s="259" t="s">
        <v>75</v>
      </c>
      <c r="N39" s="259" t="s">
        <v>30</v>
      </c>
      <c r="O39" s="261"/>
      <c r="P39" s="259"/>
    </row>
    <row r="40" spans="2:16">
      <c r="B40" s="62"/>
      <c r="G40"/>
      <c r="K40" s="62" t="n">
        <v>34</v>
      </c>
      <c r="L40" s="262" t="n">
        <v>5</v>
      </c>
      <c r="M40" s="263" t="s">
        <v>76</v>
      </c>
      <c r="N40" s="263" t="s">
        <v>37</v>
      </c>
      <c r="O40" s="265"/>
      <c r="P40" s="263"/>
    </row>
    <row r="41" spans="2:16">
      <c r="B41" s="62"/>
      <c r="G41"/>
      <c r="K41" s="62" t="n">
        <v>36</v>
      </c>
      <c r="L41" s="258" t="n">
        <v>3</v>
      </c>
      <c r="M41" s="259" t="s">
        <v>77</v>
      </c>
      <c r="N41" s="259" t="s">
        <v>21</v>
      </c>
      <c r="O41" s="261"/>
      <c r="P41" s="259"/>
    </row>
    <row r="42" spans="2:16">
      <c r="B42" s="62"/>
      <c r="G42"/>
      <c r="K42" s="62" t="n">
        <v>36</v>
      </c>
      <c r="L42" s="258" t="n">
        <v>3</v>
      </c>
      <c r="M42" s="259" t="s">
        <v>78</v>
      </c>
      <c r="N42" s="259" t="s">
        <v>28</v>
      </c>
      <c r="O42" s="261"/>
      <c r="P42" s="259"/>
    </row>
    <row r="43" spans="2:16">
      <c r="B43" s="62"/>
      <c r="G43"/>
      <c r="K43" s="62" t="n">
        <v>36</v>
      </c>
      <c r="L43" s="258" t="n">
        <v>3</v>
      </c>
      <c r="M43" s="259" t="s">
        <v>38</v>
      </c>
      <c r="N43" s="259" t="s">
        <v>24</v>
      </c>
      <c r="O43" s="261"/>
      <c r="P43" s="259" t="n">
        <v>49</v>
      </c>
    </row>
    <row r="44" spans="2:16">
      <c r="B44" s="62"/>
      <c r="G44"/>
      <c r="K44" s="62" t="n">
        <v>36</v>
      </c>
      <c r="L44" s="262" t="n">
        <v>3</v>
      </c>
      <c r="M44" s="263" t="s">
        <v>51</v>
      </c>
      <c r="N44" s="263" t="s">
        <v>28</v>
      </c>
      <c r="O44" s="265"/>
      <c r="P44" s="263"/>
    </row>
    <row r="45" spans="2:16">
      <c r="B45" s="62"/>
      <c r="G45"/>
      <c r="K45" s="62" t="n">
        <v>36</v>
      </c>
      <c r="L45" s="262" t="n">
        <v>3</v>
      </c>
      <c r="M45" s="263" t="s">
        <v>79</v>
      </c>
      <c r="N45" s="263" t="s">
        <v>37</v>
      </c>
      <c r="O45" s="265"/>
      <c r="P45" s="263"/>
    </row>
    <row r="46" spans="2:16">
      <c r="B46" s="62"/>
      <c r="K46" s="62" t="n">
        <v>36</v>
      </c>
      <c r="L46" s="262" t="n">
        <v>3</v>
      </c>
      <c r="M46" s="263" t="s">
        <v>80</v>
      </c>
      <c r="N46" s="263" t="s">
        <v>37</v>
      </c>
      <c r="O46" s="265"/>
      <c r="P46" s="263"/>
    </row>
    <row r="47" spans="2:16">
      <c r="B47" s="62"/>
      <c r="K47" s="62" t="n">
        <v>42</v>
      </c>
      <c r="L47" s="262" t="n">
        <v>2</v>
      </c>
      <c r="M47" s="263" t="s">
        <v>81</v>
      </c>
      <c r="N47" s="263" t="s">
        <v>37</v>
      </c>
      <c r="O47" s="265"/>
      <c r="P47" s="263"/>
    </row>
    <row r="48" spans="2:16">
      <c r="B48" s="62"/>
      <c r="K48" s="62" t="n">
        <v>42</v>
      </c>
      <c r="L48" s="262" t="n">
        <v>2</v>
      </c>
      <c r="M48" s="263" t="s">
        <v>13</v>
      </c>
      <c r="N48" s="263" t="s">
        <v>14</v>
      </c>
      <c r="O48" s="265">
        <f>L48/G14</f>
        <v>0.00680272108843499979</v>
      </c>
      <c r="P48" s="263" t="n">
        <v>3</v>
      </c>
    </row>
    <row r="49" spans="2:16">
      <c r="B49" s="62"/>
      <c r="K49" s="62" t="n">
        <v>44</v>
      </c>
      <c r="L49" s="262" t="n">
        <v>1</v>
      </c>
      <c r="M49" s="263" t="s">
        <v>82</v>
      </c>
      <c r="N49" s="263" t="s">
        <v>30</v>
      </c>
      <c r="O49" s="265"/>
      <c r="P49" s="263"/>
    </row>
    <row r="50" spans="2:16">
      <c r="B50" s="62"/>
      <c r="K50" s="62" t="n">
        <v>44</v>
      </c>
      <c r="L50" s="262" t="n">
        <v>1</v>
      </c>
      <c r="M50" s="263" t="s">
        <v>83</v>
      </c>
      <c r="N50" s="263" t="s">
        <v>30</v>
      </c>
      <c r="O50" s="265"/>
      <c r="P50" s="263"/>
    </row>
    <row r="51" spans="2:12">
      <c r="B51" s="62"/>
      <c r="L51" s="236">
        <f>SUM(L6:L50)</f>
        <v>1661</v>
      </c>
    </row>
    <row r="52" spans="2:2">
      <c r="B52" s="62"/>
    </row>
  </sheetData>
  <mergeCells count="7">
    <mergeCell ref="A1:C1"/>
    <mergeCell ref="E1:H1"/>
    <mergeCell ref="A2:C2"/>
    <mergeCell ref="B5:C5"/>
    <mergeCell ref="G5:I5"/>
    <mergeCell ref="L5:M5"/>
    <mergeCell ref="S5:T5"/>
  </mergeCells>
  <printOptions>
    <extLst>
      <ext uri="smNativeData">
        <pm:pageFlags xmlns:pm="smNativeData" id="1595601780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601780" l="56" r="56" t="56" b="56" borderId="0" fillId="0" vertical="0"/>
        <pm:footer xmlns:pm="smNativeData" id="1595601780" l="56" r="56" t="56" b="56" borderId="0" fillId="0" vertical="2"/>
      </ext>
    </extLst>
  </headerFooter>
  <extLst>
    <ext uri="smNativeData">
      <pm:sheetPrefs xmlns:pm="smNativeData" day="1595601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92D050"/>
    <pageSetUpPr fitToPage="1"/>
  </sheetPr>
  <dimension ref="A1:BK38"/>
  <sheetViews>
    <sheetView tabSelected="1" view="normal" zoomScale="110" workbookViewId="0">
      <pane xSplit="9" ySplit="3" topLeftCell="L4" activePane="bottomRight" state="frozen"/>
      <selection pane="bottomRight" activeCell="AF22" sqref="AF22"/>
    </sheetView>
  </sheetViews>
  <sheetFormatPr baseColWidth="10" defaultColWidth="11.428571" defaultRowHeight="15.40"/>
  <cols>
    <col min="1" max="1" width="4.714286" customWidth="1"/>
    <col min="2" max="2" width="5.428571" customWidth="1"/>
    <col min="3" max="3" width="5.571429" customWidth="1" style="63"/>
    <col min="4" max="4" width="20.714286" customWidth="1" style="57"/>
    <col min="5" max="5" width="5.571429" customWidth="1"/>
    <col min="6" max="6" width="5.000000" customWidth="1"/>
    <col min="7" max="7" width="4.571429" customWidth="1" style="62"/>
    <col min="8" max="8" width="3.714286" customWidth="1" style="8"/>
    <col min="9" max="9" width="4.857143" customWidth="1"/>
    <col min="10" max="10" width="4.571429" customWidth="1"/>
    <col min="11" max="11" width="4.714286" customWidth="1" style="62"/>
    <col min="12" max="12" width="5.142857" customWidth="1"/>
    <col min="13" max="13" width="4.285714" customWidth="1" style="62"/>
    <col min="14" max="14" width="5.000000" customWidth="1" style="62"/>
    <col min="15" max="15" width="10.428571" customWidth="1" style="62"/>
    <col min="16" max="16" width="5.571429" customWidth="1" style="62"/>
    <col min="17" max="17" width="4.142857" customWidth="1" style="62"/>
    <col min="18" max="19" width="5.714286" customWidth="1" style="62"/>
    <col min="20" max="20" width="12.000000" customWidth="1"/>
    <col min="21" max="21" width="10.571429" customWidth="1"/>
    <col min="22" max="22" width="11.142857" customWidth="1" style="51"/>
    <col min="23" max="23" width="7.571429" customWidth="1" style="51"/>
    <col min="24" max="24" width="6.142857" customWidth="1" style="51"/>
    <col min="25" max="28" width="6.142857" customWidth="1"/>
    <col min="29" max="29" width="5.571429" customWidth="1"/>
    <col min="30" max="30" width="6.142857" customWidth="1"/>
    <col min="31" max="31" width="9.571429" customWidth="1" style="51"/>
    <col min="32" max="33" width="4.571429" customWidth="1" style="458"/>
    <col min="34" max="34" width="6.571429" customWidth="1" style="458"/>
    <col min="35" max="36" width="7.571429" customWidth="1" style="458"/>
    <col min="37" max="39" width="6.571429" customWidth="1" style="458"/>
    <col min="40" max="40" width="7.000000" customWidth="1" style="458"/>
    <col min="41" max="41" width="4.142857" customWidth="1"/>
    <col min="42" max="42" width="4.285714" customWidth="1"/>
    <col min="43" max="43" width="5.285714" customWidth="1"/>
    <col min="44" max="58" width="7.571429" customWidth="1"/>
    <col min="59" max="59" width="10.000000" customWidth="1"/>
    <col min="60" max="60" width="11.285714" customWidth="1"/>
    <col min="61" max="61" width="8.428571" customWidth="1"/>
  </cols>
  <sheetData>
    <row r="1" spans="3:58" s="70" customFormat="1">
      <c r="C1" s="215"/>
      <c r="D1" s="104">
        <f aca="1">TODAY()</f>
        <v>44036</v>
      </c>
      <c r="E1" s="104" t="n">
        <v>41471</v>
      </c>
      <c r="F1" s="104"/>
      <c r="G1" s="104"/>
      <c r="H1" s="71"/>
      <c r="I1" s="71"/>
      <c r="J1" s="71"/>
      <c r="K1" s="72"/>
      <c r="L1" s="71"/>
      <c r="M1" s="72"/>
      <c r="N1" s="72"/>
      <c r="O1" s="72"/>
      <c r="P1" s="72"/>
      <c r="Q1" s="215"/>
      <c r="R1" s="72"/>
      <c r="S1" s="72"/>
      <c r="T1" s="71"/>
      <c r="U1" s="71"/>
      <c r="V1" s="71"/>
      <c r="W1" s="71"/>
      <c r="X1" s="93"/>
      <c r="Y1" s="71"/>
      <c r="Z1" s="71"/>
      <c r="AA1" s="71"/>
      <c r="AB1" s="71"/>
      <c r="AC1" s="71"/>
      <c r="AD1" s="71"/>
      <c r="AE1" s="93"/>
      <c r="AF1" s="451"/>
      <c r="AG1" s="451"/>
      <c r="AH1" s="452"/>
      <c r="AI1" s="452"/>
      <c r="AJ1" s="453"/>
      <c r="AK1" s="452"/>
      <c r="AL1" s="452"/>
      <c r="AM1" s="452"/>
      <c r="AN1" s="452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</row>
    <row r="2" spans="1:40" s="7" customFormat="1">
      <c r="A2" s="7" t="n">
        <v>16</v>
      </c>
      <c r="B2" s="77"/>
      <c r="C2" s="252"/>
      <c r="D2" s="253"/>
      <c r="E2" s="215"/>
      <c r="F2" s="215"/>
      <c r="I2" s="254">
        <f>AVERAGE(I4:I24)</f>
        <v>7.84285714285714963</v>
      </c>
      <c r="J2" s="215"/>
      <c r="K2" s="215"/>
      <c r="M2" s="254">
        <f>AVERAGE(M4:M24)</f>
        <v>5.17142857142856993</v>
      </c>
      <c r="N2" s="215"/>
      <c r="O2" s="215"/>
      <c r="P2" s="215"/>
      <c r="Q2" s="254">
        <f>AVERAGE(Q4:Q24)</f>
        <v>5.23809523809523991</v>
      </c>
      <c r="R2" s="255">
        <f>AVERAGE(R4:R24)</f>
        <v>0.850461447231278989</v>
      </c>
      <c r="S2" s="255">
        <f>AVERAGE(S4:S24)</f>
        <v>0.916728620593750065</v>
      </c>
      <c r="T2" s="256">
        <f>AVERAGE(T4:T24)</f>
        <v>36920.4761904761981</v>
      </c>
      <c r="U2" s="256">
        <f>AVERAGE(U4:U24)</f>
        <v>-196.666666666666998</v>
      </c>
      <c r="V2" s="256">
        <f>AVERAGE(V4:V24)</f>
        <v>10743.6190476190004</v>
      </c>
      <c r="W2" s="80"/>
      <c r="X2" s="257">
        <f>(X4+X5)/2</f>
        <v>14.9749999999999996</v>
      </c>
      <c r="Y2" s="257">
        <f>AVERAGE(Y4:Y9)</f>
        <v>8.29166666666666963</v>
      </c>
      <c r="Z2" s="257">
        <f>AVERAGE(Z16:Z21)</f>
        <v>12.6666666666666998</v>
      </c>
      <c r="AA2" s="257">
        <f>AVERAGE(AA14:AA15)</f>
        <v>1</v>
      </c>
      <c r="AB2" s="257">
        <f>AVERAGE(AB5:AB24)</f>
        <v>5.33499999999999996</v>
      </c>
      <c r="AC2" s="257">
        <f>AVERAGE(AC22:AC24)</f>
        <v>6.6333333333333302</v>
      </c>
      <c r="AD2" s="257">
        <f>AVERAGE(AD4:AD24)</f>
        <v>16.1603174603175006</v>
      </c>
      <c r="AE2" s="80"/>
      <c r="AF2" s="454"/>
      <c r="AG2" s="454"/>
      <c r="AH2" s="455"/>
      <c r="AI2" s="455"/>
      <c r="AJ2" s="455"/>
      <c r="AK2" s="455"/>
      <c r="AL2" s="455"/>
      <c r="AM2" s="455"/>
      <c r="AN2" s="455"/>
    </row>
    <row r="3" spans="1:60">
      <c r="A3" s="85" t="s">
        <v>84</v>
      </c>
      <c r="B3" s="85" t="s">
        <v>85</v>
      </c>
      <c r="C3" s="86" t="s">
        <v>86</v>
      </c>
      <c r="D3" s="87" t="s">
        <v>87</v>
      </c>
      <c r="E3" s="85" t="s">
        <v>88</v>
      </c>
      <c r="F3" s="85" t="s">
        <v>89</v>
      </c>
      <c r="G3" s="85" t="s">
        <v>90</v>
      </c>
      <c r="H3" s="85" t="s">
        <v>91</v>
      </c>
      <c r="I3" s="85" t="s">
        <v>92</v>
      </c>
      <c r="J3" s="85" t="s">
        <v>93</v>
      </c>
      <c r="K3" s="88" t="s">
        <v>94</v>
      </c>
      <c r="L3" s="88" t="s">
        <v>95</v>
      </c>
      <c r="M3" s="85" t="s">
        <v>96</v>
      </c>
      <c r="N3" s="85" t="s">
        <v>97</v>
      </c>
      <c r="O3" s="85" t="s">
        <v>98</v>
      </c>
      <c r="P3" s="85" t="s">
        <v>99</v>
      </c>
      <c r="Q3" s="85" t="s">
        <v>100</v>
      </c>
      <c r="R3" s="151" t="s">
        <v>101</v>
      </c>
      <c r="S3" s="151" t="s">
        <v>102</v>
      </c>
      <c r="T3" s="85" t="s">
        <v>103</v>
      </c>
      <c r="U3" s="85" t="s">
        <v>104</v>
      </c>
      <c r="V3" s="85" t="s">
        <v>105</v>
      </c>
      <c r="W3" s="85" t="s">
        <v>106</v>
      </c>
      <c r="X3" s="85" t="s">
        <v>107</v>
      </c>
      <c r="Y3" s="85" t="s">
        <v>108</v>
      </c>
      <c r="Z3" s="85" t="s">
        <v>109</v>
      </c>
      <c r="AA3" s="85" t="s">
        <v>110</v>
      </c>
      <c r="AB3" s="85" t="s">
        <v>111</v>
      </c>
      <c r="AC3" s="85" t="s">
        <v>112</v>
      </c>
      <c r="AD3" s="85" t="s">
        <v>90</v>
      </c>
      <c r="AE3" s="85" t="s">
        <v>113</v>
      </c>
      <c r="AF3" s="103" t="s">
        <v>114</v>
      </c>
      <c r="AG3" s="103" t="s">
        <v>115</v>
      </c>
      <c r="AH3" s="103" t="s">
        <v>116</v>
      </c>
      <c r="AI3" s="103" t="s">
        <v>117</v>
      </c>
      <c r="AJ3" s="103" t="s">
        <v>118</v>
      </c>
      <c r="AK3" s="103" t="s">
        <v>119</v>
      </c>
      <c r="AL3" s="103" t="s">
        <v>120</v>
      </c>
      <c r="AM3" s="103" t="s">
        <v>121</v>
      </c>
      <c r="AN3" s="103" t="s">
        <v>122</v>
      </c>
      <c r="AO3" s="85" t="s">
        <v>123</v>
      </c>
      <c r="AP3" s="85" t="s">
        <v>124</v>
      </c>
      <c r="AQ3" s="85" t="s">
        <v>125</v>
      </c>
      <c r="AR3" s="128" t="s">
        <v>126</v>
      </c>
      <c r="AS3" s="128" t="s">
        <v>127</v>
      </c>
      <c r="AT3" s="128" t="s">
        <v>128</v>
      </c>
      <c r="AU3" s="128" t="s">
        <v>129</v>
      </c>
      <c r="AV3" s="128" t="s">
        <v>130</v>
      </c>
      <c r="AW3" s="128" t="s">
        <v>131</v>
      </c>
      <c r="AX3" s="128" t="s">
        <v>132</v>
      </c>
      <c r="AY3" s="128" t="s">
        <v>133</v>
      </c>
      <c r="AZ3" s="128" t="s">
        <v>134</v>
      </c>
      <c r="BA3" s="128" t="s">
        <v>135</v>
      </c>
      <c r="BB3" s="128" t="s">
        <v>136</v>
      </c>
      <c r="BC3" s="128" t="s">
        <v>137</v>
      </c>
      <c r="BD3" s="128" t="s">
        <v>138</v>
      </c>
      <c r="BE3" s="128" t="s">
        <v>139</v>
      </c>
      <c r="BF3" s="128" t="s">
        <v>140</v>
      </c>
      <c r="BG3" s="128" t="s">
        <v>141</v>
      </c>
      <c r="BH3" s="246" t="s">
        <v>142</v>
      </c>
    </row>
    <row r="4" spans="1:63">
      <c r="A4" s="9" t="s">
        <v>143</v>
      </c>
      <c r="B4" s="9" t="s">
        <v>14</v>
      </c>
      <c r="C4" s="116">
        <f>((34*112)-(E4*112)-(F4))/112</f>
        <v>-4.55357142857142971</v>
      </c>
      <c r="D4" s="509" t="s">
        <v>144</v>
      </c>
      <c r="E4" s="59" t="n">
        <v>38</v>
      </c>
      <c r="F4" s="60">
        <f>-42406+$D$1-112-112-112-112-112-112-112-112-112-112-112-112-112-112</f>
        <v>62</v>
      </c>
      <c r="G4" s="75"/>
      <c r="H4" s="241" t="n">
        <v>6</v>
      </c>
      <c r="I4" s="61" t="n">
        <v>25.5</v>
      </c>
      <c r="J4" s="148">
        <f>LOG(I4+1)*4/3</f>
        <v>1.89766116524907993</v>
      </c>
      <c r="K4" s="89">
        <f>(H4)*(H4)*(I4)</f>
        <v>918</v>
      </c>
      <c r="L4" s="89">
        <f>(H4+1)*(H4+1)*I4</f>
        <v>1249.5</v>
      </c>
      <c r="M4" s="83" t="n">
        <v>2.39999999999999991</v>
      </c>
      <c r="N4" s="145">
        <f>M4*10+19</f>
        <v>43</v>
      </c>
      <c r="O4" s="239" t="n">
        <v>42468</v>
      </c>
      <c r="P4" s="240">
        <f aca="1">IF((TODAY()-O4)&gt;335,1,((TODAY()-O4)^0.64)/(336^0.64))</f>
        <v>1</v>
      </c>
      <c r="Q4" s="145" t="n">
        <v>7</v>
      </c>
      <c r="R4" s="161">
        <f>(Q4/7)^0.5</f>
        <v>1</v>
      </c>
      <c r="S4" s="161">
        <f>IF(Q4=7,1,((Q4+0.99)/7)^0.5)</f>
        <v>1</v>
      </c>
      <c r="T4" s="98" t="n">
        <v>12250</v>
      </c>
      <c r="U4" s="214">
        <f>T4-BG4</f>
        <v>0</v>
      </c>
      <c r="V4" s="98" t="n">
        <v>3228</v>
      </c>
      <c r="W4" s="96">
        <f>T4/V4</f>
        <v>3.79491945477075987</v>
      </c>
      <c r="X4" s="147" t="n">
        <v>14.9499999999999993</v>
      </c>
      <c r="Y4" s="148" t="n">
        <v>9.94999999999999929</v>
      </c>
      <c r="Z4" s="147" t="n">
        <v>0.95</v>
      </c>
      <c r="AA4" s="148" t="n">
        <v>0</v>
      </c>
      <c r="AB4" s="147" t="n">
        <v>0</v>
      </c>
      <c r="AC4" s="148" t="n">
        <v>0</v>
      </c>
      <c r="AD4" s="147" t="n">
        <v>17.9499999999999993</v>
      </c>
      <c r="AE4" s="244" t="n">
        <v>990</v>
      </c>
      <c r="AF4" s="456">
        <f>(Z4+P4+J4)*(Q4/7)^0.5</f>
        <v>3.84766116524908028</v>
      </c>
      <c r="AG4" s="456">
        <f>(Z4+P4+J4)*(IF(Q4=7,(Q4/7)^0.5,((Q4+1)/7)^0.5))</f>
        <v>3.84766116524908028</v>
      </c>
      <c r="AH4" s="96">
        <f>(((Y4+P4+J4)+(AB4+P4+J4)*2)/8)*(Q4/7)^0.5</f>
        <v>2.33037293696841008</v>
      </c>
      <c r="AI4" s="96">
        <f>(1.66*(AC4+J4+P4)+0.55*(AD4+J4+P4)-7.6)*(Q4/7)^0.5</f>
        <v>8.67633117520050057</v>
      </c>
      <c r="AJ4" s="96">
        <f>((AD4+J4+P4)*0.7+(AC4+J4+P4)*0.3)*(Q4/7)^0.5</f>
        <v>15.4626611652491004</v>
      </c>
      <c r="AK4" s="96">
        <f>(0.5*(AC4+P4+J4)+0.3*(AD4+P4+J4))/10</f>
        <v>0.77031289321992702</v>
      </c>
      <c r="AL4" s="96">
        <f>(0.4*(Y4+P4+J4)+0.3*(AD4+P4+J4))/10</f>
        <v>1.13933628156743993</v>
      </c>
      <c r="AM4" s="457">
        <f>(AD4+P4+(LOG(I4)*4/3))*(Q4/7)^0.5</f>
        <v>20.8253869072452993</v>
      </c>
      <c r="AN4" s="457">
        <f>(AD4+P4+(LOG(I4)*4/3))*(IF(Q4=7,(Q4/7)^0.5,((Q4+1)/7)^0.5))</f>
        <v>20.8253869072452993</v>
      </c>
      <c r="AO4" s="145" t="n">
        <v>2</v>
      </c>
      <c r="AP4" s="145" t="n">
        <v>2</v>
      </c>
      <c r="AQ4" s="161">
        <f>IF(AO4=4,IF(AP4=0,0.137+0.0697,0.137+0.02),IF(AO4=3,IF(AP4=0,0.0958+0.0697,0.0958+0.02),IF(AO4=2,IF(AP4=0,0.0415+0.0697,0.0415+0.02),IF(AO4=1,IF(AP4=0,0.0294+0.0697,0.0294+0.02),IF(AO4=0,IF(AP4=0,0.0063+0.0697,0.0063+0.02))))))</f>
        <v>0.0615000000000000036</v>
      </c>
      <c r="AR4" s="245"/>
      <c r="AS4" s="245"/>
      <c r="AT4" s="245"/>
      <c r="AU4" s="245"/>
      <c r="AV4" s="161"/>
      <c r="AW4" s="161"/>
      <c r="AX4" s="161"/>
      <c r="AY4" s="161"/>
      <c r="AZ4" s="161"/>
      <c r="BA4" s="161"/>
      <c r="BB4" s="161"/>
      <c r="BC4" s="161"/>
      <c r="BD4" s="161"/>
      <c r="BE4" s="161"/>
      <c r="BF4" s="161"/>
      <c r="BG4" s="98" t="n">
        <v>12250</v>
      </c>
      <c r="BH4" s="247"/>
      <c r="BJ4" s="117"/>
      <c r="BK4" s="119"/>
    </row>
    <row r="5" spans="1:63" s="0" customFormat="1">
      <c r="A5" s="9" t="s">
        <v>145</v>
      </c>
      <c r="B5" s="9" t="s">
        <v>14</v>
      </c>
      <c r="C5" s="116">
        <f>((34*112)-(E5*112)-(F5))/112</f>
        <v>11.0982142857143007</v>
      </c>
      <c r="D5" s="471" t="s">
        <v>31</v>
      </c>
      <c r="E5" s="59" t="n">
        <v>22</v>
      </c>
      <c r="F5" s="60">
        <f>82-44017+$D$1</f>
        <v>101</v>
      </c>
      <c r="G5" s="75" t="s">
        <v>146</v>
      </c>
      <c r="H5" s="115" t="n">
        <v>0</v>
      </c>
      <c r="I5" s="61" t="n">
        <v>3.5</v>
      </c>
      <c r="J5" s="148">
        <f>LOG(I5+1)*4/3</f>
        <v>0.870950018367127043</v>
      </c>
      <c r="K5" s="89">
        <f>(H5)*(H5)*(I5)</f>
        <v>0</v>
      </c>
      <c r="L5" s="89">
        <f>(H5+1)*(H5+1)*I5</f>
        <v>3.5</v>
      </c>
      <c r="M5" s="83" t="n">
        <v>7</v>
      </c>
      <c r="N5" s="145">
        <f>M5*10+19</f>
        <v>89</v>
      </c>
      <c r="O5" s="470" t="n">
        <v>43878</v>
      </c>
      <c r="P5" s="240">
        <f aca="1">IF((TODAY()-O5)&gt;335,1,((TODAY()-O5)^0.64)/(336^0.64))</f>
        <v>0.61699749118287297</v>
      </c>
      <c r="Q5" s="145" t="n">
        <v>6</v>
      </c>
      <c r="R5" s="161">
        <f>(Q5/7)^0.5</f>
        <v>0.925820099772552041</v>
      </c>
      <c r="S5" s="161">
        <f>IF(Q5=7,1,((Q5+0.99)/7)^0.5)</f>
        <v>0.999285459001294996</v>
      </c>
      <c r="T5" s="98" t="n">
        <v>69380</v>
      </c>
      <c r="U5" s="214">
        <f>T5-BG5</f>
        <v>-570</v>
      </c>
      <c r="V5" s="98" t="n">
        <v>30492</v>
      </c>
      <c r="W5" s="96">
        <f>T5/V5</f>
        <v>2.27535091171455006</v>
      </c>
      <c r="X5" s="147" t="n">
        <v>15</v>
      </c>
      <c r="Y5" s="148" t="n">
        <v>5</v>
      </c>
      <c r="Z5" s="147" t="n">
        <v>2</v>
      </c>
      <c r="AA5" s="148" t="n">
        <v>1</v>
      </c>
      <c r="AB5" s="147" t="n">
        <v>5</v>
      </c>
      <c r="AC5" s="148" t="n">
        <v>3</v>
      </c>
      <c r="AD5" s="147" t="n">
        <v>19.25</v>
      </c>
      <c r="AE5" s="244" t="n">
        <v>1149</v>
      </c>
      <c r="AF5" s="456">
        <f>(Z5+P5+J5)*(Q5/7)^0.5</f>
        <v>3.22921191129301022</v>
      </c>
      <c r="AG5" s="456">
        <f>(Z5+P5+J5)*(IF(Q5=7,(Q5/7)^0.5,((Q5+1)/7)^0.5))</f>
        <v>3.4879475095500001</v>
      </c>
      <c r="AH5" s="96">
        <f>(((Y5+P5+J5)+(AB5+P5+J5)*2)/8)*(Q5/7)^0.5</f>
        <v>2.25250207897900001</v>
      </c>
      <c r="AI5" s="96">
        <f>(1.66*(AC5+J5+P5)+0.55*(AD5+J5+P5)-7.6)*(Q5/7)^0.5</f>
        <v>10.4209051279006992</v>
      </c>
      <c r="AJ5" s="96">
        <f>((AD5+J5+P5)*0.7+(AC5+J5+P5)*0.3)*(Q5/7)^0.5</f>
        <v>14.6862356459783001</v>
      </c>
      <c r="AK5" s="96">
        <f>(0.5*(AC5+P5+J5)+0.3*(AD5+P5+J5))/10</f>
        <v>0.846535800764000079</v>
      </c>
      <c r="AL5" s="96">
        <f>(0.4*(Y5+P5+J5)+0.3*(AD5+P5+J5))/10</f>
        <v>0.881656325668500074</v>
      </c>
      <c r="AM5" s="457">
        <f>(AD5+P5+(LOG(I5)*4/3))*(Q5/7)^0.5</f>
        <v>19.064877774272599</v>
      </c>
      <c r="AN5" s="457">
        <f>(AD5+P5+(LOG(I5)*4/3))*(IF(Q5=7,(Q5/7)^0.5,((Q5+1)/7)^0.5))</f>
        <v>20.592421550316601</v>
      </c>
      <c r="AO5" s="145" t="n">
        <v>4</v>
      </c>
      <c r="AP5" s="145" t="n">
        <v>3</v>
      </c>
      <c r="AQ5" s="161">
        <f>IF(AO5=4,IF(AP5=0,0.137+0.0697,0.137+0.02),IF(AO5=3,IF(AP5=0,0.0958+0.0697,0.0958+0.02),IF(AO5=2,IF(AP5=0,0.0415+0.0697,0.0415+0.02),IF(AO5=1,IF(AP5=0,0.0294+0.0697,0.0294+0.02),IF(AO5=0,IF(AP5=0,0.0063+0.0697,0.0063+0.02))))))</f>
        <v>0.157000000000000011</v>
      </c>
      <c r="AR5" s="248"/>
      <c r="AS5" s="248"/>
      <c r="AT5" s="248"/>
      <c r="AU5" s="248"/>
      <c r="AV5" s="248"/>
      <c r="AW5" s="248"/>
      <c r="AX5" s="248"/>
      <c r="AY5" s="248"/>
      <c r="AZ5" s="248"/>
      <c r="BA5" s="248"/>
      <c r="BB5" s="248"/>
      <c r="BC5" s="248"/>
      <c r="BD5" s="248"/>
      <c r="BE5" s="248"/>
      <c r="BF5" s="248"/>
      <c r="BG5" s="98" t="n">
        <v>69950</v>
      </c>
      <c r="BH5" s="247"/>
      <c r="BJ5" s="117"/>
      <c r="BK5" s="119"/>
    </row>
    <row r="6" spans="1:63" s="0" customFormat="1">
      <c r="A6" s="90" t="s">
        <v>147</v>
      </c>
      <c r="B6" s="9" t="s">
        <v>37</v>
      </c>
      <c r="C6" s="116">
        <f>((34*112)-(E6*112)-(F6))/112</f>
        <v>-5.65178571428571974</v>
      </c>
      <c r="D6" s="509" t="s">
        <v>148</v>
      </c>
      <c r="E6" s="59" t="n">
        <v>39</v>
      </c>
      <c r="F6" s="60">
        <f>7-44000+$D$1+30</f>
        <v>73</v>
      </c>
      <c r="G6" s="75"/>
      <c r="H6" s="115" t="n">
        <v>4</v>
      </c>
      <c r="I6" s="61" t="n">
        <v>19.1000000000000014</v>
      </c>
      <c r="J6" s="148">
        <f>LOG(I6+1)*4/3</f>
        <v>1.73759474322732004</v>
      </c>
      <c r="K6" s="89">
        <f>(H6)*(H6)*(I6)</f>
        <v>305.600000000000023</v>
      </c>
      <c r="L6" s="89">
        <f>(H6+1)*(H6+1)*I6</f>
        <v>477.5</v>
      </c>
      <c r="M6" s="83" t="n">
        <v>1.39999999999999991</v>
      </c>
      <c r="N6" s="145">
        <f>M6*10+19</f>
        <v>33</v>
      </c>
      <c r="O6" s="145" t="s">
        <v>149</v>
      </c>
      <c r="P6" s="240" t="n">
        <v>1.5</v>
      </c>
      <c r="Q6" s="145" t="n">
        <v>2</v>
      </c>
      <c r="R6" s="161">
        <f>(Q6/7)^0.5</f>
        <v>0.534522483824849015</v>
      </c>
      <c r="S6" s="161">
        <f>IF(Q6=7,1,((Q6+0.99)/7)^0.5)</f>
        <v>0.653561670497020941</v>
      </c>
      <c r="T6" s="98" t="n">
        <v>360</v>
      </c>
      <c r="U6" s="214">
        <f>T6-BG6</f>
        <v>0</v>
      </c>
      <c r="V6" s="98" t="n">
        <v>460</v>
      </c>
      <c r="W6" s="96">
        <f>T6/V6</f>
        <v>0.782608695652173925</v>
      </c>
      <c r="X6" s="147" t="n">
        <v>0</v>
      </c>
      <c r="Y6" s="148" t="n">
        <v>8.94999999999999751</v>
      </c>
      <c r="Z6" s="147" t="n">
        <v>8.94999999999999751</v>
      </c>
      <c r="AA6" s="148" t="n">
        <v>4.95000000000000018</v>
      </c>
      <c r="AB6" s="147" t="n">
        <v>4.95000000000000018</v>
      </c>
      <c r="AC6" s="148" t="n">
        <v>0</v>
      </c>
      <c r="AD6" s="147" t="n">
        <v>15</v>
      </c>
      <c r="AE6" s="244" t="n">
        <v>790</v>
      </c>
      <c r="AF6" s="456">
        <f>(Z6+P6+J6)*(Q6/7)^0.5</f>
        <v>6.51454341400052961</v>
      </c>
      <c r="AG6" s="456">
        <f>(Z6+P6+J6)*(IF(Q6=7,(Q6/7)^0.5,((Q6+1)/7)^0.5))</f>
        <v>7.97865363575500997</v>
      </c>
      <c r="AH6" s="96">
        <f>(((Y6+P6+J6)+(AB6+P6+J6)*2)/8)*(Q6/7)^0.5</f>
        <v>1.90843129642535008</v>
      </c>
      <c r="AI6" s="96">
        <f>(1.66*(AC6+J6+P6)+0.55*(AD6+J6+P6)-7.6)*(Q6/7)^0.5</f>
        <v>4.17199309061375967</v>
      </c>
      <c r="AJ6" s="96">
        <f>((AD6+J6+P6)*0.7+(AC6+J6+P6)*0.3)*(Q6/7)^0.5</f>
        <v>7.34305326392904956</v>
      </c>
      <c r="AK6" s="96">
        <f>(0.5*(AC6+P6+J6)+0.3*(AD6+P6+J6))/10</f>
        <v>0.709007579458185067</v>
      </c>
      <c r="AL6" s="96">
        <f>(0.4*(Y6+P6+J6)+0.3*(AD6+P6+J6))/10</f>
        <v>1.03463163202590991</v>
      </c>
      <c r="AM6" s="457">
        <f>(AD6+P6+(LOG(I6)*4/3))*(Q6/7)^0.5</f>
        <v>9.7326091662083396</v>
      </c>
      <c r="AN6" s="457">
        <f>(AD6+P6+(LOG(I6)*4/3))*(IF(Q6=7,(Q6/7)^0.5,((Q6+1)/7)^0.5))</f>
        <v>11.9199631615724009</v>
      </c>
      <c r="AO6" s="145" t="n">
        <v>2</v>
      </c>
      <c r="AP6" s="145" t="n">
        <v>3</v>
      </c>
      <c r="AQ6" s="161">
        <f>IF(AO6=4,IF(AP6=0,0.137+0.0697,0.137+0.02),IF(AO6=3,IF(AP6=0,0.0958+0.0697,0.0958+0.02),IF(AO6=2,IF(AP6=0,0.0415+0.0697,0.0415+0.02),IF(AO6=1,IF(AP6=0,0.0294+0.0697,0.0294+0.02),IF(AO6=0,IF(AP6=0,0.0063+0.0697,0.0063+0.02))))))</f>
        <v>0.0615000000000000036</v>
      </c>
      <c r="AR6" s="245"/>
      <c r="AS6" s="245"/>
      <c r="AT6" s="245"/>
      <c r="AU6" s="245"/>
      <c r="AV6" s="161"/>
      <c r="AW6" s="161"/>
      <c r="AX6" s="161"/>
      <c r="AY6" s="161"/>
      <c r="AZ6" s="161"/>
      <c r="BA6" s="161"/>
      <c r="BB6" s="161"/>
      <c r="BC6" s="161"/>
      <c r="BD6" s="161"/>
      <c r="BE6" s="161"/>
      <c r="BF6" s="161"/>
      <c r="BG6" s="98" t="n">
        <v>360</v>
      </c>
      <c r="BH6" s="247"/>
      <c r="BJ6" s="117"/>
      <c r="BK6" s="119"/>
    </row>
    <row r="7" spans="1:63" s="4" customFormat="1">
      <c r="A7" s="90" t="s">
        <v>150</v>
      </c>
      <c r="B7" s="9" t="s">
        <v>37</v>
      </c>
      <c r="C7" s="116">
        <f>((34*112)-(E7*112)-(F7))/112</f>
        <v>-1.72321428571429003</v>
      </c>
      <c r="D7" s="509" t="s">
        <v>151</v>
      </c>
      <c r="E7" s="59" t="n">
        <v>35</v>
      </c>
      <c r="F7" s="60">
        <f>75-41471+$D$1-24-112-10-112-112+6-112-112-112+45-112-112-112-112-112-112-112-112-112-112-112-112-112-112-112-112-112</f>
        <v>81</v>
      </c>
      <c r="G7" s="75"/>
      <c r="H7" s="118" t="n">
        <v>4</v>
      </c>
      <c r="I7" s="61" t="n">
        <v>7.09999999999999964</v>
      </c>
      <c r="J7" s="148">
        <f>LOG(I7+1)*4/3</f>
        <v>1.2113133585048701</v>
      </c>
      <c r="K7" s="89">
        <f>(H7)*(H7)*(I7)</f>
        <v>113.599999999999994</v>
      </c>
      <c r="L7" s="89">
        <f>(H7+1)*(H7+1)*I7</f>
        <v>177.5</v>
      </c>
      <c r="M7" s="83" t="n">
        <v>2.39999999999999991</v>
      </c>
      <c r="N7" s="145">
        <f>M7*10+19</f>
        <v>43</v>
      </c>
      <c r="O7" s="145" t="s">
        <v>149</v>
      </c>
      <c r="P7" s="240" t="n">
        <v>1.5</v>
      </c>
      <c r="Q7" s="145" t="n">
        <v>1</v>
      </c>
      <c r="R7" s="161">
        <f>(Q7/7)^0.5</f>
        <v>0.377964473009226953</v>
      </c>
      <c r="S7" s="161">
        <f>IF(Q7=7,1,((Q7+0.99)/7)^0.5)</f>
        <v>0.533184503043472002</v>
      </c>
      <c r="T7" s="98" t="n">
        <v>790</v>
      </c>
      <c r="U7" s="214">
        <f>T7-BG7</f>
        <v>-50</v>
      </c>
      <c r="V7" s="98" t="n">
        <v>740</v>
      </c>
      <c r="W7" s="96">
        <f>T7/V7</f>
        <v>1.06756756756756999</v>
      </c>
      <c r="X7" s="147" t="n">
        <v>0</v>
      </c>
      <c r="Y7" s="148" t="n">
        <v>8.94999999999999751</v>
      </c>
      <c r="Z7" s="147" t="n">
        <v>7.95000000000000018</v>
      </c>
      <c r="AA7" s="148" t="n">
        <v>4.95000000000000018</v>
      </c>
      <c r="AB7" s="147" t="n">
        <v>7.95000000000000018</v>
      </c>
      <c r="AC7" s="148" t="n">
        <v>0.95</v>
      </c>
      <c r="AD7" s="147" t="n">
        <v>14</v>
      </c>
      <c r="AE7" s="244" t="n">
        <v>829</v>
      </c>
      <c r="AF7" s="456">
        <f>(Z7+P7+J7)*(Q7/7)^0.5</f>
        <v>4.02959768513354</v>
      </c>
      <c r="AG7" s="456">
        <f>(Z7+P7+J7)*(IF(Q7=7,(Q7/7)^0.5,((Q7+1)/7)^0.5))</f>
        <v>5.69871169722307958</v>
      </c>
      <c r="AH7" s="96">
        <f>(((Y7+P7+J7)+(AB7+P7+J7)*2)/8)*(Q7/7)^0.5</f>
        <v>1.55834469105122997</v>
      </c>
      <c r="AI7" s="96">
        <f>(1.66*(AC7+J7+P7)+0.55*(AD7+J7+P7)-7.6)*(Q7/7)^0.5</f>
        <v>2.89861049684595997</v>
      </c>
      <c r="AJ7" s="96">
        <f>((AD7+J7+P7)*0.7+(AC7+J7+P7)*0.3)*(Q7/7)^0.5</f>
        <v>4.83655183500824037</v>
      </c>
      <c r="AK7" s="96">
        <f>(0.5*(AC7+P7+J7)+0.3*(AD7+P7+J7))/10</f>
        <v>0.684405068680390993</v>
      </c>
      <c r="AL7" s="96">
        <f>(0.4*(Y7+P7+J7)+0.3*(AD7+P7+J7))/10</f>
        <v>0.967791935095343092</v>
      </c>
      <c r="AM7" s="457">
        <f>(AD7+P7+(LOG(I7)*4/3))*(Q7/7)^0.5</f>
        <v>6.28744321586741961</v>
      </c>
      <c r="AN7" s="457">
        <f>(AD7+P7+(LOG(I7)*4/3))*(IF(Q7=7,(Q7/7)^0.5,((Q7+1)/7)^0.5))</f>
        <v>8.89178746853042057</v>
      </c>
      <c r="AO7" s="145" t="n">
        <v>3</v>
      </c>
      <c r="AP7" s="145" t="n">
        <v>2</v>
      </c>
      <c r="AQ7" s="161">
        <f>IF(AO7=4,IF(AP7=0,0.137+0.0697,0.137+0.02),IF(AO7=3,IF(AP7=0,0.0958+0.0697,0.0958+0.02),IF(AO7=2,IF(AP7=0,0.0415+0.0697,0.0415+0.02),IF(AO7=1,IF(AP7=0,0.0294+0.0697,0.0294+0.02),IF(AO7=0,IF(AP7=0,0.0063+0.0697,0.0063+0.02))))))</f>
        <v>0.115799999999999992</v>
      </c>
      <c r="AR7" s="245"/>
      <c r="AS7" s="245"/>
      <c r="AT7" s="245"/>
      <c r="AU7" s="245"/>
      <c r="AV7" s="161"/>
      <c r="AW7" s="161"/>
      <c r="AX7" s="161"/>
      <c r="AY7" s="161"/>
      <c r="AZ7" s="161"/>
      <c r="BA7" s="161"/>
      <c r="BB7" s="161"/>
      <c r="BC7" s="161"/>
      <c r="BD7" s="161"/>
      <c r="BE7" s="161"/>
      <c r="BF7" s="161"/>
      <c r="BG7" s="98" t="n">
        <v>840</v>
      </c>
      <c r="BH7" s="247"/>
      <c r="BJ7" s="117"/>
      <c r="BK7" s="119"/>
    </row>
    <row r="8" spans="1:63" s="4" customFormat="1">
      <c r="A8" s="9" t="s">
        <v>152</v>
      </c>
      <c r="B8" s="9" t="s">
        <v>37</v>
      </c>
      <c r="C8" s="116">
        <f>((34*112)-(E8*112)-(F8))/112</f>
        <v>-5.3125</v>
      </c>
      <c r="D8" s="509" t="s">
        <v>153</v>
      </c>
      <c r="E8" s="59" t="n">
        <v>39</v>
      </c>
      <c r="F8" s="60">
        <f>46-41471+$D$1-112-112-112-112-112-112-112-112-112-112-112-112-112-112-112-112-112-112-112-112-112-112-112</f>
        <v>35</v>
      </c>
      <c r="G8" s="75" t="s">
        <v>146</v>
      </c>
      <c r="H8" s="115" t="n">
        <v>0</v>
      </c>
      <c r="I8" s="61" t="n">
        <v>19.1000000000000014</v>
      </c>
      <c r="J8" s="148">
        <f>LOG(I8+1)*4/3</f>
        <v>1.73759474322732004</v>
      </c>
      <c r="K8" s="89">
        <f>(H8)*(H8)*(I8)</f>
        <v>0</v>
      </c>
      <c r="L8" s="89">
        <f>(H8+1)*(H8+1)*I8</f>
        <v>19.1000000000000014</v>
      </c>
      <c r="M8" s="83" t="n">
        <v>1.8</v>
      </c>
      <c r="N8" s="145">
        <f>M8*10+19</f>
        <v>37</v>
      </c>
      <c r="O8" s="145" t="s">
        <v>149</v>
      </c>
      <c r="P8" s="240" t="n">
        <v>1.5</v>
      </c>
      <c r="Q8" s="145" t="n">
        <v>4</v>
      </c>
      <c r="R8" s="161">
        <f>(Q8/7)^0.5</f>
        <v>0.755928946018454972</v>
      </c>
      <c r="S8" s="161">
        <f>IF(Q8=7,1,((Q8+0.99)/7)^0.5)</f>
        <v>0.844308677473554958</v>
      </c>
      <c r="T8" s="98" t="n">
        <v>1380</v>
      </c>
      <c r="U8" s="214">
        <f>T8-BG8</f>
        <v>-20</v>
      </c>
      <c r="V8" s="98" t="n">
        <v>460</v>
      </c>
      <c r="W8" s="96">
        <f>T8/V8</f>
        <v>3</v>
      </c>
      <c r="X8" s="147" t="n">
        <v>0</v>
      </c>
      <c r="Y8" s="148" t="n">
        <v>8.94999999999999751</v>
      </c>
      <c r="Z8" s="147" t="n">
        <v>8.94999999999999751</v>
      </c>
      <c r="AA8" s="148" t="n">
        <v>8.94999999999999751</v>
      </c>
      <c r="AB8" s="147" t="n">
        <v>6.95000000000000018</v>
      </c>
      <c r="AC8" s="148" t="n">
        <v>0.95</v>
      </c>
      <c r="AD8" s="147" t="n">
        <v>16</v>
      </c>
      <c r="AE8" s="244" t="n">
        <v>983</v>
      </c>
      <c r="AF8" s="456">
        <f>(Z8+P8+J8)*(Q8/7)^0.5</f>
        <v>9.21295564874787942</v>
      </c>
      <c r="AG8" s="456">
        <f>(Z8+P8+J8)*(IF(Q8=7,(Q8/7)^0.5,((Q8+1)/7)^0.5))</f>
        <v>10.3003975521454993</v>
      </c>
      <c r="AH8" s="96">
        <f>(((Y8+P8+J8)+(AB8+P8+J8)*2)/8)*(Q8/7)^0.5</f>
        <v>3.07689389527123014</v>
      </c>
      <c r="AI8" s="96">
        <f>(1.66*(AC8+J8+P8)+0.55*(AD8+J8+P8)-7.6)*(Q8/7)^0.5</f>
        <v>7.50795007905407985</v>
      </c>
      <c r="AJ8" s="96">
        <f>((AD8+J8+P8)*0.7+(AC8+J8+P8)*0.3)*(Q8/7)^0.5</f>
        <v>11.1292355269047007</v>
      </c>
      <c r="AK8" s="96">
        <f>(0.5*(AC8+P8+J8)+0.3*(AD8+P8+J8))/10</f>
        <v>0.786507579458184924</v>
      </c>
      <c r="AL8" s="96">
        <f>(0.4*(Y8+P8+J8)+0.3*(AD8+P8+J8))/10</f>
        <v>1.06463163202590994</v>
      </c>
      <c r="AM8" s="457">
        <f>(AD8+P8+(LOG(I8)*4/3))*(Q8/7)^0.5</f>
        <v>14.519916826147</v>
      </c>
      <c r="AN8" s="457">
        <f>(AD8+P8+(LOG(I8)*4/3))*(IF(Q8=7,(Q8/7)^0.5,((Q8+1)/7)^0.5))</f>
        <v>16.2337605254537998</v>
      </c>
      <c r="AO8" s="145" t="n">
        <v>1</v>
      </c>
      <c r="AP8" s="145" t="n">
        <v>2</v>
      </c>
      <c r="AQ8" s="161">
        <f>IF(AO8=4,IF(AP8=0,0.137+0.0697,0.137+0.02),IF(AO8=3,IF(AP8=0,0.0958+0.0697,0.0958+0.02),IF(AO8=2,IF(AP8=0,0.0415+0.0697,0.0415+0.02),IF(AO8=1,IF(AP8=0,0.0294+0.0697,0.0294+0.02),IF(AO8=0,IF(AP8=0,0.0063+0.0697,0.0063+0.02))))))</f>
        <v>0.049399999999999995</v>
      </c>
      <c r="AR8" s="245"/>
      <c r="AS8" s="245"/>
      <c r="AT8" s="245"/>
      <c r="AU8" s="245"/>
      <c r="AV8" s="161"/>
      <c r="AW8" s="161"/>
      <c r="AX8" s="161"/>
      <c r="AY8" s="161"/>
      <c r="AZ8" s="161"/>
      <c r="BA8" s="161"/>
      <c r="BB8" s="161"/>
      <c r="BC8" s="161"/>
      <c r="BD8" s="161"/>
      <c r="BE8" s="161"/>
      <c r="BF8" s="161"/>
      <c r="BG8" s="98" t="n">
        <v>1400</v>
      </c>
      <c r="BH8" s="247"/>
      <c r="BJ8" s="117"/>
      <c r="BK8" s="119"/>
    </row>
    <row r="9" spans="1:63" s="4" customFormat="1">
      <c r="A9" s="9" t="s">
        <v>154</v>
      </c>
      <c r="B9" s="9" t="s">
        <v>37</v>
      </c>
      <c r="C9" s="116">
        <f>((34*112)-(E9*112)-(F9))/112</f>
        <v>-3.94642857142856975</v>
      </c>
      <c r="D9" s="509" t="s">
        <v>155</v>
      </c>
      <c r="E9" s="59" t="n">
        <v>37</v>
      </c>
      <c r="F9" s="60">
        <f>7-41471+$D$1-112-111-3-112-112-112-112-112-112-112-112-112-112-112-112-112-112-112-112-112-112-112-112</f>
        <v>106</v>
      </c>
      <c r="G9" s="75" t="s">
        <v>156</v>
      </c>
      <c r="H9" s="115" t="n">
        <v>3</v>
      </c>
      <c r="I9" s="61" t="n">
        <v>15.4000000000000004</v>
      </c>
      <c r="J9" s="148">
        <f>LOG(I9+1)*4/3</f>
        <v>1.61979179739693002</v>
      </c>
      <c r="K9" s="89">
        <f>(H9)*(H9)*(I9)</f>
        <v>138.599999999999994</v>
      </c>
      <c r="L9" s="89">
        <f>(H9+1)*(H9+1)*I9</f>
        <v>246.400000000000006</v>
      </c>
      <c r="M9" s="83" t="n">
        <v>2.10000000000000009</v>
      </c>
      <c r="N9" s="145">
        <f>M9*10+19</f>
        <v>40</v>
      </c>
      <c r="O9" s="145" t="s">
        <v>149</v>
      </c>
      <c r="P9" s="240" t="n">
        <v>1.5</v>
      </c>
      <c r="Q9" s="145" t="n">
        <v>7</v>
      </c>
      <c r="R9" s="161">
        <f>(Q9/7)^0.5</f>
        <v>1</v>
      </c>
      <c r="S9" s="161">
        <f>IF(Q9=7,1,((Q9+0.99)/7)^0.5)</f>
        <v>1</v>
      </c>
      <c r="T9" s="98" t="n">
        <v>5020</v>
      </c>
      <c r="U9" s="214">
        <f>T9-BG9</f>
        <v>90</v>
      </c>
      <c r="V9" s="98" t="n">
        <v>1690</v>
      </c>
      <c r="W9" s="96">
        <f>T9/V9</f>
        <v>2.9704142011834298</v>
      </c>
      <c r="X9" s="147" t="n">
        <v>0</v>
      </c>
      <c r="Y9" s="148" t="n">
        <v>7.95000000000000018</v>
      </c>
      <c r="Z9" s="147" t="n">
        <v>11.9499999999999993</v>
      </c>
      <c r="AA9" s="148" t="n">
        <v>9.94999999999999929</v>
      </c>
      <c r="AB9" s="147" t="n">
        <v>6.95000000000000018</v>
      </c>
      <c r="AC9" s="148" t="n">
        <v>0.95</v>
      </c>
      <c r="AD9" s="147" t="n">
        <v>16</v>
      </c>
      <c r="AE9" s="244" t="n">
        <v>1148</v>
      </c>
      <c r="AF9" s="456">
        <f>(Z9+P9+J9)*(Q9/7)^0.5</f>
        <v>15.0697917973968991</v>
      </c>
      <c r="AG9" s="456">
        <f>(Z9+P9+J9)*(IF(Q9=7,(Q9/7)^0.5,((Q9+1)/7)^0.5))</f>
        <v>15.0697917973968991</v>
      </c>
      <c r="AH9" s="96">
        <f>(((Y9+P9+J9)+(AB9+P9+J9)*2)/8)*(Q9/7)^0.5</f>
        <v>3.90117192402383992</v>
      </c>
      <c r="AI9" s="96">
        <f>(1.66*(AC9+J9+P9)+0.55*(AD9+J9+P9)-7.6)*(Q9/7)^0.5</f>
        <v>9.67173987224719944</v>
      </c>
      <c r="AJ9" s="96">
        <f>((AD9+J9+P9)*0.7+(AC9+J9+P9)*0.3)*(Q9/7)^0.5</f>
        <v>14.6047917973968993</v>
      </c>
      <c r="AK9" s="96">
        <f>(0.5*(AC9+P9+J9)+0.3*(AD9+P9+J9))/10</f>
        <v>0.777083343791754011</v>
      </c>
      <c r="AL9" s="96">
        <f>(0.4*(Y9+P9+J9)+0.3*(AD9+P9+J9))/10</f>
        <v>1.01638542581778002</v>
      </c>
      <c r="AM9" s="457">
        <f>(AD9+P9+(LOG(I9)*4/3))*(Q9/7)^0.5</f>
        <v>19.0833609611153001</v>
      </c>
      <c r="AN9" s="457">
        <f>(AD9+P9+(LOG(I9)*4/3))*(IF(Q9=7,(Q9/7)^0.5,((Q9+1)/7)^0.5))</f>
        <v>19.0833609611153001</v>
      </c>
      <c r="AO9" s="145" t="n">
        <v>3</v>
      </c>
      <c r="AP9" s="145" t="n">
        <v>3</v>
      </c>
      <c r="AQ9" s="161">
        <f>IF(AO9=4,IF(AP9=0,0.137+0.0697,0.137+0.02),IF(AO9=3,IF(AP9=0,0.0958+0.0697,0.0958+0.02),IF(AO9=2,IF(AP9=0,0.0415+0.0697,0.0415+0.02),IF(AO9=1,IF(AP9=0,0.0294+0.0697,0.0294+0.02),IF(AO9=0,IF(AP9=0,0.0063+0.0697,0.0063+0.02))))))</f>
        <v>0.115799999999999992</v>
      </c>
      <c r="AR9" s="245"/>
      <c r="AS9" s="245"/>
      <c r="AT9" s="245"/>
      <c r="AU9" s="245"/>
      <c r="AV9" s="161"/>
      <c r="AW9" s="161"/>
      <c r="AX9" s="161"/>
      <c r="AY9" s="161"/>
      <c r="AZ9" s="161"/>
      <c r="BA9" s="161"/>
      <c r="BB9" s="161"/>
      <c r="BC9" s="161"/>
      <c r="BD9" s="161"/>
      <c r="BE9" s="161"/>
      <c r="BF9" s="161"/>
      <c r="BG9" s="98" t="n">
        <v>4930</v>
      </c>
      <c r="BH9" s="247"/>
      <c r="BJ9" s="117"/>
      <c r="BK9" s="119"/>
    </row>
    <row r="10" spans="1:63" s="70" customFormat="1">
      <c r="A10" s="9" t="s">
        <v>157</v>
      </c>
      <c r="B10" s="9" t="s">
        <v>37</v>
      </c>
      <c r="C10" s="116">
        <f>((34*112)-(E10*112)-(F10))/112</f>
        <v>4.85714285714286031</v>
      </c>
      <c r="D10" s="509" t="s">
        <v>158</v>
      </c>
      <c r="E10" s="59" t="n">
        <v>29</v>
      </c>
      <c r="F10" s="60">
        <f>-43570+$D$1-106-112-112-120</f>
        <v>16</v>
      </c>
      <c r="G10" s="75" t="s">
        <v>159</v>
      </c>
      <c r="H10" s="115" t="n">
        <v>3</v>
      </c>
      <c r="I10" s="61" t="n">
        <v>5.79999999999999982</v>
      </c>
      <c r="J10" s="148">
        <f>LOG(I10+1)*4/3</f>
        <v>1.11001188360830993</v>
      </c>
      <c r="K10" s="89">
        <f>(H10)*(H10)*(I10)</f>
        <v>52.2000000000000028</v>
      </c>
      <c r="L10" s="89">
        <f>(H10+1)*(H10+1)*I10</f>
        <v>92.7999999999999972</v>
      </c>
      <c r="M10" s="83" t="n">
        <v>6</v>
      </c>
      <c r="N10" s="145">
        <f>M10*10+19</f>
        <v>79</v>
      </c>
      <c r="O10" s="239" t="n">
        <v>43982</v>
      </c>
      <c r="P10" s="240">
        <f aca="1">IF((TODAY()-O10)&gt;335,1,((TODAY()-O10)^0.64)/(336^0.64))</f>
        <v>0.310366521471105994</v>
      </c>
      <c r="Q10" s="145" t="n">
        <v>5</v>
      </c>
      <c r="R10" s="161">
        <f>(Q10/7)^0.5</f>
        <v>0.845154254728516108</v>
      </c>
      <c r="S10" s="161">
        <f>IF(Q10=7,1,((Q10+0.99)/7)^0.5)</f>
        <v>0.925048261289262008</v>
      </c>
      <c r="T10" s="98" t="n">
        <v>39280</v>
      </c>
      <c r="U10" s="214">
        <f>T10-BG10</f>
        <v>-430</v>
      </c>
      <c r="V10" s="98" t="n">
        <v>14712</v>
      </c>
      <c r="W10" s="96">
        <f>T10/V10</f>
        <v>2.66992930940728979</v>
      </c>
      <c r="X10" s="147" t="n">
        <v>0</v>
      </c>
      <c r="Y10" s="148" t="n">
        <v>13</v>
      </c>
      <c r="Z10" s="147" t="n">
        <v>6</v>
      </c>
      <c r="AA10" s="148" t="n">
        <v>2</v>
      </c>
      <c r="AB10" s="147" t="n">
        <v>1</v>
      </c>
      <c r="AC10" s="148" t="n">
        <v>7</v>
      </c>
      <c r="AD10" s="147">
        <f>15+1/3</f>
        <v>15.3333333333333002</v>
      </c>
      <c r="AE10" s="244" t="n">
        <v>1230</v>
      </c>
      <c r="AF10" s="456">
        <f>(Z10+P10+J10)*(Q10/7)^0.5</f>
        <v>6.27136438074847025</v>
      </c>
      <c r="AG10" s="456">
        <f>(Z10+P10+J10)*(IF(Q10=7,(Q10/7)^0.5,((Q10+1)/7)^0.5))</f>
        <v>6.86993547534071958</v>
      </c>
      <c r="AH10" s="96">
        <f>(((Y10+P10+J10)+(AB10+P10+J10)*2)/8)*(Q10/7)^0.5</f>
        <v>2.03482879725748012</v>
      </c>
      <c r="AI10" s="96">
        <f>(1.66*(AC10+J10+P10)+0.55*(AD10+J10+P10)-7.6)*(Q10/7)^0.5</f>
        <v>13.1779575159730999</v>
      </c>
      <c r="AJ10" s="96">
        <f>((AD10+J10+P10)*0.7+(AC10+J10+P10)*0.3)*(Q10/7)^0.5</f>
        <v>12.0465851213932993</v>
      </c>
      <c r="AK10" s="96">
        <f>(0.5*(AC10+P10+J10)+0.3*(AD10+P10+J10))/10</f>
        <v>0.923630272406352049</v>
      </c>
      <c r="AL10" s="96">
        <f>(0.4*(Y10+P10+J10)+0.3*(AD10+P10+J10))/10</f>
        <v>1.07942648835555999</v>
      </c>
      <c r="AM10" s="457">
        <f>(AD10+P10+(LOG(I10)*4/3))*(Q10/7)^0.5</f>
        <v>14.0816253812353001</v>
      </c>
      <c r="AN10" s="457">
        <f>(AD10+P10+(LOG(I10)*4/3))*(IF(Q10=7,(Q10/7)^0.5,((Q10+1)/7)^0.5))</f>
        <v>15.4256477352796999</v>
      </c>
      <c r="AO10" s="145" t="n">
        <v>1</v>
      </c>
      <c r="AP10" s="145" t="n">
        <v>2</v>
      </c>
      <c r="AQ10" s="161">
        <f>IF(AO10=4,IF(AP10=0,0.137+0.0697,0.137+0.02),IF(AO10=3,IF(AP10=0,0.0958+0.0697,0.0958+0.02),IF(AO10=2,IF(AP10=0,0.0415+0.0697,0.0415+0.02),IF(AO10=1,IF(AP10=0,0.0294+0.0697,0.0294+0.02),IF(AO10=0,IF(AP10=0,0.0063+0.0697,0.0063+0.02))))))</f>
        <v>0.049399999999999995</v>
      </c>
      <c r="AR10" s="248"/>
      <c r="AS10" s="248"/>
      <c r="AT10" s="248"/>
      <c r="AU10" s="248"/>
      <c r="AV10" s="248"/>
      <c r="AW10" s="248"/>
      <c r="AX10" s="248"/>
      <c r="AY10" s="248"/>
      <c r="AZ10" s="248"/>
      <c r="BA10" s="248"/>
      <c r="BB10" s="248"/>
      <c r="BC10" s="248"/>
      <c r="BD10" s="248"/>
      <c r="BE10" s="248"/>
      <c r="BF10" s="248"/>
      <c r="BG10" s="98" t="n">
        <v>39710</v>
      </c>
      <c r="BH10" s="247" t="n">
        <v>1900</v>
      </c>
      <c r="BI10" s="460"/>
      <c r="BJ10" s="117"/>
      <c r="BK10" s="146"/>
    </row>
    <row r="11" spans="1:63" s="0" customFormat="1">
      <c r="A11" s="9" t="s">
        <v>157</v>
      </c>
      <c r="B11" s="9" t="s">
        <v>37</v>
      </c>
      <c r="C11" s="116">
        <f>((34*112)-(E11*112)-(F11))/112</f>
        <v>11.8392857142856993</v>
      </c>
      <c r="D11" s="471" t="s">
        <v>160</v>
      </c>
      <c r="E11" s="59" t="n">
        <v>22</v>
      </c>
      <c r="F11" s="60">
        <f>84-41471+$D$1-2631</f>
        <v>18</v>
      </c>
      <c r="G11" s="75" t="s">
        <v>146</v>
      </c>
      <c r="H11" s="118" t="n">
        <v>2</v>
      </c>
      <c r="I11" s="61" t="n">
        <v>4.70000000000000018</v>
      </c>
      <c r="J11" s="148">
        <f>LOG(I11+1)*4/3</f>
        <v>1.0078331408966601</v>
      </c>
      <c r="K11" s="89">
        <f>(H11)*(H11)*(I11)</f>
        <v>18.8000000000000007</v>
      </c>
      <c r="L11" s="89">
        <f>(H11+1)*(H11+1)*I11</f>
        <v>42.2999999999999972</v>
      </c>
      <c r="M11" s="83" t="n">
        <v>6.59999999999999964</v>
      </c>
      <c r="N11" s="145">
        <f>M11*10+19</f>
        <v>85</v>
      </c>
      <c r="O11" s="470" t="n">
        <v>43884</v>
      </c>
      <c r="P11" s="240">
        <f aca="1">IF((TODAY()-O11)&gt;335,1,((TODAY()-O11)^0.64)/(336^0.64))</f>
        <v>0.601897803907800988</v>
      </c>
      <c r="Q11" s="145" t="n">
        <v>5</v>
      </c>
      <c r="R11" s="161">
        <f>(Q11/7)^0.5</f>
        <v>0.845154254728516108</v>
      </c>
      <c r="S11" s="161">
        <f>IF(Q11=7,1,((Q11+0.99)/7)^0.5)</f>
        <v>0.925048261289262008</v>
      </c>
      <c r="T11" s="98" t="n">
        <v>42540</v>
      </c>
      <c r="U11" s="214">
        <f>T11-BG11</f>
        <v>30</v>
      </c>
      <c r="V11" s="98" t="n">
        <v>9276</v>
      </c>
      <c r="W11" s="96">
        <f>T11/V11</f>
        <v>4.58602846054334012</v>
      </c>
      <c r="X11" s="147" t="n">
        <v>0</v>
      </c>
      <c r="Y11" s="148" t="n">
        <v>12</v>
      </c>
      <c r="Z11" s="147" t="n">
        <v>7</v>
      </c>
      <c r="AA11" s="148" t="n">
        <v>1</v>
      </c>
      <c r="AB11" s="147" t="n">
        <v>3</v>
      </c>
      <c r="AC11" s="148" t="n">
        <v>6</v>
      </c>
      <c r="AD11" s="147">
        <f>15+1/3</f>
        <v>15.3333333333333002</v>
      </c>
      <c r="AE11" s="244" t="n">
        <v>1144</v>
      </c>
      <c r="AF11" s="456">
        <f>(Z11+P11+J11)*(Q11/7)^0.5</f>
        <v>7.27655074006926039</v>
      </c>
      <c r="AG11" s="456">
        <f>(Z11+P11+J11)*(IF(Q11=7,(Q11/7)^0.5,((Q11+1)/7)^0.5))</f>
        <v>7.9710619623336898</v>
      </c>
      <c r="AH11" s="96">
        <f>(((Y11+P11+J11)+(AB11+P11+J11)*2)/8)*(Q11/7)^0.5</f>
        <v>2.41177368200278019</v>
      </c>
      <c r="AI11" s="96">
        <f>(1.66*(AC11+J11+P11)+0.55*(AD11+J11+P11)-7.6)*(Q11/7)^0.5</f>
        <v>12.1286724042727005</v>
      </c>
      <c r="AJ11" s="96">
        <f>((AD11+J11+P11)*0.7+(AC11+J11+P11)*0.3)*(Q11/7)^0.5</f>
        <v>11.9530709495671008</v>
      </c>
      <c r="AK11" s="96">
        <f>(0.5*(AC11+P11+J11)+0.3*(AD11+P11+J11))/10</f>
        <v>0.888778475584356897</v>
      </c>
      <c r="AL11" s="96">
        <f>(0.4*(Y11+P11+J11)+0.3*(AD11+P11+J11))/10</f>
        <v>1.05268116613631002</v>
      </c>
      <c r="AM11" s="457">
        <f>(AD11+P11+(LOG(I11)*4/3))*(Q11/7)^0.5</f>
        <v>14.2250968813594003</v>
      </c>
      <c r="AN11" s="457">
        <f>(AD11+P11+(LOG(I11)*4/3))*(IF(Q11=7,(Q11/7)^0.5,((Q11+1)/7)^0.5))</f>
        <v>15.5828128892338</v>
      </c>
      <c r="AO11" s="145" t="n">
        <v>2</v>
      </c>
      <c r="AP11" s="145" t="n">
        <v>3</v>
      </c>
      <c r="AQ11" s="161">
        <f>IF(AO11=4,IF(AP11=0,0.137+0.0697,0.137+0.02),IF(AO11=3,IF(AP11=0,0.0958+0.0697,0.0958+0.02),IF(AO11=2,IF(AP11=0,0.0415+0.0697,0.0415+0.02),IF(AO11=1,IF(AP11=0,0.0294+0.0697,0.0294+0.02),IF(AO11=0,IF(AP11=0,0.0063+0.0697,0.0063+0.02))))))</f>
        <v>0.0615000000000000036</v>
      </c>
      <c r="AR11" s="248" t="n">
        <v>56</v>
      </c>
      <c r="AS11" s="248" t="n">
        <v>16</v>
      </c>
      <c r="AT11" s="248" t="n">
        <v>12</v>
      </c>
      <c r="AU11" s="248" t="n">
        <v>18</v>
      </c>
      <c r="AV11" s="248">
        <f>AR11*1+AS11*0.066</f>
        <v>57.0559999999999974</v>
      </c>
      <c r="AW11" s="248">
        <f>AR11*0.919+AS11*0.167</f>
        <v>54.1360000000000028</v>
      </c>
      <c r="AX11" s="248">
        <f>AR11*1+AS11*0.236</f>
        <v>59.7760000000000034</v>
      </c>
      <c r="AY11" s="248">
        <f>AR11*0.75+AS11*0.165</f>
        <v>44.6400000000000006</v>
      </c>
      <c r="AZ11" s="248">
        <f>AR11*0.73+AS11*0.38</f>
        <v>46.9600000000000009</v>
      </c>
      <c r="BA11" s="248">
        <f>AR11*0.45+AS11*1</f>
        <v>41.2000000000000028</v>
      </c>
      <c r="BB11" s="248">
        <f>AR11*0.65+AS11*0.95</f>
        <v>51.6000000000000014</v>
      </c>
      <c r="BC11" s="248">
        <f>AR11*0.3+AS11*0.53</f>
        <v>25.2800000000000011</v>
      </c>
      <c r="BD11" s="248">
        <f>AR11*0.4+AS11*0.44</f>
        <v>29.4400000000000013</v>
      </c>
      <c r="BE11" s="248">
        <f>AR11*0.25+AS11*0.73</f>
        <v>25.6799999999999997</v>
      </c>
      <c r="BF11" s="248">
        <f>AS11*0.46</f>
        <v>7.36000000000000032</v>
      </c>
      <c r="BG11" s="98" t="n">
        <v>42510</v>
      </c>
      <c r="BH11" s="247"/>
      <c r="BI11" s="460">
        <f>AU11+AT11+AS11+AR11</f>
        <v>102</v>
      </c>
      <c r="BJ11" s="117"/>
      <c r="BK11" s="119"/>
    </row>
    <row r="12" spans="1:63" s="70" customFormat="1">
      <c r="A12" s="9" t="s">
        <v>161</v>
      </c>
      <c r="B12" s="9" t="s">
        <v>37</v>
      </c>
      <c r="C12" s="116">
        <f>((34*112)-(E12*112)-(F12))/112</f>
        <v>11.6339285714285996</v>
      </c>
      <c r="D12" s="471" t="s">
        <v>162</v>
      </c>
      <c r="E12" s="59" t="n">
        <v>22</v>
      </c>
      <c r="F12" s="60">
        <f>-43570+$D$1-89-112-112-112</f>
        <v>41</v>
      </c>
      <c r="G12" s="75" t="s">
        <v>163</v>
      </c>
      <c r="H12" s="115" t="n">
        <v>2</v>
      </c>
      <c r="I12" s="61" t="n">
        <v>4.70000000000000018</v>
      </c>
      <c r="J12" s="148">
        <f>LOG(I12+1)*4/3</f>
        <v>1.0078331408966601</v>
      </c>
      <c r="K12" s="89">
        <f>(H12)*(H12)*(I12)</f>
        <v>18.8000000000000007</v>
      </c>
      <c r="L12" s="89">
        <f>(H12+1)*(H12+1)*I12</f>
        <v>42.2999999999999972</v>
      </c>
      <c r="M12" s="83" t="n">
        <v>6.70000000000000018</v>
      </c>
      <c r="N12" s="145">
        <f>M12*10+19</f>
        <v>86</v>
      </c>
      <c r="O12" s="239" t="n">
        <v>43739</v>
      </c>
      <c r="P12" s="240">
        <f aca="1">IF((TODAY()-O12)&gt;335,1,((TODAY()-O12)^0.64)/(336^0.64))</f>
        <v>0.924074508633018965</v>
      </c>
      <c r="Q12" s="145" t="n">
        <v>6</v>
      </c>
      <c r="R12" s="161">
        <f>(Q12/7)^0.5</f>
        <v>0.925820099772552041</v>
      </c>
      <c r="S12" s="161">
        <f>IF(Q12=7,1,((Q12+0.99)/7)^0.5)</f>
        <v>0.999285459001294996</v>
      </c>
      <c r="T12" s="98" t="n">
        <v>41120</v>
      </c>
      <c r="U12" s="214">
        <f>T12-BG12</f>
        <v>3080</v>
      </c>
      <c r="V12" s="98" t="n">
        <v>9564</v>
      </c>
      <c r="W12" s="96">
        <f>T12/V12</f>
        <v>4.29945629443747013</v>
      </c>
      <c r="X12" s="147" t="n">
        <v>0</v>
      </c>
      <c r="Y12" s="148" t="n">
        <v>12</v>
      </c>
      <c r="Z12" s="147" t="n">
        <v>7</v>
      </c>
      <c r="AA12" s="148" t="n">
        <v>3</v>
      </c>
      <c r="AB12" s="147" t="n">
        <v>3</v>
      </c>
      <c r="AC12" s="148" t="n">
        <v>5</v>
      </c>
      <c r="AD12" s="147">
        <f>14+1/3</f>
        <v>14.3333333333333002</v>
      </c>
      <c r="AE12" s="244" t="n">
        <v>1114</v>
      </c>
      <c r="AF12" s="456">
        <f>(Z12+P12+J12)*(Q12/7)^0.5</f>
        <v>8.26933963124679039</v>
      </c>
      <c r="AG12" s="456">
        <f>(Z12+P12+J12)*(IF(Q12=7,(Q12/7)^0.5,((Q12+1)/7)^0.5))</f>
        <v>8.93190764952968053</v>
      </c>
      <c r="AH12" s="96">
        <f>(((Y12+P12+J12)+(AB12+P12+J12)*2)/8)*(Q12/7)^0.5</f>
        <v>2.75381982430284999</v>
      </c>
      <c r="AI12" s="96">
        <f>(1.66*(AC12+J12+P12)+0.55*(AD12+J12+P12)-7.6)*(Q12/7)^0.5</f>
        <v>11.8994261646218007</v>
      </c>
      <c r="AJ12" s="96">
        <f>((AD12+J12+P12)*0.7+(AC12+J12+P12)*0.3)*(Q12/7)^0.5</f>
        <v>12.4663907502156999</v>
      </c>
      <c r="AK12" s="96">
        <f>(0.5*(AC12+P12+J12)+0.3*(AD12+P12+J12))/10</f>
        <v>0.83455261196237398</v>
      </c>
      <c r="AL12" s="96">
        <f>(0.4*(Y12+P12+J12)+0.3*(AD12+P12+J12))/10</f>
        <v>1.04523353546708009</v>
      </c>
      <c r="AM12" s="457">
        <f>(AD12+P12+(LOG(I12)*4/3))*(Q12/7)^0.5</f>
        <v>14.9552704583744003</v>
      </c>
      <c r="AN12" s="457">
        <f>(AD12+P12+(LOG(I12)*4/3))*(IF(Q12=7,(Q12/7)^0.5,((Q12+1)/7)^0.5))</f>
        <v>16.1535383192139008</v>
      </c>
      <c r="AO12" s="145" t="n">
        <v>2</v>
      </c>
      <c r="AP12" s="145" t="n">
        <v>2</v>
      </c>
      <c r="AQ12" s="161">
        <f>IF(AO12=4,IF(AP12=0,0.137+0.0697,0.137+0.02),IF(AO12=3,IF(AP12=0,0.0958+0.0697,0.0958+0.02),IF(AO12=2,IF(AP12=0,0.0415+0.0697,0.0415+0.02),IF(AO12=1,IF(AP12=0,0.0294+0.0697,0.0294+0.02),IF(AO12=0,IF(AP12=0,0.0063+0.0697,0.0063+0.02))))))</f>
        <v>0.0615000000000000036</v>
      </c>
      <c r="AR12" s="248" t="n">
        <v>56</v>
      </c>
      <c r="AS12" s="248" t="n">
        <v>17</v>
      </c>
      <c r="AT12" s="248" t="n">
        <v>8</v>
      </c>
      <c r="AU12" s="248" t="n">
        <v>16</v>
      </c>
      <c r="AV12" s="248">
        <f>AR12*1+AS12*0.066</f>
        <v>57.1219999999999999</v>
      </c>
      <c r="AW12" s="248">
        <f>AR12*0.919+AS12*0.167</f>
        <v>54.3029999999999973</v>
      </c>
      <c r="AX12" s="248">
        <f>AR12*1+AS12*0.236</f>
        <v>60.0120000000000005</v>
      </c>
      <c r="AY12" s="248">
        <f>AR12*0.75+AS12*0.165</f>
        <v>44.8049999999999997</v>
      </c>
      <c r="AZ12" s="248">
        <f>AR12*0.73+AS12*0.38</f>
        <v>47.3400000000000034</v>
      </c>
      <c r="BA12" s="248">
        <f>AR12*0.45+AS12*1</f>
        <v>42.2000000000000028</v>
      </c>
      <c r="BB12" s="248">
        <f>AR12*0.65+AS12*0.95</f>
        <v>52.5499999999999972</v>
      </c>
      <c r="BC12" s="248">
        <f>AR12*0.3+AS12*0.53</f>
        <v>25.8099999999999987</v>
      </c>
      <c r="BD12" s="248">
        <f>AR12*0.4+AS12*0.44</f>
        <v>29.879999999999999</v>
      </c>
      <c r="BE12" s="248">
        <f>AR12*0.25+AS12*0.73</f>
        <v>26.4100000000000001</v>
      </c>
      <c r="BF12" s="248">
        <f>AS12*0.46</f>
        <v>7.82000000000000028</v>
      </c>
      <c r="BG12" s="98" t="n">
        <v>38040</v>
      </c>
      <c r="BH12" s="247" t="n">
        <v>2040</v>
      </c>
      <c r="BI12" s="460">
        <f>AU12+AT12+AS12+AR12</f>
        <v>97</v>
      </c>
      <c r="BJ12" s="117"/>
      <c r="BK12" s="119"/>
    </row>
    <row r="13" spans="1:63" s="70" customFormat="1">
      <c r="A13" s="9" t="s">
        <v>164</v>
      </c>
      <c r="B13" s="9" t="s">
        <v>37</v>
      </c>
      <c r="C13" s="116">
        <f>((34*112)-(E13*112)-(F13))/112</f>
        <v>11.7321428571429003</v>
      </c>
      <c r="D13" s="471" t="s">
        <v>165</v>
      </c>
      <c r="E13" s="59" t="n">
        <v>22</v>
      </c>
      <c r="F13" s="60">
        <f>-43670+$D$1-112-112-112</f>
        <v>30</v>
      </c>
      <c r="G13" s="75"/>
      <c r="H13" s="115" t="n">
        <v>3</v>
      </c>
      <c r="I13" s="61" t="n">
        <v>3.70000000000000018</v>
      </c>
      <c r="J13" s="148">
        <f>LOG(I13+1)*4/3</f>
        <v>0.896130477247623958</v>
      </c>
      <c r="K13" s="89">
        <f>(H13)*(H13)*(I13)</f>
        <v>33.2999999999999972</v>
      </c>
      <c r="L13" s="89">
        <f>(H13+1)*(H13+1)*I13</f>
        <v>59.2000000000000028</v>
      </c>
      <c r="M13" s="83" t="n">
        <v>6.5</v>
      </c>
      <c r="N13" s="145">
        <f>M13*10+19</f>
        <v>84</v>
      </c>
      <c r="O13" s="239" t="n">
        <v>43756</v>
      </c>
      <c r="P13" s="240">
        <f aca="1">IF((TODAY()-O13)&gt;335,1,((TODAY()-O13)^0.64)/(336^0.64))</f>
        <v>0.88986474799602604</v>
      </c>
      <c r="Q13" s="145" t="n">
        <v>7</v>
      </c>
      <c r="R13" s="161">
        <f>(Q13/7)^0.5</f>
        <v>1</v>
      </c>
      <c r="S13" s="161">
        <f>IF(Q13=7,1,((Q13+0.99)/7)^0.5)</f>
        <v>1</v>
      </c>
      <c r="T13" s="98" t="n">
        <v>49150</v>
      </c>
      <c r="U13" s="214">
        <f>T13-BG13</f>
        <v>1320</v>
      </c>
      <c r="V13" s="98" t="n">
        <v>9450</v>
      </c>
      <c r="W13" s="96">
        <f>T13/V13</f>
        <v>5.20105820105820005</v>
      </c>
      <c r="X13" s="147" t="n">
        <v>0</v>
      </c>
      <c r="Y13" s="148" t="n">
        <v>12</v>
      </c>
      <c r="Z13" s="147" t="n">
        <v>5</v>
      </c>
      <c r="AA13" s="148" t="n">
        <v>3</v>
      </c>
      <c r="AB13" s="147" t="n">
        <v>5</v>
      </c>
      <c r="AC13" s="148" t="n">
        <v>6</v>
      </c>
      <c r="AD13" s="147" t="n">
        <v>16</v>
      </c>
      <c r="AE13" s="244" t="n">
        <v>1176</v>
      </c>
      <c r="AF13" s="456">
        <f>(Z13+P13+J13)*(Q13/7)^0.5</f>
        <v>6.78599522524365018</v>
      </c>
      <c r="AG13" s="456">
        <f>(Z13+P13+J13)*(IF(Q13=7,(Q13/7)^0.5,((Q13+1)/7)^0.5))</f>
        <v>6.78599522524365018</v>
      </c>
      <c r="AH13" s="96">
        <f>(((Y13+P13+J13)+(AB13+P13+J13)*2)/8)*(Q13/7)^0.5</f>
        <v>3.41974820946636004</v>
      </c>
      <c r="AI13" s="96">
        <f>(1.66*(AC13+J13+P13)+0.55*(AD13+J13+P13)-7.6)*(Q13/7)^0.5</f>
        <v>15.1070494477884996</v>
      </c>
      <c r="AJ13" s="96">
        <f>((AD13+J13+P13)*0.7+(AC13+J13+P13)*0.3)*(Q13/7)^0.5</f>
        <v>14.7859952252435995</v>
      </c>
      <c r="AK13" s="96">
        <f>(0.5*(AC13+P13+J13)+0.3*(AD13+P13+J13))/10</f>
        <v>0.922879618019491055</v>
      </c>
      <c r="AL13" s="96">
        <f>(0.4*(Y13+P13+J13)+0.3*(AD13+P13+J13))/10</f>
        <v>1.08501966576704989</v>
      </c>
      <c r="AM13" s="457">
        <f>(AD13+P13+(LOG(I13)*4/3))*(Q13/7)^0.5</f>
        <v>17.6474670467519985</v>
      </c>
      <c r="AN13" s="457">
        <f>(AD13+P13+(LOG(I13)*4/3))*(IF(Q13=7,(Q13/7)^0.5,((Q13+1)/7)^0.5))</f>
        <v>17.6474670467519985</v>
      </c>
      <c r="AO13" s="145" t="n">
        <v>3</v>
      </c>
      <c r="AP13" s="145" t="n">
        <v>1</v>
      </c>
      <c r="AQ13" s="161">
        <f>IF(AO13=4,IF(AP13=0,0.137+0.0697,0.137+0.02),IF(AO13=3,IF(AP13=0,0.0958+0.0697,0.0958+0.02),IF(AO13=2,IF(AP13=0,0.0415+0.0697,0.0415+0.02),IF(AO13=1,IF(AP13=0,0.0294+0.0697,0.0294+0.02),IF(AO13=0,IF(AP13=0,0.0063+0.0697,0.0063+0.02))))))</f>
        <v>0.115799999999999992</v>
      </c>
      <c r="AR13" s="248" t="n">
        <v>56</v>
      </c>
      <c r="AS13" s="248" t="n">
        <v>11</v>
      </c>
      <c r="AT13" s="248" t="n">
        <v>12</v>
      </c>
      <c r="AU13" s="248" t="n">
        <v>20</v>
      </c>
      <c r="AV13" s="248">
        <f>AR13*1+AS13*0.066</f>
        <v>56.7259999999999991</v>
      </c>
      <c r="AW13" s="248">
        <f>AR13*0.919+AS13*0.167</f>
        <v>53.3010000000000019</v>
      </c>
      <c r="AX13" s="248">
        <f>AR13*1+AS13*0.236</f>
        <v>58.5959999999999965</v>
      </c>
      <c r="AY13" s="248">
        <f>AR13*0.75+AS13*0.165</f>
        <v>43.8149999999999977</v>
      </c>
      <c r="AZ13" s="248">
        <f>AR13*0.73+AS13*0.38</f>
        <v>45.0600000000000023</v>
      </c>
      <c r="BA13" s="248">
        <f>AR13*0.45+AS13*1</f>
        <v>36.2000000000000028</v>
      </c>
      <c r="BB13" s="248">
        <f>AR13*0.65+AS13*0.95</f>
        <v>46.8500000000000014</v>
      </c>
      <c r="BC13" s="248">
        <f>AR13*0.3+AS13*0.53</f>
        <v>22.629999999999999</v>
      </c>
      <c r="BD13" s="248">
        <f>AR13*0.4+AS13*0.44</f>
        <v>27.2399999999999984</v>
      </c>
      <c r="BE13" s="248">
        <f>AR13*0.25+AS13*0.73</f>
        <v>22.0300000000000011</v>
      </c>
      <c r="BF13" s="248">
        <f>AS13*0.46</f>
        <v>5.05999999999999961</v>
      </c>
      <c r="BG13" s="98" t="n">
        <v>47830</v>
      </c>
      <c r="BH13" s="247" t="n">
        <v>2121</v>
      </c>
      <c r="BI13" s="460">
        <f>AU13+AT13+AS13+AR13</f>
        <v>99</v>
      </c>
      <c r="BJ13" s="117"/>
      <c r="BK13" s="119"/>
    </row>
    <row r="14" spans="1:63" s="70" customFormat="1">
      <c r="A14" s="9" t="s">
        <v>166</v>
      </c>
      <c r="B14" s="9" t="s">
        <v>37</v>
      </c>
      <c r="C14" s="116">
        <f>((34*112)-(E14*112)-(F14))/112</f>
        <v>11.2321428571429003</v>
      </c>
      <c r="D14" s="471" t="s">
        <v>167</v>
      </c>
      <c r="E14" s="59" t="n">
        <v>22</v>
      </c>
      <c r="F14" s="60">
        <f>-43571+$D$1+15-112-112-112-58</f>
        <v>86</v>
      </c>
      <c r="G14" s="75"/>
      <c r="H14" s="115" t="n">
        <v>3</v>
      </c>
      <c r="I14" s="61" t="n">
        <v>2.5</v>
      </c>
      <c r="J14" s="148">
        <f>LOG(I14+1)*4/3</f>
        <v>0.725424059133700005</v>
      </c>
      <c r="K14" s="89">
        <f>(H14)*(H14)*(I14)</f>
        <v>22.5</v>
      </c>
      <c r="L14" s="89">
        <f>(H14+1)*(H14+1)*I14</f>
        <v>40</v>
      </c>
      <c r="M14" s="83" t="n">
        <v>6.59999999999999964</v>
      </c>
      <c r="N14" s="145">
        <f>M14*10+19</f>
        <v>85</v>
      </c>
      <c r="O14" s="239" t="n">
        <v>43920</v>
      </c>
      <c r="P14" s="240">
        <f aca="1">IF((TODAY()-O14)&gt;335,1,((TODAY()-O14)^0.64)/(336^0.64))</f>
        <v>0.506286066784278965</v>
      </c>
      <c r="Q14" s="145" t="n">
        <v>6</v>
      </c>
      <c r="R14" s="161">
        <f>(Q14/7)^0.5</f>
        <v>0.925820099772552041</v>
      </c>
      <c r="S14" s="161">
        <f>IF(Q14=7,1,((Q14+0.99)/7)^0.5)</f>
        <v>0.999285459001294996</v>
      </c>
      <c r="T14" s="98" t="n">
        <v>26870</v>
      </c>
      <c r="U14" s="214">
        <f>T14-BG14</f>
        <v>800</v>
      </c>
      <c r="V14" s="98" t="n">
        <v>5724</v>
      </c>
      <c r="W14" s="96">
        <f>T14/V14</f>
        <v>4.69426974143955</v>
      </c>
      <c r="X14" s="147" t="n">
        <v>0</v>
      </c>
      <c r="Y14" s="148" t="n">
        <v>11</v>
      </c>
      <c r="Z14" s="147" t="n">
        <v>4</v>
      </c>
      <c r="AA14" s="148" t="n">
        <v>1</v>
      </c>
      <c r="AB14" s="147" t="n">
        <v>5</v>
      </c>
      <c r="AC14" s="148" t="n">
        <v>6</v>
      </c>
      <c r="AD14" s="147">
        <f>17+1/3</f>
        <v>17.3333333333333002</v>
      </c>
      <c r="AE14" s="244" t="n">
        <v>1052</v>
      </c>
      <c r="AF14" s="456">
        <f>(Z14+P14+J14)*(Q14/7)^0.5</f>
        <v>4.84362239075846013</v>
      </c>
      <c r="AG14" s="456">
        <f>(Z14+P14+J14)*(IF(Q14=7,(Q14/7)^0.5,((Q14+1)/7)^0.5))</f>
        <v>5.23171012591797968</v>
      </c>
      <c r="AH14" s="96">
        <f>(((Y14+P14+J14)+(AB14+P14+J14)*2)/8)*(Q14/7)^0.5</f>
        <v>2.85790600877855017</v>
      </c>
      <c r="AI14" s="96">
        <f>(1.66*(AC14+J14+P14)+0.55*(AD14+J14+P14)-7.6)*(Q14/7)^0.5</f>
        <v>13.5312428548816008</v>
      </c>
      <c r="AJ14" s="96">
        <f>((AD14+J14+P14)*0.7+(AC14+J14+P14)*0.3)*(Q14/7)^0.5</f>
        <v>14.0401020484991008</v>
      </c>
      <c r="AK14" s="96">
        <f>(0.5*(AC14+P14+J14)+0.3*(AD14+P14+J14))/10</f>
        <v>0.918536810073437948</v>
      </c>
      <c r="AL14" s="96">
        <f>(0.4*(Y14+P14+J14)+0.3*(AD14+P14+J14))/10</f>
        <v>1.04621970881425996</v>
      </c>
      <c r="AM14" s="457">
        <f>(AD14+P14+(LOG(I14)*4/3))*(Q14/7)^0.5</f>
        <v>17.0075060242976015</v>
      </c>
      <c r="AN14" s="457">
        <f>(AD14+P14+(LOG(I14)*4/3))*(IF(Q14=7,(Q14/7)^0.5,((Q14+1)/7)^0.5))</f>
        <v>18.3702060783469996</v>
      </c>
      <c r="AO14" s="145" t="n">
        <v>1</v>
      </c>
      <c r="AP14" s="145" t="n">
        <v>2</v>
      </c>
      <c r="AQ14" s="161">
        <f>IF(AO14=4,IF(AP14=0,0.137+0.0697,0.137+0.02),IF(AO14=3,IF(AP14=0,0.0958+0.0697,0.0958+0.02),IF(AO14=2,IF(AP14=0,0.0415+0.0697,0.0415+0.02),IF(AO14=1,IF(AP14=0,0.0294+0.0697,0.0294+0.02),IF(AO14=0,IF(AP14=0,0.0063+0.0697,0.0063+0.02))))))</f>
        <v>0.049399999999999995</v>
      </c>
      <c r="AR14" s="248" t="n">
        <v>46</v>
      </c>
      <c r="AS14" s="248" t="n">
        <v>6</v>
      </c>
      <c r="AT14" s="248" t="n">
        <v>12</v>
      </c>
      <c r="AU14" s="248" t="n">
        <v>26</v>
      </c>
      <c r="AV14" s="248">
        <f>AR14*1+AS14*0.066</f>
        <v>46.3960000000000008</v>
      </c>
      <c r="AW14" s="248">
        <f>AR14*0.919+AS14*0.167</f>
        <v>43.2760000000000034</v>
      </c>
      <c r="AX14" s="248">
        <f>AR14*1+AS14*0.236</f>
        <v>47.4159999999999968</v>
      </c>
      <c r="AY14" s="248">
        <f>AR14*0.75+AS14*0.165</f>
        <v>35.490000000000002</v>
      </c>
      <c r="AZ14" s="248">
        <f>AR14*0.73+AS14*0.38</f>
        <v>35.8599999999999994</v>
      </c>
      <c r="BA14" s="248">
        <f>AR14*0.45+AS14*1</f>
        <v>26.6999999999999993</v>
      </c>
      <c r="BB14" s="248">
        <f>AR14*0.65+AS14*0.95</f>
        <v>35.6000000000000014</v>
      </c>
      <c r="BC14" s="248">
        <f>AR14*0.3+AS14*0.53</f>
        <v>16.9800000000000004</v>
      </c>
      <c r="BD14" s="248">
        <f>AR14*0.4+AS14*0.44</f>
        <v>21.0399999999999991</v>
      </c>
      <c r="BE14" s="248">
        <f>AR14*0.25+AS14*0.73</f>
        <v>15.8800000000000008</v>
      </c>
      <c r="BF14" s="248">
        <f>AS14*0.46</f>
        <v>2.75999999999999979</v>
      </c>
      <c r="BG14" s="98" t="n">
        <v>26070</v>
      </c>
      <c r="BH14" s="247" t="n">
        <v>2017</v>
      </c>
      <c r="BI14" s="460">
        <f>AU14+AT14+AS14+AR14</f>
        <v>90</v>
      </c>
      <c r="BJ14" s="117"/>
      <c r="BK14" s="119"/>
    </row>
    <row r="15" spans="1:63" s="70" customFormat="1">
      <c r="A15" s="9" t="s">
        <v>168</v>
      </c>
      <c r="B15" s="9" t="s">
        <v>37</v>
      </c>
      <c r="C15" s="116">
        <f>((34*112)-(E15*112)-(F15))/112</f>
        <v>12.3839285714285996</v>
      </c>
      <c r="D15" s="471" t="s">
        <v>169</v>
      </c>
      <c r="E15" s="59" t="n">
        <v>21</v>
      </c>
      <c r="F15" s="60">
        <f>-43657+$D$1-32-278</f>
        <v>69</v>
      </c>
      <c r="G15" s="75" t="s">
        <v>146</v>
      </c>
      <c r="H15" s="115" t="n">
        <v>3</v>
      </c>
      <c r="I15" s="61" t="n">
        <v>3.9</v>
      </c>
      <c r="J15" s="148">
        <f>LOG(I15+1)*4/3</f>
        <v>0.920261440038020062</v>
      </c>
      <c r="K15" s="89">
        <f>(H15)*(H15)*(I15)</f>
        <v>35.1000000000000014</v>
      </c>
      <c r="L15" s="89">
        <f>(H15+1)*(H15+1)*I15</f>
        <v>62.3999999999999986</v>
      </c>
      <c r="M15" s="83" t="n">
        <v>6.79999999999999982</v>
      </c>
      <c r="N15" s="145">
        <f>M15*10+19</f>
        <v>87</v>
      </c>
      <c r="O15" s="239" t="n">
        <v>43898</v>
      </c>
      <c r="P15" s="240">
        <f aca="1">IF((TODAY()-O15)&gt;335,1,((TODAY()-O15)^0.64)/(336^0.64))</f>
        <v>0.565803302153566001</v>
      </c>
      <c r="Q15" s="145" t="n">
        <v>6</v>
      </c>
      <c r="R15" s="161">
        <f>(Q15/7)^0.5</f>
        <v>0.925820099772552041</v>
      </c>
      <c r="S15" s="161">
        <f>IF(Q15=7,1,((Q15+0.99)/7)^0.5)</f>
        <v>0.999285459001294996</v>
      </c>
      <c r="T15" s="98" t="n">
        <v>31270</v>
      </c>
      <c r="U15" s="214">
        <f>T15-BG15</f>
        <v>1360</v>
      </c>
      <c r="V15" s="98" t="n">
        <v>5628</v>
      </c>
      <c r="W15" s="96">
        <f>T15/V15</f>
        <v>5.55614783226724018</v>
      </c>
      <c r="X15" s="147" t="n">
        <v>0</v>
      </c>
      <c r="Y15" s="148" t="n">
        <v>11</v>
      </c>
      <c r="Z15" s="147" t="n">
        <v>7</v>
      </c>
      <c r="AA15" s="148" t="n">
        <v>1</v>
      </c>
      <c r="AB15" s="147" t="n">
        <v>6</v>
      </c>
      <c r="AC15" s="148" t="n">
        <v>5</v>
      </c>
      <c r="AD15" s="147">
        <f>15+1/3</f>
        <v>15.3333333333333002</v>
      </c>
      <c r="AE15" s="244" t="n">
        <v>1097</v>
      </c>
      <c r="AF15" s="456">
        <f>(Z15+P15+J15)*(Q15/7)^0.5</f>
        <v>7.85656930629215022</v>
      </c>
      <c r="AG15" s="456">
        <f>(Z15+P15+J15)*(IF(Q15=7,(Q15/7)^0.5,((Q15+1)/7)^0.5))</f>
        <v>8.48606474219159068</v>
      </c>
      <c r="AH15" s="96">
        <f>(((Y15+P15+J15)+(AB15+P15+J15)*2)/8)*(Q15/7)^0.5</f>
        <v>3.17766851480270018</v>
      </c>
      <c r="AI15" s="96">
        <f>(1.66*(AC15+J15+P15)+0.55*(AD15+J15+P15)-7.6)*(Q15/7)^0.5</f>
        <v>11.4964048013469</v>
      </c>
      <c r="AJ15" s="96">
        <f>((AD15+J15+P15)*0.7+(AC15+J15+P15)*0.3)*(Q15/7)^0.5</f>
        <v>12.7016944951017994</v>
      </c>
      <c r="AK15" s="96">
        <f>(0.5*(AC15+P15+J15)+0.3*(AD15+P15+J15))/10</f>
        <v>0.828885179375327041</v>
      </c>
      <c r="AL15" s="96">
        <f>(0.4*(Y15+P15+J15)+0.3*(AD15+P15+J15))/10</f>
        <v>1.00402453195341002</v>
      </c>
      <c r="AM15" s="457">
        <f>(AD15+P15+(LOG(I15)*4/3))*(Q15/7)^0.5</f>
        <v>15.4493662574297002</v>
      </c>
      <c r="AN15" s="457">
        <f>(AD15+P15+(LOG(I15)*4/3))*(IF(Q15=7,(Q15/7)^0.5,((Q15+1)/7)^0.5))</f>
        <v>16.6872227781889002</v>
      </c>
      <c r="AO15" s="145" t="n">
        <v>3</v>
      </c>
      <c r="AP15" s="145" t="n">
        <v>3</v>
      </c>
      <c r="AQ15" s="161">
        <f>IF(AO15=4,IF(AP15=0,0.137+0.0697,0.137+0.02),IF(AO15=3,IF(AP15=0,0.0958+0.0697,0.0958+0.02),IF(AO15=2,IF(AP15=0,0.0415+0.0697,0.0415+0.02),IF(AO15=1,IF(AP15=0,0.0294+0.0697,0.0294+0.02),IF(AO15=0,IF(AP15=0,0.0063+0.0697,0.0063+0.02))))))</f>
        <v>0.115799999999999992</v>
      </c>
      <c r="AR15" s="248" t="n">
        <v>46</v>
      </c>
      <c r="AS15" s="248" t="n">
        <v>16</v>
      </c>
      <c r="AT15" s="248" t="n">
        <v>8</v>
      </c>
      <c r="AU15" s="248" t="n">
        <v>19</v>
      </c>
      <c r="AV15" s="248">
        <f>AR15*1+AS15*0.066</f>
        <v>47.0559999999999974</v>
      </c>
      <c r="AW15" s="248">
        <f>AR15*0.919+AS15*0.167</f>
        <v>44.945999999999998</v>
      </c>
      <c r="AX15" s="248">
        <f>AR15*1+AS15*0.236</f>
        <v>49.7760000000000034</v>
      </c>
      <c r="AY15" s="248">
        <f>AR15*0.75+AS15*0.165</f>
        <v>37.1400000000000006</v>
      </c>
      <c r="AZ15" s="248">
        <f>AR15*0.73+AS15*0.38</f>
        <v>39.6599999999999966</v>
      </c>
      <c r="BA15" s="248">
        <f>AR15*0.45+AS15*1</f>
        <v>36.7000000000000028</v>
      </c>
      <c r="BB15" s="248">
        <f>AR15*0.65+AS15*0.95</f>
        <v>45.1000000000000014</v>
      </c>
      <c r="BC15" s="248">
        <f>AR15*0.3+AS15*0.53</f>
        <v>22.2800000000000011</v>
      </c>
      <c r="BD15" s="248">
        <f>AR15*0.4+AS15*0.44</f>
        <v>25.4400000000000013</v>
      </c>
      <c r="BE15" s="248">
        <f>AR15*0.25+AS15*0.73</f>
        <v>23.1799999999999997</v>
      </c>
      <c r="BF15" s="248">
        <f>AS15*0.46</f>
        <v>7.36000000000000032</v>
      </c>
      <c r="BG15" s="98" t="n">
        <v>29910</v>
      </c>
      <c r="BH15" s="247" t="n">
        <v>5093</v>
      </c>
      <c r="BI15" s="460">
        <f>AU15+AT15+AS15+AR15</f>
        <v>89</v>
      </c>
      <c r="BJ15" s="117"/>
      <c r="BK15" s="119"/>
    </row>
    <row r="16" spans="1:63" s="70" customFormat="1">
      <c r="A16" s="9" t="s">
        <v>170</v>
      </c>
      <c r="B16" s="9" t="s">
        <v>28</v>
      </c>
      <c r="C16" s="116">
        <f>((34*112)-(E16*112)-(F16))/112</f>
        <v>11.8482142857143007</v>
      </c>
      <c r="D16" s="471" t="s">
        <v>171</v>
      </c>
      <c r="E16" s="59" t="n">
        <v>22</v>
      </c>
      <c r="F16" s="60">
        <f>-43571+$D$1-112-112-112-112</f>
        <v>17</v>
      </c>
      <c r="G16" s="75" t="s">
        <v>159</v>
      </c>
      <c r="H16" s="115" t="n">
        <v>4</v>
      </c>
      <c r="I16" s="61" t="n">
        <v>2.60000000000000009</v>
      </c>
      <c r="J16" s="148">
        <f>LOG(I16+1)*4/3</f>
        <v>0.741736667689717066</v>
      </c>
      <c r="K16" s="89">
        <f>(H16)*(H16)*(I16)</f>
        <v>41.6000000000000014</v>
      </c>
      <c r="L16" s="89">
        <f>(H16+1)*(H16+1)*I16</f>
        <v>65</v>
      </c>
      <c r="M16" s="83" t="n">
        <v>6.59999999999999964</v>
      </c>
      <c r="N16" s="145">
        <f>M16*10+19</f>
        <v>85</v>
      </c>
      <c r="O16" s="239" t="n">
        <v>43626</v>
      </c>
      <c r="P16" s="240">
        <f aca="1">IF((TODAY()-O16)&gt;335,1,((TODAY()-O16)^0.64)/(336^0.64))</f>
        <v>1</v>
      </c>
      <c r="Q16" s="145" t="n">
        <v>7</v>
      </c>
      <c r="R16" s="161">
        <f>(Q16/7)^0.5</f>
        <v>1</v>
      </c>
      <c r="S16" s="161">
        <f>IF(Q16=7,1,((Q16+0.99)/7)^0.5)</f>
        <v>1</v>
      </c>
      <c r="T16" s="98" t="n">
        <v>57850</v>
      </c>
      <c r="U16" s="214">
        <f>T16-BG16</f>
        <v>200</v>
      </c>
      <c r="V16" s="98" t="n">
        <v>19500</v>
      </c>
      <c r="W16" s="96">
        <f>T16/V16</f>
        <v>2.96666666666666998</v>
      </c>
      <c r="X16" s="147" t="n">
        <v>0</v>
      </c>
      <c r="Y16" s="148" t="n">
        <v>4</v>
      </c>
      <c r="Z16" s="147" t="n">
        <v>13</v>
      </c>
      <c r="AA16" s="148" t="n">
        <v>3</v>
      </c>
      <c r="AB16" s="147" t="n">
        <v>4</v>
      </c>
      <c r="AC16" s="148" t="n">
        <v>7</v>
      </c>
      <c r="AD16" s="147">
        <f>16+1/3</f>
        <v>16.3333333333333002</v>
      </c>
      <c r="AE16" s="244" t="n">
        <v>1176</v>
      </c>
      <c r="AF16" s="456">
        <f>(Z16+P16+J16)*(Q16/7)^0.5</f>
        <v>14.7417366676897004</v>
      </c>
      <c r="AG16" s="456">
        <f>(Z16+P16+J16)*(IF(Q16=7,(Q16/7)^0.5,((Q16+1)/7)^0.5))</f>
        <v>14.7417366676897004</v>
      </c>
      <c r="AH16" s="96">
        <f>(((Y16+P16+J16)+(AB16+P16+J16)*2)/8)*(Q16/7)^0.5</f>
        <v>2.15315125038363986</v>
      </c>
      <c r="AI16" s="96">
        <f>(1.66*(AC16+J16+P16)+0.55*(AD16+J16+P16)-7.6)*(Q16/7)^0.5</f>
        <v>16.8525713689275989</v>
      </c>
      <c r="AJ16" s="96">
        <f>((AD16+J16+P16)*0.7+(AC16+J16+P16)*0.3)*(Q16/7)^0.5</f>
        <v>15.2750700010229998</v>
      </c>
      <c r="AK16" s="96">
        <f>(0.5*(AC16+P16+J16)+0.3*(AD16+P16+J16))/10</f>
        <v>0.979338933415175994</v>
      </c>
      <c r="AL16" s="96">
        <f>(0.4*(Y16+P16+J16)+0.3*(AD16+P16+J16))/10</f>
        <v>0.771921566738279097</v>
      </c>
      <c r="AM16" s="457">
        <f>(AD16+P16+(LOG(I16)*4/3))*(Q16/7)^0.5</f>
        <v>17.8866311306276984</v>
      </c>
      <c r="AN16" s="457">
        <f>(AD16+P16+(LOG(I16)*4/3))*(IF(Q16=7,(Q16/7)^0.5,((Q16+1)/7)^0.5))</f>
        <v>17.8866311306276984</v>
      </c>
      <c r="AO16" s="145" t="n">
        <v>4</v>
      </c>
      <c r="AP16" s="145" t="n">
        <v>3</v>
      </c>
      <c r="AQ16" s="161">
        <f>IF(AO16=4,IF(AP16=0,0.137+0.0697,0.137+0.02),IF(AO16=3,IF(AP16=0,0.0958+0.0697,0.0958+0.02),IF(AO16=2,IF(AP16=0,0.0415+0.0697,0.0415+0.02),IF(AO16=1,IF(AP16=0,0.0294+0.0697,0.0294+0.02),IF(AO16=0,IF(AP16=0,0.0063+0.0697,0.0063+0.02))))))</f>
        <v>0.157000000000000011</v>
      </c>
      <c r="AR16" s="248" t="n">
        <v>6</v>
      </c>
      <c r="AS16" s="248" t="n">
        <v>60</v>
      </c>
      <c r="AT16" s="248" t="n">
        <v>16</v>
      </c>
      <c r="AU16" s="248" t="n">
        <v>23</v>
      </c>
      <c r="AV16" s="248">
        <f>AR16*1+AS16*0.066</f>
        <v>9.96000000000000085</v>
      </c>
      <c r="AW16" s="248">
        <f>AR16*0.919+AS16*0.167</f>
        <v>15.5340000000000007</v>
      </c>
      <c r="AX16" s="248">
        <f>AR16*1+AS16*0.236</f>
        <v>20.1600000000000001</v>
      </c>
      <c r="AY16" s="248">
        <f>AR16*0.75+AS16*0.165</f>
        <v>14.4000000000000004</v>
      </c>
      <c r="AZ16" s="248">
        <f>AR16*0.73+AS16*0.38</f>
        <v>27.1799999999999997</v>
      </c>
      <c r="BA16" s="248">
        <f>AR16*0.45+AS16*1</f>
        <v>62.7000000000000028</v>
      </c>
      <c r="BB16" s="248">
        <f>AR16*0.65+AS16*0.95</f>
        <v>60.8999999999999986</v>
      </c>
      <c r="BC16" s="248">
        <f>AR16*0.3+AS16*0.53</f>
        <v>33.6000000000000014</v>
      </c>
      <c r="BD16" s="248">
        <f>AR16*0.4+AS16*0.44</f>
        <v>28.8000000000000007</v>
      </c>
      <c r="BE16" s="248">
        <f>AR16*0.25+AS16*0.73</f>
        <v>45.2999999999999972</v>
      </c>
      <c r="BF16" s="248">
        <f>AS16*0.46</f>
        <v>27.6000000000000014</v>
      </c>
      <c r="BG16" s="98" t="n">
        <v>57650</v>
      </c>
      <c r="BH16" s="247" t="n">
        <v>2327</v>
      </c>
      <c r="BI16" s="460">
        <f>AU16+AT16+AS16+AR16</f>
        <v>105</v>
      </c>
      <c r="BJ16" s="117"/>
      <c r="BK16" s="119"/>
    </row>
    <row r="17" spans="1:63" s="70" customFormat="1">
      <c r="A17" s="9" t="s">
        <v>172</v>
      </c>
      <c r="B17" s="9" t="s">
        <v>28</v>
      </c>
      <c r="C17" s="116">
        <f>((34*112)-(E17*112)-(F17))/112</f>
        <v>12.3571428571429003</v>
      </c>
      <c r="D17" s="471" t="s">
        <v>173</v>
      </c>
      <c r="E17" s="59" t="n">
        <v>21</v>
      </c>
      <c r="F17" s="60">
        <f>-43628+$D$1-112-112-112</f>
        <v>72</v>
      </c>
      <c r="G17" s="75" t="s">
        <v>163</v>
      </c>
      <c r="H17" s="241" t="n">
        <v>6</v>
      </c>
      <c r="I17" s="61" t="n">
        <v>3.79999999999999982</v>
      </c>
      <c r="J17" s="148">
        <f>LOG(I17+1)*4/3</f>
        <v>0.90832164983411694</v>
      </c>
      <c r="K17" s="89">
        <f>(H17)*(H17)*(I17)</f>
        <v>136.800000000000011</v>
      </c>
      <c r="L17" s="89">
        <f>(H17+1)*(H17+1)*I17</f>
        <v>186.199999999999989</v>
      </c>
      <c r="M17" s="83" t="n">
        <v>6.40000000000000036</v>
      </c>
      <c r="N17" s="145">
        <f>M17*10+19</f>
        <v>83</v>
      </c>
      <c r="O17" s="239" t="n">
        <v>43633</v>
      </c>
      <c r="P17" s="240">
        <f aca="1">IF((TODAY()-O17)&gt;335,1,((TODAY()-O17)^0.64)/(336^0.64))</f>
        <v>1</v>
      </c>
      <c r="Q17" s="145" t="n">
        <v>5</v>
      </c>
      <c r="R17" s="161">
        <f>(Q17/7)^0.5</f>
        <v>0.845154254728516108</v>
      </c>
      <c r="S17" s="161">
        <f>IF(Q17=7,1,((Q17+0.99)/7)^0.5)</f>
        <v>0.925048261289262008</v>
      </c>
      <c r="T17" s="98" t="n">
        <v>50690</v>
      </c>
      <c r="U17" s="214">
        <f>T17-BG17</f>
        <v>-3990</v>
      </c>
      <c r="V17" s="98" t="n">
        <v>9910</v>
      </c>
      <c r="W17" s="96">
        <f>T17/V17</f>
        <v>5.11503531786074994</v>
      </c>
      <c r="X17" s="147" t="n">
        <v>0</v>
      </c>
      <c r="Y17" s="148" t="n">
        <v>3</v>
      </c>
      <c r="Z17" s="147" t="n">
        <v>12</v>
      </c>
      <c r="AA17" s="148" t="n">
        <v>2</v>
      </c>
      <c r="AB17" s="147" t="n">
        <v>6</v>
      </c>
      <c r="AC17" s="148" t="n">
        <v>9</v>
      </c>
      <c r="AD17" s="147">
        <f>15+1/3</f>
        <v>15.3333333333333002</v>
      </c>
      <c r="AE17" s="244" t="n">
        <v>1166</v>
      </c>
      <c r="AF17" s="456">
        <f>(Z17+P17+J17)*(Q17/7)^0.5</f>
        <v>11.7546772184900004</v>
      </c>
      <c r="AG17" s="456">
        <f>(Z17+P17+J17)*(IF(Q17=7,(Q17/7)^0.5,((Q17+1)/7)^0.5))</f>
        <v>12.8766037375182005</v>
      </c>
      <c r="AH17" s="96">
        <f>(((Y17+P17+J17)+(AB17+P17+J17)*2)/8)*(Q17/7)^0.5</f>
        <v>2.18947403827141018</v>
      </c>
      <c r="AI17" s="96">
        <f>(1.66*(AC17+J17+P17)+0.55*(AD17+J17+P17)-7.6)*(Q17/7)^0.5</f>
        <v>16.8952455953805014</v>
      </c>
      <c r="AJ17" s="96">
        <f>((AD17+J17+P17)*0.7+(AC17+J17+P17)*0.3)*(Q17/7)^0.5</f>
        <v>12.9660649836008997</v>
      </c>
      <c r="AK17" s="96">
        <f>(0.5*(AC17+P17+J17)+0.3*(AD17+P17+J17))/10</f>
        <v>1.06266573198673009</v>
      </c>
      <c r="AL17" s="96">
        <f>(0.4*(Y17+P17+J17)+0.3*(AD17+P17+J17))/10</f>
        <v>0.713582515488386981</v>
      </c>
      <c r="AM17" s="457">
        <f>(AD17+P17+(LOG(I17)*4/3))*(Q17/7)^0.5</f>
        <v>14.4575282585691003</v>
      </c>
      <c r="AN17" s="457">
        <f>(AD17+P17+(LOG(I17)*4/3))*(IF(Q17=7,(Q17/7)^0.5,((Q17+1)/7)^0.5))</f>
        <v>15.8374287059733998</v>
      </c>
      <c r="AO17" s="145" t="n">
        <v>4</v>
      </c>
      <c r="AP17" s="145" t="n">
        <v>2</v>
      </c>
      <c r="AQ17" s="161">
        <f>IF(AO17=4,IF(AP17=0,0.137+0.0697,0.137+0.02),IF(AO17=3,IF(AP17=0,0.0958+0.0697,0.0958+0.02),IF(AO17=2,IF(AP17=0,0.0415+0.0697,0.0415+0.02),IF(AO17=1,IF(AP17=0,0.0294+0.0697,0.0294+0.02),IF(AO17=0,IF(AP17=0,0.0063+0.0697,0.0063+0.02))))))</f>
        <v>0.157000000000000011</v>
      </c>
      <c r="AR17" s="248" t="n">
        <v>3</v>
      </c>
      <c r="AS17" s="248" t="n">
        <v>49</v>
      </c>
      <c r="AT17" s="248" t="n">
        <v>27</v>
      </c>
      <c r="AU17" s="248" t="n">
        <v>19</v>
      </c>
      <c r="AV17" s="248">
        <f>AR17*1+AS17*0.066</f>
        <v>6.23399999999999999</v>
      </c>
      <c r="AW17" s="248">
        <f>AR17*0.919+AS17*0.167</f>
        <v>10.9399999999999995</v>
      </c>
      <c r="AX17" s="248">
        <f>AR17*1+AS17*0.236</f>
        <v>14.5640000000000001</v>
      </c>
      <c r="AY17" s="248">
        <f>AR17*0.75+AS17*0.165</f>
        <v>10.3350000000000009</v>
      </c>
      <c r="AZ17" s="248">
        <f>AR17*0.73+AS17*0.38</f>
        <v>20.8099999999999987</v>
      </c>
      <c r="BA17" s="248">
        <f>AR17*0.45+AS17*1</f>
        <v>50.3500000000000014</v>
      </c>
      <c r="BB17" s="248">
        <f>AR17*0.65+AS17*0.95</f>
        <v>48.5</v>
      </c>
      <c r="BC17" s="248">
        <f>AR17*0.3+AS17*0.53</f>
        <v>26.870000000000001</v>
      </c>
      <c r="BD17" s="248">
        <f>AR17*0.4+AS17*0.44</f>
        <v>22.7600000000000016</v>
      </c>
      <c r="BE17" s="248">
        <f>AR17*0.25+AS17*0.73</f>
        <v>36.5200000000000031</v>
      </c>
      <c r="BF17" s="248">
        <f>AS17*0.46</f>
        <v>22.5399999999999991</v>
      </c>
      <c r="BG17" s="98" t="n">
        <v>54680</v>
      </c>
      <c r="BH17" s="247" t="n">
        <v>4689</v>
      </c>
      <c r="BI17" s="460">
        <f>AU17+AT17+AS17+AR17</f>
        <v>98</v>
      </c>
      <c r="BJ17" s="117"/>
      <c r="BK17" s="119"/>
    </row>
    <row r="18" spans="1:63" s="70" customFormat="1">
      <c r="A18" s="9" t="s">
        <v>174</v>
      </c>
      <c r="B18" s="9" t="s">
        <v>28</v>
      </c>
      <c r="C18" s="116">
        <f>((34*112)-(E18*112)-(F18))/112</f>
        <v>11.7053571428570997</v>
      </c>
      <c r="D18" s="471" t="s">
        <v>175</v>
      </c>
      <c r="E18" s="59" t="n">
        <v>22</v>
      </c>
      <c r="F18" s="60">
        <f>-43569+$D$1+14-112-112-112-112</f>
        <v>33</v>
      </c>
      <c r="G18" s="75" t="s">
        <v>146</v>
      </c>
      <c r="H18" s="115" t="n">
        <v>1</v>
      </c>
      <c r="I18" s="61" t="n">
        <v>3.70000000000000018</v>
      </c>
      <c r="J18" s="148">
        <f>LOG(I18+1)*4/3</f>
        <v>0.896130477247623958</v>
      </c>
      <c r="K18" s="89">
        <f>(H18)*(H18)*(I18)</f>
        <v>3.70000000000000018</v>
      </c>
      <c r="L18" s="89">
        <f>(H18+1)*(H18+1)*I18</f>
        <v>14.8000000000000007</v>
      </c>
      <c r="M18" s="83" t="n">
        <v>6.5</v>
      </c>
      <c r="N18" s="145">
        <f>M18*10+19</f>
        <v>84</v>
      </c>
      <c r="O18" s="239" t="n">
        <v>43630</v>
      </c>
      <c r="P18" s="240">
        <f aca="1">IF((TODAY()-O18)&gt;335,1,((TODAY()-O18)^0.64)/(336^0.64))</f>
        <v>1</v>
      </c>
      <c r="Q18" s="145" t="n">
        <v>4</v>
      </c>
      <c r="R18" s="161">
        <f>(Q18/7)^0.5</f>
        <v>0.755928946018454972</v>
      </c>
      <c r="S18" s="161">
        <f>IF(Q18=7,1,((Q18+0.99)/7)^0.5)</f>
        <v>0.844308677473554958</v>
      </c>
      <c r="T18" s="98" t="n">
        <v>57150</v>
      </c>
      <c r="U18" s="214">
        <f>T18-BG18</f>
        <v>-960</v>
      </c>
      <c r="V18" s="98" t="n">
        <v>23508</v>
      </c>
      <c r="W18" s="96">
        <f>T18/V18</f>
        <v>2.43108728943338992</v>
      </c>
      <c r="X18" s="147" t="n">
        <v>0</v>
      </c>
      <c r="Y18" s="148" t="n">
        <v>4</v>
      </c>
      <c r="Z18" s="147" t="n">
        <v>13</v>
      </c>
      <c r="AA18" s="148" t="n">
        <v>3</v>
      </c>
      <c r="AB18" s="147" t="n">
        <v>2</v>
      </c>
      <c r="AC18" s="148" t="n">
        <v>8</v>
      </c>
      <c r="AD18" s="147">
        <f>14+1/3</f>
        <v>14.3333333333333002</v>
      </c>
      <c r="AE18" s="244" t="n">
        <v>1127</v>
      </c>
      <c r="AF18" s="456">
        <f>(Z18+P18+J18)*(Q18/7)^0.5</f>
        <v>11.2604162114191997</v>
      </c>
      <c r="AG18" s="456">
        <f>(Z18+P18+J18)*(IF(Q18=7,(Q18/7)^0.5,((Q18+1)/7)^0.5))</f>
        <v>12.5895280518369006</v>
      </c>
      <c r="AH18" s="96">
        <f>(((Y18+P18+J18)+(AB18+P18+J18)*2)/8)*(Q18/7)^0.5</f>
        <v>1.29343141346067991</v>
      </c>
      <c r="AI18" s="96">
        <f>(1.66*(AC18+J18+P18)+0.55*(AD18+J18+P18)-7.6)*(Q18/7)^0.5</f>
        <v>13.4205974792897997</v>
      </c>
      <c r="AJ18" s="96">
        <f>((AD18+J18+P18)*0.7+(AC18+J18+P18)*0.3)*(Q18/7)^0.5</f>
        <v>10.8320564753420001</v>
      </c>
      <c r="AK18" s="96">
        <f>(0.5*(AC18+P18+J18)+0.3*(AD18+P18+J18))/10</f>
        <v>0.981690438179809099</v>
      </c>
      <c r="AL18" s="96">
        <f>(0.4*(Y18+P18+J18)+0.3*(AD18+P18+J18))/10</f>
        <v>0.722729133407332025</v>
      </c>
      <c r="AM18" s="457">
        <f>(AD18+P18+(LOG(I18)*4/3))*(Q18/7)^0.5</f>
        <v>12.1636040128160996</v>
      </c>
      <c r="AN18" s="457">
        <f>(AD18+P18+(LOG(I18)*4/3))*(IF(Q18=7,(Q18/7)^0.5,((Q18+1)/7)^0.5))</f>
        <v>13.5993227120229996</v>
      </c>
      <c r="AO18" s="145" t="n">
        <v>3</v>
      </c>
      <c r="AP18" s="145" t="n">
        <v>0</v>
      </c>
      <c r="AQ18" s="161">
        <f>IF(AO18=4,IF(AP18=0,0.137+0.0697,0.137+0.02),IF(AO18=3,IF(AP18=0,0.0958+0.0697,0.0958+0.02),IF(AO18=2,IF(AP18=0,0.0415+0.0697,0.0415+0.02),IF(AO18=1,IF(AP18=0,0.0294+0.0697,0.0294+0.02),IF(AO18=0,IF(AP18=0,0.0063+0.0697,0.0063+0.02))))))</f>
        <v>0.165500000000000007</v>
      </c>
      <c r="AR18" s="248" t="n">
        <v>6</v>
      </c>
      <c r="AS18" s="248" t="n">
        <v>63</v>
      </c>
      <c r="AT18" s="248" t="n">
        <v>21</v>
      </c>
      <c r="AU18" s="248" t="n">
        <v>16</v>
      </c>
      <c r="AV18" s="248">
        <f>AR18*1+AS18*0.066</f>
        <v>10.1579999999999995</v>
      </c>
      <c r="AW18" s="248">
        <f>AR18*0.919+AS18*0.167</f>
        <v>16.0350000000000001</v>
      </c>
      <c r="AX18" s="248">
        <f>AR18*1+AS18*0.236</f>
        <v>20.8679999999999986</v>
      </c>
      <c r="AY18" s="248">
        <f>AR18*0.75+AS18*0.165</f>
        <v>14.8949999999999996</v>
      </c>
      <c r="AZ18" s="248">
        <f>AR18*0.73+AS18*0.38</f>
        <v>28.3200000000000003</v>
      </c>
      <c r="BA18" s="248">
        <f>AR18*0.45+AS18*1</f>
        <v>65.7000000000000028</v>
      </c>
      <c r="BB18" s="248">
        <f>AR18*0.65+AS18*0.95</f>
        <v>63.75</v>
      </c>
      <c r="BC18" s="248">
        <f>AR18*0.3+AS18*0.53</f>
        <v>35.1899999999999977</v>
      </c>
      <c r="BD18" s="248">
        <f>AR18*0.4+AS18*0.44</f>
        <v>30.120000000000001</v>
      </c>
      <c r="BE18" s="248">
        <f>AR18*0.25+AS18*0.73</f>
        <v>47.490000000000002</v>
      </c>
      <c r="BF18" s="248">
        <f>AS18*0.46</f>
        <v>28.9800000000000004</v>
      </c>
      <c r="BG18" s="98" t="n">
        <v>58110</v>
      </c>
      <c r="BH18" s="247" t="n">
        <v>1887</v>
      </c>
      <c r="BI18" s="460">
        <f>AU18+AT18+AS18+AR18</f>
        <v>106</v>
      </c>
      <c r="BJ18" s="117"/>
      <c r="BK18" s="119"/>
    </row>
    <row r="19" spans="1:63" s="70" customFormat="1">
      <c r="A19" s="9" t="s">
        <v>176</v>
      </c>
      <c r="B19" s="9" t="s">
        <v>28</v>
      </c>
      <c r="C19" s="116">
        <f>((34*112)-(E19*112)-(F19))/112</f>
        <v>11.7053571428570997</v>
      </c>
      <c r="D19" s="471" t="s">
        <v>177</v>
      </c>
      <c r="E19" s="59" t="n">
        <v>22</v>
      </c>
      <c r="F19" s="60">
        <f>-43569+$D$1+14-112-112-112-112</f>
        <v>33</v>
      </c>
      <c r="G19" s="75" t="s">
        <v>163</v>
      </c>
      <c r="H19" s="115" t="n">
        <v>1</v>
      </c>
      <c r="I19" s="61" t="n">
        <v>3.9</v>
      </c>
      <c r="J19" s="148">
        <f>LOG(I19+1)*4/3</f>
        <v>0.920261440038020062</v>
      </c>
      <c r="K19" s="89">
        <f>(H19)*(H19)*(I19)</f>
        <v>3.9</v>
      </c>
      <c r="L19" s="89">
        <f>(H19+1)*(H19+1)*I19</f>
        <v>15.5999999999999996</v>
      </c>
      <c r="M19" s="83" t="n">
        <v>6.70000000000000018</v>
      </c>
      <c r="N19" s="145">
        <f>M19*10+19</f>
        <v>86</v>
      </c>
      <c r="O19" s="239" t="n">
        <v>43627</v>
      </c>
      <c r="P19" s="240">
        <f aca="1">IF((TODAY()-O19)&gt;335,1,((TODAY()-O19)^0.64)/(336^0.64))</f>
        <v>1</v>
      </c>
      <c r="Q19" s="145" t="n">
        <v>6</v>
      </c>
      <c r="R19" s="161">
        <f>(Q19/7)^0.5</f>
        <v>0.925820099772552041</v>
      </c>
      <c r="S19" s="161">
        <f>IF(Q19=7,1,((Q19+0.99)/7)^0.5)</f>
        <v>0.999285459001294996</v>
      </c>
      <c r="T19" s="98" t="n">
        <v>74720</v>
      </c>
      <c r="U19" s="214">
        <f>T19-BG19</f>
        <v>-2330</v>
      </c>
      <c r="V19" s="98" t="n">
        <v>24084</v>
      </c>
      <c r="W19" s="96">
        <f>T19/V19</f>
        <v>3.10247467198139981</v>
      </c>
      <c r="X19" s="147" t="n">
        <v>0</v>
      </c>
      <c r="Y19" s="148" t="n">
        <v>2</v>
      </c>
      <c r="Z19" s="147" t="n">
        <v>13</v>
      </c>
      <c r="AA19" s="148" t="n">
        <v>5</v>
      </c>
      <c r="AB19" s="147" t="n">
        <v>4</v>
      </c>
      <c r="AC19" s="148" t="n">
        <v>8</v>
      </c>
      <c r="AD19" s="147" t="n">
        <v>17</v>
      </c>
      <c r="AE19" s="244" t="n">
        <v>1200</v>
      </c>
      <c r="AF19" s="456">
        <f>(Z19+P19+J19)*(Q19/7)^0.5</f>
        <v>13.8134779350484997</v>
      </c>
      <c r="AG19" s="456">
        <f>(Z19+P19+J19)*(IF(Q19=7,(Q19/7)^0.5,((Q19+1)/7)^0.5))</f>
        <v>14.9202614400380007</v>
      </c>
      <c r="AH19" s="96">
        <f>(((Y19+P19+J19)+(AB19+P19+J19)*2)/8)*(Q19/7)^0.5</f>
        <v>1.8239563639676998</v>
      </c>
      <c r="AI19" s="96">
        <f>(1.66*(AC19+J19+P19)+0.55*(AD19+J19+P19)-7.6)*(Q19/7)^0.5</f>
        <v>17.8440508695733016</v>
      </c>
      <c r="AJ19" s="96">
        <f>((AD19+J19+P19)*0.7+(AC19+J19+P19)*0.3)*(Q19/7)^0.5</f>
        <v>15.0170440647529002</v>
      </c>
      <c r="AK19" s="96">
        <f>(0.5*(AC19+P19+J19)+0.3*(AD19+P19+J19))/10</f>
        <v>1.06362091520304003</v>
      </c>
      <c r="AL19" s="96">
        <f>(0.4*(Y19+P19+J19)+0.3*(AD19+P19+J19))/10</f>
        <v>0.724418300802661008</v>
      </c>
      <c r="AM19" s="457">
        <f>(AD19+P19+(LOG(I19)*4/3))*(Q19/7)^0.5</f>
        <v>17.3943877871716985</v>
      </c>
      <c r="AN19" s="457">
        <f>(AD19+P19+(LOG(I19)*4/3))*(IF(Q19=7,(Q19/7)^0.5,((Q19+1)/7)^0.5))</f>
        <v>18.7880861427019994</v>
      </c>
      <c r="AO19" s="145" t="n">
        <v>4</v>
      </c>
      <c r="AP19" s="145" t="n">
        <v>2</v>
      </c>
      <c r="AQ19" s="161">
        <f>IF(AO19=4,IF(AP19=0,0.137+0.0697,0.137+0.02),IF(AO19=3,IF(AP19=0,0.0958+0.0697,0.0958+0.02),IF(AO19=2,IF(AP19=0,0.0415+0.0697,0.0415+0.02),IF(AO19=1,IF(AP19=0,0.0294+0.0697,0.0294+0.02),IF(AO19=0,IF(AP19=0,0.0063+0.0697,0.0063+0.02))))))</f>
        <v>0.157000000000000011</v>
      </c>
      <c r="AR19" s="248" t="n">
        <v>0</v>
      </c>
      <c r="AS19" s="248">
        <f>58+5</f>
        <v>63</v>
      </c>
      <c r="AT19" s="248" t="n">
        <v>21</v>
      </c>
      <c r="AU19" s="248" t="n">
        <v>24</v>
      </c>
      <c r="AV19" s="248">
        <f>AR19*1+AS19*0.066</f>
        <v>4.15800000000000036</v>
      </c>
      <c r="AW19" s="248">
        <f>AR19*0.919+AS19*0.167</f>
        <v>10.5210000000000008</v>
      </c>
      <c r="AX19" s="248">
        <f>AR19*1+AS19*0.236</f>
        <v>14.8680000000000003</v>
      </c>
      <c r="AY19" s="248">
        <f>AR19*0.75+AS19*0.165</f>
        <v>10.3949999999999996</v>
      </c>
      <c r="AZ19" s="248">
        <f>AR19*0.73+AS19*0.38</f>
        <v>23.9400000000000013</v>
      </c>
      <c r="BA19" s="248">
        <f>AR19*0.45+AS19*1</f>
        <v>63</v>
      </c>
      <c r="BB19" s="248">
        <f>AR19*0.65+AS19*0.95</f>
        <v>59.8500000000000014</v>
      </c>
      <c r="BC19" s="248">
        <f>AR19*0.3+AS19*0.53</f>
        <v>33.3900000000000006</v>
      </c>
      <c r="BD19" s="248">
        <f>AR19*0.4+AS19*0.44</f>
        <v>27.7199999999999989</v>
      </c>
      <c r="BE19" s="248">
        <f>AR19*0.25+AS19*0.73</f>
        <v>45.990000000000002</v>
      </c>
      <c r="BF19" s="248">
        <f>AS19*0.46</f>
        <v>28.9800000000000004</v>
      </c>
      <c r="BG19" s="98" t="n">
        <v>77050</v>
      </c>
      <c r="BH19" s="247" t="n">
        <v>3853</v>
      </c>
      <c r="BI19" s="460">
        <f>AU19+AT19+AS19+AR19</f>
        <v>108</v>
      </c>
      <c r="BJ19" s="117"/>
      <c r="BK19" s="119"/>
    </row>
    <row r="20" spans="1:63" s="70" customFormat="1">
      <c r="A20" s="9" t="s">
        <v>178</v>
      </c>
      <c r="B20" s="9" t="s">
        <v>28</v>
      </c>
      <c r="C20" s="116">
        <f>((34*112)-(E20*112)-(F20))/112</f>
        <v>11.8303571428570997</v>
      </c>
      <c r="D20" s="471" t="s">
        <v>179</v>
      </c>
      <c r="E20" s="59" t="n">
        <v>22</v>
      </c>
      <c r="F20" s="60">
        <f>-43569+$D$1-112-112-112-112</f>
        <v>19</v>
      </c>
      <c r="G20" s="75" t="s">
        <v>159</v>
      </c>
      <c r="H20" s="115" t="n">
        <v>4</v>
      </c>
      <c r="I20" s="61" t="n">
        <v>2.9</v>
      </c>
      <c r="J20" s="148">
        <f>LOG(I20+1)*4/3</f>
        <v>0.788086142701999925</v>
      </c>
      <c r="K20" s="89">
        <f>(H20)*(H20)*(I20)</f>
        <v>46.3999999999999986</v>
      </c>
      <c r="L20" s="89">
        <f>(H20+1)*(H20+1)*I20</f>
        <v>72.5</v>
      </c>
      <c r="M20" s="83" t="n">
        <v>6.59999999999999964</v>
      </c>
      <c r="N20" s="145">
        <f>M20*10+19</f>
        <v>85</v>
      </c>
      <c r="O20" s="239" t="n">
        <v>43626</v>
      </c>
      <c r="P20" s="240">
        <f aca="1">IF((TODAY()-O20)&gt;335,1,((TODAY()-O20)^0.64)/(336^0.64))</f>
        <v>1</v>
      </c>
      <c r="Q20" s="145" t="n">
        <v>5</v>
      </c>
      <c r="R20" s="161">
        <f>(Q20/7)^0.5</f>
        <v>0.845154254728516108</v>
      </c>
      <c r="S20" s="161">
        <f>IF(Q20=7,1,((Q20+0.99)/7)^0.5)</f>
        <v>0.925048261289262008</v>
      </c>
      <c r="T20" s="98" t="n">
        <v>43340</v>
      </c>
      <c r="U20" s="214">
        <f>T20-BG20</f>
        <v>-630</v>
      </c>
      <c r="V20" s="98" t="n">
        <v>12948</v>
      </c>
      <c r="W20" s="96">
        <f>T20/V20</f>
        <v>3.34723509422305021</v>
      </c>
      <c r="X20" s="147" t="n">
        <v>0</v>
      </c>
      <c r="Y20" s="148" t="n">
        <v>6</v>
      </c>
      <c r="Z20" s="147" t="n">
        <v>12</v>
      </c>
      <c r="AA20" s="148" t="n">
        <v>2</v>
      </c>
      <c r="AB20" s="147" t="n">
        <v>3</v>
      </c>
      <c r="AC20" s="148" t="n">
        <v>6</v>
      </c>
      <c r="AD20" s="147">
        <f>17+1/4</f>
        <v>17.25</v>
      </c>
      <c r="AE20" s="244" t="n">
        <v>1112</v>
      </c>
      <c r="AF20" s="456">
        <f>(Z20+P20+J20)*(Q20/7)^0.5</f>
        <v>11.6530596680679004</v>
      </c>
      <c r="AG20" s="456">
        <f>(Z20+P20+J20)*(IF(Q20=7,(Q20/7)^0.5,((Q20+1)/7)^0.5))</f>
        <v>12.7652872883088992</v>
      </c>
      <c r="AH20" s="96">
        <f>(((Y20+P20+J20)+(AB20+P20+J20)*2)/8)*(Q20/7)^0.5</f>
        <v>1.83443461133990997</v>
      </c>
      <c r="AI20" s="96">
        <f>(1.66*(AC20+J20+P20)+0.55*(AD20+J20+P20)-7.6)*(Q20/7)^0.5</f>
        <v>13.3527360639258994</v>
      </c>
      <c r="AJ20" s="96">
        <f>((AD20+J20+P20)*0.7+(AC20+J20+P20)*0.3)*(Q20/7)^0.5</f>
        <v>13.2377238956838994</v>
      </c>
      <c r="AK20" s="96">
        <f>(0.5*(AC20+P20+J20)+0.3*(AD20+P20+J20))/10</f>
        <v>0.960546891416159987</v>
      </c>
      <c r="AL20" s="96">
        <f>(0.4*(Y20+P20+J20)+0.3*(AD20+P20+J20))/10</f>
        <v>0.8826660299891401</v>
      </c>
      <c r="AM20" s="457">
        <f>(AD20+P20+(LOG(I20)*4/3))*(Q20/7)^0.5</f>
        <v>15.9451286625318005</v>
      </c>
      <c r="AN20" s="457">
        <f>(AD20+P20+(LOG(I20)*4/3))*(IF(Q20=7,(Q20/7)^0.5,((Q20+1)/7)^0.5))</f>
        <v>17.4670133015817015</v>
      </c>
      <c r="AO20" s="145" t="n">
        <v>2</v>
      </c>
      <c r="AP20" s="145" t="n">
        <v>3</v>
      </c>
      <c r="AQ20" s="161">
        <f>IF(AO20=4,IF(AP20=0,0.137+0.0697,0.137+0.02),IF(AO20=3,IF(AP20=0,0.0958+0.0697,0.0958+0.02),IF(AO20=2,IF(AP20=0,0.0415+0.0697,0.0415+0.02),IF(AO20=1,IF(AP20=0,0.0294+0.0697,0.0294+0.02),IF(AO20=0,IF(AP20=0,0.0063+0.0697,0.0063+0.02))))))</f>
        <v>0.0615000000000000036</v>
      </c>
      <c r="AR20" s="248" t="n">
        <v>14</v>
      </c>
      <c r="AS20" s="248">
        <f>48+3</f>
        <v>51</v>
      </c>
      <c r="AT20" s="248" t="n">
        <v>12</v>
      </c>
      <c r="AU20" s="248" t="n">
        <v>25</v>
      </c>
      <c r="AV20" s="248">
        <f>AR20*1+AS20*0.066</f>
        <v>17.3659999999999997</v>
      </c>
      <c r="AW20" s="248">
        <f>AR20*0.919+AS20*0.167</f>
        <v>21.3829999999999991</v>
      </c>
      <c r="AX20" s="248">
        <f>AR20*1+AS20*0.236</f>
        <v>26.0360000000000014</v>
      </c>
      <c r="AY20" s="248">
        <f>AR20*0.75+AS20*0.165</f>
        <v>18.9149999999999991</v>
      </c>
      <c r="AZ20" s="248">
        <f>AR20*0.73+AS20*0.38</f>
        <v>29.6000000000000014</v>
      </c>
      <c r="BA20" s="248">
        <f>AR20*0.45+AS20*1</f>
        <v>57.2999999999999972</v>
      </c>
      <c r="BB20" s="248">
        <f>AR20*0.65+AS20*0.95</f>
        <v>57.5499999999999972</v>
      </c>
      <c r="BC20" s="248">
        <f>AR20*0.3+AS20*0.53</f>
        <v>31.2300000000000004</v>
      </c>
      <c r="BD20" s="248">
        <f>AR20*0.4+AS20*0.44</f>
        <v>28.0399999999999991</v>
      </c>
      <c r="BE20" s="248">
        <f>AR20*0.25+AS20*0.73</f>
        <v>40.7299999999999969</v>
      </c>
      <c r="BF20" s="248">
        <f>AS20*0.46</f>
        <v>23.4600000000000009</v>
      </c>
      <c r="BG20" s="98" t="n">
        <v>43970</v>
      </c>
      <c r="BH20" s="247" t="n">
        <v>1548</v>
      </c>
      <c r="BI20" s="460">
        <f>AU20+AT20+AS20+AR20</f>
        <v>102</v>
      </c>
      <c r="BJ20" s="117"/>
      <c r="BK20" s="119"/>
    </row>
    <row r="21" spans="1:63" s="70" customFormat="1">
      <c r="A21" s="9" t="s">
        <v>180</v>
      </c>
      <c r="B21" s="9" t="s">
        <v>28</v>
      </c>
      <c r="C21" s="116">
        <f>((34*112)-(E21*112)-(F21))/112</f>
        <v>11.3392857142856993</v>
      </c>
      <c r="D21" s="471" t="s">
        <v>181</v>
      </c>
      <c r="E21" s="59" t="n">
        <v>22</v>
      </c>
      <c r="F21" s="60">
        <f>-43626+$D$1-112-112-112</f>
        <v>74</v>
      </c>
      <c r="G21" s="75" t="s">
        <v>182</v>
      </c>
      <c r="H21" s="115" t="n">
        <v>4</v>
      </c>
      <c r="I21" s="61" t="n">
        <v>3.9</v>
      </c>
      <c r="J21" s="148">
        <f>LOG(I21+1)*4/3</f>
        <v>0.920261440038020062</v>
      </c>
      <c r="K21" s="89">
        <f>(H21)*(H21)*(I21)</f>
        <v>62.3999999999999986</v>
      </c>
      <c r="L21" s="89">
        <f>(H21+1)*(H21+1)*I21</f>
        <v>97.5</v>
      </c>
      <c r="M21" s="83" t="n">
        <v>6.5</v>
      </c>
      <c r="N21" s="145">
        <f>M21*10+19</f>
        <v>84</v>
      </c>
      <c r="O21" s="239" t="n">
        <v>43626</v>
      </c>
      <c r="P21" s="240">
        <f aca="1">IF((TODAY()-O21)&gt;335,1,((TODAY()-O21)^0.64)/(336^0.64))</f>
        <v>1</v>
      </c>
      <c r="Q21" s="145" t="n">
        <v>7</v>
      </c>
      <c r="R21" s="161">
        <f>(Q21/7)^0.5</f>
        <v>1</v>
      </c>
      <c r="S21" s="161">
        <f>IF(Q21=7,1,((Q21+0.99)/7)^0.5)</f>
        <v>1</v>
      </c>
      <c r="T21" s="98" t="n">
        <v>68820</v>
      </c>
      <c r="U21" s="214">
        <f>T21-BG21</f>
        <v>280</v>
      </c>
      <c r="V21" s="98" t="n">
        <v>16050</v>
      </c>
      <c r="W21" s="96">
        <f>T21/V21</f>
        <v>4.28785046728972041</v>
      </c>
      <c r="X21" s="147" t="n">
        <v>0</v>
      </c>
      <c r="Y21" s="148" t="n">
        <v>7</v>
      </c>
      <c r="Z21" s="147" t="n">
        <v>13</v>
      </c>
      <c r="AA21" s="148" t="n">
        <v>3</v>
      </c>
      <c r="AB21" s="147" t="n">
        <v>4</v>
      </c>
      <c r="AC21" s="148" t="n">
        <v>6</v>
      </c>
      <c r="AD21" s="147" t="n">
        <v>15</v>
      </c>
      <c r="AE21" s="244" t="n">
        <v>1210</v>
      </c>
      <c r="AF21" s="456">
        <f>(Z21+P21+J21)*(Q21/7)^0.5</f>
        <v>14.9202614400380007</v>
      </c>
      <c r="AG21" s="456">
        <f>(Z21+P21+J21)*(IF(Q21=7,(Q21/7)^0.5,((Q21+1)/7)^0.5))</f>
        <v>14.9202614400380007</v>
      </c>
      <c r="AH21" s="96">
        <f>(((Y21+P21+J21)+(AB21+P21+J21)*2)/8)*(Q21/7)^0.5</f>
        <v>2.59509804001424982</v>
      </c>
      <c r="AI21" s="96">
        <f>(1.66*(AC21+J21+P21)+0.55*(AD21+J21+P21)-7.6)*(Q21/7)^0.5</f>
        <v>14.8537777824840003</v>
      </c>
      <c r="AJ21" s="96">
        <f>((AD21+J21+P21)*0.7+(AC21+J21+P21)*0.3)*(Q21/7)^0.5</f>
        <v>14.2202614400379996</v>
      </c>
      <c r="AK21" s="96">
        <f>(0.5*(AC21+P21+J21)+0.3*(AD21+P21+J21))/10</f>
        <v>0.903620915203040909</v>
      </c>
      <c r="AL21" s="96">
        <f>(0.4*(Y21+P21+J21)+0.3*(AD21+P21+J21))/10</f>
        <v>0.864418300802661044</v>
      </c>
      <c r="AM21" s="457">
        <f>(AD21+P21+(LOG(I21)*4/3))*(Q21/7)^0.5</f>
        <v>16.7880861427019994</v>
      </c>
      <c r="AN21" s="457">
        <f>(AD21+P21+(LOG(I21)*4/3))*(IF(Q21=7,(Q21/7)^0.5,((Q21+1)/7)^0.5))</f>
        <v>16.7880861427019994</v>
      </c>
      <c r="AO21" s="145" t="n">
        <v>3</v>
      </c>
      <c r="AP21" s="145" t="n">
        <v>3</v>
      </c>
      <c r="AQ21" s="161">
        <f>IF(AO21=4,IF(AP21=0,0.137+0.0697,0.137+0.02),IF(AO21=3,IF(AP21=0,0.0958+0.0697,0.0958+0.02),IF(AO21=2,IF(AP21=0,0.0415+0.0697,0.0415+0.02),IF(AO21=1,IF(AP21=0,0.0294+0.0697,0.0294+0.02),IF(AO21=0,IF(AP21=0,0.0063+0.0697,0.0063+0.02))))))</f>
        <v>0.115799999999999992</v>
      </c>
      <c r="AR21" s="248" t="n">
        <v>18</v>
      </c>
      <c r="AS21" s="248" t="n">
        <v>60</v>
      </c>
      <c r="AT21" s="248" t="n">
        <v>12</v>
      </c>
      <c r="AU21" s="248" t="n">
        <v>17</v>
      </c>
      <c r="AV21" s="248">
        <f>AR21*1+AS21*0.066</f>
        <v>21.9600000000000009</v>
      </c>
      <c r="AW21" s="248">
        <f>AR21*0.919+AS21*0.167</f>
        <v>26.5620000000000012</v>
      </c>
      <c r="AX21" s="248">
        <f>AR21*1+AS21*0.236</f>
        <v>32.1599999999999966</v>
      </c>
      <c r="AY21" s="248">
        <f>AR21*0.75+AS21*0.165</f>
        <v>23.3999999999999986</v>
      </c>
      <c r="AZ21" s="248">
        <f>AR21*0.73+AS21*0.38</f>
        <v>35.9399999999999977</v>
      </c>
      <c r="BA21" s="248">
        <f>AR21*0.45+AS21*1</f>
        <v>68.0999999999999943</v>
      </c>
      <c r="BB21" s="248">
        <f>AR21*0.65+AS21*0.95</f>
        <v>68.7000000000000028</v>
      </c>
      <c r="BC21" s="248">
        <f>AR21*0.3+AS21*0.53</f>
        <v>37.2000000000000028</v>
      </c>
      <c r="BD21" s="248">
        <f>AR21*0.4+AS21*0.44</f>
        <v>33.6000000000000014</v>
      </c>
      <c r="BE21" s="248">
        <f>AR21*0.25+AS21*0.73</f>
        <v>48.2999999999999972</v>
      </c>
      <c r="BF21" s="248">
        <f>AS21*0.46</f>
        <v>27.6000000000000014</v>
      </c>
      <c r="BG21" s="98" t="n">
        <v>68540</v>
      </c>
      <c r="BH21" s="247" t="n">
        <v>1308</v>
      </c>
      <c r="BI21" s="460">
        <f>AU21+AT21+AS21+AR21</f>
        <v>107</v>
      </c>
      <c r="BJ21" s="117"/>
      <c r="BK21" s="119"/>
    </row>
    <row r="22" spans="1:63" s="70" customFormat="1">
      <c r="A22" s="9" t="s">
        <v>183</v>
      </c>
      <c r="B22" s="9" t="s">
        <v>28</v>
      </c>
      <c r="C22" s="116">
        <f>((34*112)-(E22*112)-(F22))/112</f>
        <v>4.04464285714286031</v>
      </c>
      <c r="D22" s="509" t="s">
        <v>184</v>
      </c>
      <c r="E22" s="59" t="n">
        <v>29</v>
      </c>
      <c r="F22" s="60">
        <f>75-44100+$D$1+96</f>
        <v>107</v>
      </c>
      <c r="G22" s="75" t="s">
        <v>159</v>
      </c>
      <c r="H22" s="115" t="n">
        <v>5</v>
      </c>
      <c r="I22" s="61" t="n">
        <v>7.59999999999999876</v>
      </c>
      <c r="J22" s="148">
        <f>LOG(I22+1)*4/3</f>
        <v>1.24599793499142009</v>
      </c>
      <c r="K22" s="89">
        <f>(H22)*(H22)*(I22)</f>
        <v>190</v>
      </c>
      <c r="L22" s="89">
        <f>(H22+1)*(H22+1)*I22</f>
        <v>273.600000000000023</v>
      </c>
      <c r="M22" s="83" t="n">
        <v>5.90000000000000036</v>
      </c>
      <c r="N22" s="145">
        <f>M22*10+19</f>
        <v>78</v>
      </c>
      <c r="O22" s="470" t="n">
        <v>43982</v>
      </c>
      <c r="P22" s="240">
        <f aca="1">IF((TODAY()-O22)&gt;335,1,((TODAY()-O22)^0.64)/(336^0.64))</f>
        <v>0.310366521471105994</v>
      </c>
      <c r="Q22" s="145" t="n">
        <v>6</v>
      </c>
      <c r="R22" s="161">
        <f>(Q22/7)^0.5</f>
        <v>0.925820099772552041</v>
      </c>
      <c r="S22" s="161">
        <f>IF(Q22=7,1,((Q22+0.99)/7)^0.5)</f>
        <v>0.999285459001294996</v>
      </c>
      <c r="T22" s="98" t="n">
        <v>91940</v>
      </c>
      <c r="U22" s="214">
        <f>T22-BG22</f>
        <v>-350</v>
      </c>
      <c r="V22" s="98" t="n">
        <v>22692</v>
      </c>
      <c r="W22" s="96">
        <f>T22/V22</f>
        <v>4.05164815794112965</v>
      </c>
      <c r="X22" s="147" t="n">
        <v>0</v>
      </c>
      <c r="Y22" s="148" t="n">
        <v>4</v>
      </c>
      <c r="Z22" s="147" t="n">
        <v>14</v>
      </c>
      <c r="AA22" s="148" t="n">
        <v>4</v>
      </c>
      <c r="AB22" s="147" t="n">
        <v>9</v>
      </c>
      <c r="AC22" s="148" t="n">
        <v>8</v>
      </c>
      <c r="AD22" s="147">
        <f>19+1/4</f>
        <v>19.25</v>
      </c>
      <c r="AE22" s="244" t="n">
        <v>1631</v>
      </c>
      <c r="AF22" s="456">
        <f>(Z22+P22+J22)*(Q22/7)^0.5</f>
        <v>14.4023948931803005</v>
      </c>
      <c r="AG22" s="456">
        <f>(Z22+P22+J22)*(IF(Q22=7,(Q22/7)^0.5,((Q22+1)/7)^0.5))</f>
        <v>15.5563644564625001</v>
      </c>
      <c r="AH22" s="96">
        <f>(((Y22+P22+J22)+(AB22+P22+J22)*2)/8)*(Q22/7)^0.5</f>
        <v>3.08634783551122993</v>
      </c>
      <c r="AI22" s="96">
        <f>(1.66*(AC22+J22+P22)+0.55*(AD22+J22+P22)-7.6)*(Q22/7)^0.5</f>
        <v>18.2451973000157999</v>
      </c>
      <c r="AJ22" s="96">
        <f>((AD22+J22+P22)*0.7+(AC22+J22+P22)*0.3)*(Q22/7)^0.5</f>
        <v>16.1383075802539011</v>
      </c>
      <c r="AK22" s="96">
        <f>(0.5*(AC22+P22+J22)+0.3*(AD22+P22+J22))/10</f>
        <v>1.10200915651700004</v>
      </c>
      <c r="AL22" s="96">
        <f>(0.4*(Y22+P22+J22)+0.3*(AD22+P22+J22))/10</f>
        <v>0.846445511952376073</v>
      </c>
      <c r="AM22" s="457">
        <f>(AD22+P22+(LOG(I22)*4/3))*(Q22/7)^0.5</f>
        <v>19.1966803883446993</v>
      </c>
      <c r="AN22" s="457">
        <f>(AD22+P22+(LOG(I22)*4/3))*(IF(Q22=7,(Q22/7)^0.5,((Q22+1)/7)^0.5))</f>
        <v>20.7347846445121995</v>
      </c>
      <c r="AO22" s="145" t="n">
        <v>4</v>
      </c>
      <c r="AP22" s="145" t="n">
        <v>4</v>
      </c>
      <c r="AQ22" s="161">
        <f>IF(AO22=4,IF(AP22=0,0.137+0.0697,0.137+0.02),IF(AO22=3,IF(AP22=0,0.0958+0.0697,0.0958+0.02),IF(AO22=2,IF(AP22=0,0.0415+0.0697,0.0415+0.02),IF(AO22=1,IF(AP22=0,0.0294+0.0697,0.0294+0.02),IF(AO22=0,IF(AP22=0,0.0063+0.0697,0.0063+0.02))))))</f>
        <v>0.157000000000000011</v>
      </c>
      <c r="AR22" s="245"/>
      <c r="AS22" s="245"/>
      <c r="AT22" s="245"/>
      <c r="AU22" s="245"/>
      <c r="AV22" s="248"/>
      <c r="AW22" s="248"/>
      <c r="AX22" s="248"/>
      <c r="AY22" s="248"/>
      <c r="AZ22" s="248"/>
      <c r="BA22" s="248"/>
      <c r="BB22" s="248"/>
      <c r="BC22" s="248"/>
      <c r="BD22" s="248"/>
      <c r="BE22" s="248"/>
      <c r="BF22" s="248"/>
      <c r="BG22" s="98" t="n">
        <v>92290</v>
      </c>
      <c r="BH22" s="247"/>
      <c r="BI22" s="460">
        <f>AU22+AT22+AS22+AR22</f>
        <v>0</v>
      </c>
      <c r="BJ22" s="117"/>
      <c r="BK22" s="119"/>
    </row>
    <row r="23" spans="1:63" s="0" customFormat="1">
      <c r="A23" s="9" t="s">
        <v>185</v>
      </c>
      <c r="B23" s="9" t="s">
        <v>21</v>
      </c>
      <c r="C23" s="116">
        <f>((34*112)-(E23*112)-(F23))/112</f>
        <v>-1.97321428571429003</v>
      </c>
      <c r="D23" s="509" t="s">
        <v>186</v>
      </c>
      <c r="E23" s="59" t="n">
        <v>35</v>
      </c>
      <c r="F23" s="60">
        <f>7-41471+$D$1-112-111-112+4-112-116-112-112-112-112-112-112-112-112-112-112-112-112-112-112-112-112-112</f>
        <v>109</v>
      </c>
      <c r="G23" s="75" t="s">
        <v>159</v>
      </c>
      <c r="H23" s="115" t="n">
        <v>2</v>
      </c>
      <c r="I23" s="61" t="n">
        <v>15</v>
      </c>
      <c r="J23" s="148">
        <f>LOG(I23+1)*4/3</f>
        <v>1.60549331020791008</v>
      </c>
      <c r="K23" s="89">
        <f>(H23)*(H23)*(I23)</f>
        <v>60</v>
      </c>
      <c r="L23" s="89">
        <f>(H23+1)*(H23+1)*I23</f>
        <v>135</v>
      </c>
      <c r="M23" s="83" t="n">
        <v>3.70000000000000018</v>
      </c>
      <c r="N23" s="145">
        <f>M23*10+19</f>
        <v>56</v>
      </c>
      <c r="O23" s="145" t="s">
        <v>149</v>
      </c>
      <c r="P23" s="240" t="n">
        <v>1.5</v>
      </c>
      <c r="Q23" s="145" t="n">
        <v>5</v>
      </c>
      <c r="R23" s="161">
        <f>(Q23/7)^0.5</f>
        <v>0.845154254728516108</v>
      </c>
      <c r="S23" s="161">
        <f>IF(Q23=7,1,((Q23+0.99)/7)^0.5)</f>
        <v>0.925048261289262008</v>
      </c>
      <c r="T23" s="98" t="n">
        <v>10550</v>
      </c>
      <c r="U23" s="214">
        <f>T23-BG23</f>
        <v>-1830</v>
      </c>
      <c r="V23" s="98" t="n">
        <v>4780</v>
      </c>
      <c r="W23" s="96">
        <f>T23/V23</f>
        <v>2.20711297071130019</v>
      </c>
      <c r="X23" s="147" t="n">
        <v>0</v>
      </c>
      <c r="Y23" s="148" t="n">
        <v>7.95000000000000018</v>
      </c>
      <c r="Z23" s="147" t="n">
        <v>11.9499999999999993</v>
      </c>
      <c r="AA23" s="148" t="n">
        <v>11.9499999999999993</v>
      </c>
      <c r="AB23" s="147" t="n">
        <v>9.94999999999999929</v>
      </c>
      <c r="AC23" s="148" t="n">
        <v>4.95000000000000018</v>
      </c>
      <c r="AD23" s="147" t="n">
        <v>18</v>
      </c>
      <c r="AE23" s="244" t="n">
        <v>1513</v>
      </c>
      <c r="AF23" s="456">
        <f>(Z23+P23+J23)*(Q23/7)^0.5</f>
        <v>12.7242142281588997</v>
      </c>
      <c r="AG23" s="456">
        <f>(Z23+P23+J23)*(IF(Q23=7,(Q23/7)^0.5,((Q23+1)/7)^0.5))</f>
        <v>13.9386783185816991</v>
      </c>
      <c r="AH23" s="96">
        <f>(((Y23+P23+J23)+(AB23+P23+J23)*2)/8)*(Q23/7)^0.5</f>
        <v>3.9264260808310798</v>
      </c>
      <c r="AI23" s="96">
        <f>(1.66*(AC23+J23+P23)+0.55*(AD23+J23+P23)-7.6)*(Q23/7)^0.5</f>
        <v>14.6888994509581998</v>
      </c>
      <c r="AJ23" s="96">
        <f>((AD23+J23+P23)*0.7+(AC23+J23+P23)*0.3)*(Q23/7)^0.5</f>
        <v>14.5286185620043007</v>
      </c>
      <c r="AK23" s="96">
        <f>(0.5*(AC23+P23+J23)+0.3*(AD23+P23+J23))/10</f>
        <v>1.03593946481663002</v>
      </c>
      <c r="AL23" s="96">
        <f>(0.4*(Y23+P23+J23)+0.3*(AD23+P23+J23))/10</f>
        <v>1.07538453171455006</v>
      </c>
      <c r="AM23" s="457">
        <f>(AD23+P23+(LOG(I23)*4/3))*(Q23/7)^0.5</f>
        <v>17.8058126759259991</v>
      </c>
      <c r="AN23" s="457">
        <f>(AD23+P23+(LOG(I23)*4/3))*(IF(Q23=7,(Q23/7)^0.5,((Q23+1)/7)^0.5))</f>
        <v>19.5052905146322004</v>
      </c>
      <c r="AO23" s="145" t="n">
        <v>3</v>
      </c>
      <c r="AP23" s="145" t="n">
        <v>2</v>
      </c>
      <c r="AQ23" s="161">
        <f>IF(AO23=4,IF(AP23=0,0.137+0.0697,0.137+0.02),IF(AO23=3,IF(AP23=0,0.0958+0.0697,0.0958+0.02),IF(AO23=2,IF(AP23=0,0.0415+0.0697,0.0415+0.02),IF(AO23=1,IF(AP23=0,0.0294+0.0697,0.0294+0.02),IF(AO23=0,IF(AP23=0,0.0063+0.0697,0.0063+0.02))))))</f>
        <v>0.115799999999999992</v>
      </c>
      <c r="AR23" s="245"/>
      <c r="AS23" s="245"/>
      <c r="AT23" s="245"/>
      <c r="AU23" s="245"/>
      <c r="AV23" s="161"/>
      <c r="AW23" s="161"/>
      <c r="AX23" s="161"/>
      <c r="AY23" s="161"/>
      <c r="AZ23" s="161"/>
      <c r="BA23" s="161"/>
      <c r="BB23" s="161"/>
      <c r="BC23" s="161"/>
      <c r="BD23" s="161"/>
      <c r="BE23" s="161"/>
      <c r="BF23" s="161"/>
      <c r="BG23" s="98" t="n">
        <v>12380</v>
      </c>
      <c r="BH23" s="247"/>
      <c r="BJ23" s="117"/>
      <c r="BK23" s="119"/>
    </row>
    <row r="24" spans="1:63" s="4" customFormat="1">
      <c r="A24" s="9" t="s">
        <v>187</v>
      </c>
      <c r="B24" s="9" t="s">
        <v>21</v>
      </c>
      <c r="C24" s="116">
        <f>((34*112)-(E24*112)-(F24))/112</f>
        <v>-1.58035714285713986</v>
      </c>
      <c r="D24" s="509" t="s">
        <v>188</v>
      </c>
      <c r="E24" s="59" t="n">
        <v>35</v>
      </c>
      <c r="F24" s="60">
        <f>7-41471+$D$1-112-111-43-112-112-1-112-112-112-112-112-112-112-112-112-112-112-112-112-112-112-112-112-112</f>
        <v>65</v>
      </c>
      <c r="G24" s="75"/>
      <c r="H24" s="242" t="n">
        <v>5</v>
      </c>
      <c r="I24" s="61" t="n">
        <v>6.29999999999999982</v>
      </c>
      <c r="J24" s="148">
        <f>LOG(I24+1)*4/3</f>
        <v>1.15109714682726993</v>
      </c>
      <c r="K24" s="89">
        <f>(H24)*(H24)*(I24)</f>
        <v>157.5</v>
      </c>
      <c r="L24" s="89">
        <f>(H24+1)*(H24+1)*I24</f>
        <v>226.800000000000011</v>
      </c>
      <c r="M24" s="83" t="n">
        <v>3.39999999999999991</v>
      </c>
      <c r="N24" s="145">
        <f>M24*10+19</f>
        <v>53</v>
      </c>
      <c r="O24" s="145" t="s">
        <v>149</v>
      </c>
      <c r="P24" s="240" t="n">
        <v>1.5</v>
      </c>
      <c r="Q24" s="145" t="n">
        <v>3</v>
      </c>
      <c r="R24" s="161">
        <f>(Q24/7)^0.5</f>
        <v>0.65465367070797793</v>
      </c>
      <c r="S24" s="161">
        <f>IF(Q24=7,1,((Q24+0.99)/7)^0.5)</f>
        <v>0.754983443527074982</v>
      </c>
      <c r="T24" s="98" t="n">
        <v>860</v>
      </c>
      <c r="U24" s="214">
        <f>T24-BG24</f>
        <v>-130</v>
      </c>
      <c r="V24" s="98" t="n">
        <v>720</v>
      </c>
      <c r="W24" s="96">
        <f>T24/V24</f>
        <v>1.19444444444443999</v>
      </c>
      <c r="X24" s="147" t="n">
        <v>0</v>
      </c>
      <c r="Y24" s="148" t="n">
        <v>3.95000000000000018</v>
      </c>
      <c r="Z24" s="147" t="n">
        <v>5.95000000000000018</v>
      </c>
      <c r="AA24" s="148" t="n">
        <v>4.95000000000000018</v>
      </c>
      <c r="AB24" s="147" t="n">
        <v>9.94999999999999929</v>
      </c>
      <c r="AC24" s="148" t="n">
        <v>6.95000000000000018</v>
      </c>
      <c r="AD24" s="147" t="n">
        <v>15</v>
      </c>
      <c r="AE24" s="244" t="n">
        <v>807</v>
      </c>
      <c r="AF24" s="456">
        <f>(Z24+P24+J24)*(Q24/7)^0.5</f>
        <v>5.63073981928639</v>
      </c>
      <c r="AG24" s="456">
        <f>(Z24+P24+J24)*(IF(Q24=7,(Q24/7)^0.5,((Q24+1)/7)^0.5))</f>
        <v>6.50181830080348</v>
      </c>
      <c r="AH24" s="96">
        <f>(((Y24+P24+J24)+(AB24+P24+J24)*2)/8)*(Q24/7)^0.5</f>
        <v>2.60251768526338978</v>
      </c>
      <c r="AI24" s="96">
        <f>(1.66*(AC24+J24+P24)+0.55*(AD24+J24+P24)-7.6)*(Q24/7)^0.5</f>
        <v>11.8138308425664995</v>
      </c>
      <c r="AJ24" s="96">
        <f>((AD24+J24+P24)*0.7+(AC24+J24+P24)*0.3)*(Q24/7)^0.5</f>
        <v>9.97436692443383954</v>
      </c>
      <c r="AK24" s="96">
        <f>(0.5*(AC24+P24+J24)+0.3*(AD24+P24+J24))/10</f>
        <v>1.00958777174618008</v>
      </c>
      <c r="AL24" s="96">
        <f>(0.4*(Y24+P24+J24)+0.3*(AD24+P24+J24))/10</f>
        <v>0.793576800277909999</v>
      </c>
      <c r="AM24" s="457">
        <f>(AD24+P24+(LOG(I24)*4/3))*(Q24/7)^0.5</f>
        <v>11.4995071998090008</v>
      </c>
      <c r="AN24" s="457">
        <f>(AD24+P24+(LOG(I24)*4/3))*(IF(Q24=7,(Q24/7)^0.5,((Q24+1)/7)^0.5))</f>
        <v>13.2784871547154992</v>
      </c>
      <c r="AO24" s="145" t="n">
        <v>2</v>
      </c>
      <c r="AP24" s="145" t="n">
        <v>1</v>
      </c>
      <c r="AQ24" s="161">
        <f>IF(AO24=4,IF(AP24=0,0.137+0.0697,0.137+0.02),IF(AO24=3,IF(AP24=0,0.0958+0.0697,0.0958+0.02),IF(AO24=2,IF(AP24=0,0.0415+0.0697,0.0415+0.02),IF(AO24=1,IF(AP24=0,0.0294+0.0697,0.0294+0.02),IF(AO24=0,IF(AP24=0,0.0063+0.0697,0.0063+0.02))))))</f>
        <v>0.0615000000000000036</v>
      </c>
      <c r="AR24" s="245"/>
      <c r="AS24" s="245"/>
      <c r="AT24" s="245"/>
      <c r="AU24" s="245"/>
      <c r="AV24" s="161"/>
      <c r="AW24" s="161"/>
      <c r="AX24" s="161"/>
      <c r="AY24" s="161"/>
      <c r="AZ24" s="161"/>
      <c r="BA24" s="161"/>
      <c r="BB24" s="161"/>
      <c r="BC24" s="161"/>
      <c r="BD24" s="161"/>
      <c r="BE24" s="161"/>
      <c r="BF24" s="161"/>
      <c r="BG24" s="98" t="n">
        <v>990</v>
      </c>
      <c r="BH24" s="247"/>
      <c r="BJ24" s="117"/>
      <c r="BK24" s="119"/>
    </row>
    <row r="25" spans="7:40">
      <c r="G25" s="8"/>
      <c r="H25"/>
      <c r="I25" s="62"/>
      <c r="J25" s="62"/>
      <c r="K25"/>
      <c r="T25" s="69">
        <f>SUM(T4:T24)</f>
        <v>775330</v>
      </c>
      <c r="U25" s="69">
        <f>SUM(U4:U24)</f>
        <v>-4130</v>
      </c>
      <c r="V25" s="69">
        <f>SUM(V4:V24)</f>
        <v>225616</v>
      </c>
      <c r="W25" s="95">
        <f>T25/V25</f>
        <v>3.43650273030281994</v>
      </c>
      <c r="X25"/>
      <c r="AD25" s="62"/>
      <c r="AE25" s="69"/>
      <c r="AH25" s="459"/>
      <c r="AI25" s="459"/>
      <c r="AJ25" s="459"/>
      <c r="AK25" s="459"/>
      <c r="AL25" s="459"/>
      <c r="AM25" s="459"/>
      <c r="AN25" s="459"/>
    </row>
    <row r="26" spans="20:40">
      <c r="T26" s="94"/>
      <c r="U26" s="94"/>
      <c r="V26" s="94"/>
      <c r="W26" s="80"/>
      <c r="AE26" s="80"/>
      <c r="AH26" s="455"/>
      <c r="AI26" s="455"/>
      <c r="AJ26" s="455"/>
      <c r="AK26" s="455"/>
      <c r="AL26" s="455"/>
      <c r="AM26" s="455"/>
      <c r="AN26" s="455"/>
    </row>
    <row r="27" spans="9:25">
      <c r="I27" s="76"/>
      <c r="Y27" s="52"/>
    </row>
    <row r="28" spans="4:31">
      <c r="D28" s="201"/>
      <c r="I28" s="76"/>
      <c r="P28" s="53"/>
      <c r="Y28" s="52"/>
      <c r="AE28" s="234"/>
    </row>
    <row r="29" spans="4:25">
      <c r="D29" s="201"/>
      <c r="I29" s="76"/>
      <c r="P29" s="53"/>
      <c r="V29" s="238"/>
      <c r="Y29" s="52"/>
    </row>
    <row r="30" spans="4:25">
      <c r="D30" s="62"/>
      <c r="I30" s="76"/>
      <c r="V30" s="238"/>
      <c r="Y30" s="52"/>
    </row>
    <row r="31" spans="9:25">
      <c r="I31" s="76"/>
      <c r="Y31" s="52"/>
    </row>
    <row r="32" spans="9:25">
      <c r="I32" s="76"/>
      <c r="V32" s="238"/>
      <c r="Y32" s="52"/>
    </row>
    <row r="33" spans="9:25">
      <c r="I33" s="76"/>
      <c r="Y33" s="52"/>
    </row>
    <row r="34" spans="9:25">
      <c r="I34" s="76"/>
      <c r="Y34" s="52"/>
    </row>
    <row r="35" spans="3:31">
      <c r="C35"/>
      <c r="D35"/>
      <c r="G35"/>
      <c r="H35"/>
      <c r="I35" s="76"/>
      <c r="K35"/>
      <c r="M35"/>
      <c r="N35"/>
      <c r="O35"/>
      <c r="P35"/>
      <c r="Q35"/>
      <c r="R35"/>
      <c r="S35"/>
      <c r="V35"/>
      <c r="W35"/>
      <c r="X35"/>
      <c r="AE35"/>
    </row>
    <row r="36" spans="3:31">
      <c r="C36"/>
      <c r="D36"/>
      <c r="G36"/>
      <c r="H36"/>
      <c r="I36" s="76"/>
      <c r="K36"/>
      <c r="M36"/>
      <c r="N36"/>
      <c r="O36"/>
      <c r="P36"/>
      <c r="Q36"/>
      <c r="R36"/>
      <c r="S36"/>
      <c r="V36"/>
      <c r="W36"/>
      <c r="X36"/>
      <c r="AE36"/>
    </row>
    <row r="37" spans="3:31">
      <c r="C37"/>
      <c r="D37"/>
      <c r="G37"/>
      <c r="H37"/>
      <c r="I37" s="76"/>
      <c r="K37"/>
      <c r="M37"/>
      <c r="N37"/>
      <c r="O37"/>
      <c r="P37"/>
      <c r="Q37"/>
      <c r="R37"/>
      <c r="S37"/>
      <c r="V37"/>
      <c r="W37"/>
      <c r="X37"/>
      <c r="AE37"/>
    </row>
    <row r="38" spans="3:31">
      <c r="C38"/>
      <c r="D38"/>
      <c r="G38"/>
      <c r="H38"/>
      <c r="I38" s="76"/>
      <c r="K38"/>
      <c r="M38"/>
      <c r="N38"/>
      <c r="O38"/>
      <c r="P38"/>
      <c r="Q38"/>
      <c r="R38"/>
      <c r="S38"/>
      <c r="V38"/>
      <c r="W38"/>
      <c r="X38"/>
      <c r="AE38"/>
    </row>
  </sheetData>
  <mergeCells count="1">
    <mergeCell ref="E1:G1"/>
  </mergeCells>
  <conditionalFormatting sqref="BG4:BG24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{05AD39BF-F238-3D31-7013-574EFD3AC65C}</x14:id>
        </ext>
      </extLst>
    </cfRule>
  </conditionalFormatting>
  <conditionalFormatting sqref="BI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11:AU11">
    <cfRule type="colorScale" priority="3">
      <colorScale>
        <cfvo type="min"/>
        <cfvo type="max"/>
        <color rgb="FFFCFCFF"/>
        <color rgb="FFF8696B"/>
      </colorScale>
    </cfRule>
  </conditionalFormatting>
  <conditionalFormatting sqref="AV11:BF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5:AU5">
    <cfRule type="colorScale" priority="5">
      <colorScale>
        <cfvo type="min"/>
        <cfvo type="max"/>
        <color rgb="FFFCFCFF"/>
        <color rgb="FFF8696B"/>
      </colorScale>
    </cfRule>
  </conditionalFormatting>
  <conditionalFormatting sqref="AV5:BF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4:AQ24">
    <cfRule type="cellIs" dxfId="0" priority="7" operator="lessThan">
      <formula>0.07</formula>
    </cfRule>
  </conditionalFormatting>
  <conditionalFormatting sqref="AQ4:AQ24">
    <cfRule type="cellIs" dxfId="1" priority="8" operator="greaterThan">
      <formula>0.1</formula>
    </cfRule>
  </conditionalFormatting>
  <conditionalFormatting sqref="R4:S24">
    <cfRule type="cellIs" dxfId="2" priority="9" operator="greaterThan">
      <formula>0.95</formula>
    </cfRule>
  </conditionalFormatting>
  <conditionalFormatting sqref="R4:S24">
    <cfRule type="cellIs" dxfId="3" priority="10" operator="lessThan">
      <formula>0.85</formula>
    </cfRule>
  </conditionalFormatting>
  <conditionalFormatting sqref="Q4:Q24">
    <cfRule type="cellIs" dxfId="4" priority="11" operator="greaterThan">
      <formula>6</formula>
    </cfRule>
  </conditionalFormatting>
  <conditionalFormatting sqref="Q4:Q24">
    <cfRule type="cellIs" dxfId="5" priority="12" operator="lessThan">
      <formula>5</formula>
    </cfRule>
  </conditionalFormatting>
  <conditionalFormatting sqref="V4:V24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{4F1B690C-AB7C-DE85-A08A-20291FC83A16}</x14:id>
        </ext>
      </extLst>
    </cfRule>
  </conditionalFormatting>
  <conditionalFormatting sqref="W4:W24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{2F9E24DA-097C-C0D2-93E5-B72A0FCAC00F}</x14:id>
        </ext>
      </extLst>
    </cfRule>
  </conditionalFormatting>
  <conditionalFormatting sqref="T4:T24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{59C6C458-C935-2462-B8A2-D31420479365}</x14:id>
        </ext>
      </extLst>
    </cfRule>
  </conditionalFormatting>
  <conditionalFormatting sqref="AE4:AE24">
    <cfRule type="dataBar" priority="1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{491D1A2A-7AD1-C625-9EDB-4256A129C011}</x14:id>
        </ext>
      </extLst>
    </cfRule>
  </conditionalFormatting>
  <conditionalFormatting sqref="C4:C2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H24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I4:AI2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:AJ24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4:AL2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:AN24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X4:AD24">
    <cfRule type="cellIs" dxfId="6" priority="24" operator="greaterThan">
      <formula>10</formula>
    </cfRule>
  </conditionalFormatting>
  <conditionalFormatting sqref="X4:AD24">
    <cfRule type="colorScale" priority="25">
      <colorScale>
        <cfvo type="min"/>
        <cfvo type="max"/>
        <color rgb="FFFCFCFF"/>
        <color rgb="FF63BE7B"/>
      </colorScale>
    </cfRule>
  </conditionalFormatting>
  <conditionalFormatting sqref="I4:I2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4:BH24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{24C1FF3C-27F5-EB2C-4351-47183E650162}</x14:id>
        </ext>
      </extLst>
    </cfRule>
  </conditionalFormatting>
  <conditionalFormatting sqref="AR4:AU4 AR6:AU10 AR12:AU24">
    <cfRule type="colorScale" priority="28">
      <colorScale>
        <cfvo type="min"/>
        <cfvo type="max"/>
        <color rgb="FFFCFCFF"/>
        <color rgb="FFF8696B"/>
      </colorScale>
    </cfRule>
  </conditionalFormatting>
  <conditionalFormatting sqref="AV4:BF4 AV6:BF10 AV12:BF2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4:BH24">
    <cfRule type="dataBar" priority="3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{043B692E-8B02-5776-5FA6-5332729E4B6C}</x14:id>
        </ext>
      </extLst>
    </cfRule>
  </conditionalFormatting>
  <conditionalFormatting sqref="U4:U24">
    <cfRule type="dataBar" priority="3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{66A49274-0F6B-49EE-F970-7B3B0C9A8F2A}</x14:id>
        </ext>
      </extLst>
    </cfRule>
  </conditionalFormatting>
  <conditionalFormatting sqref="P4:P24">
    <cfRule type="colorScale" priority="32">
      <colorScale>
        <cfvo type="min"/>
        <cfvo type="max"/>
        <color rgb="FFFFEF9C"/>
        <color rgb="FF63BE7B"/>
      </colorScale>
    </cfRule>
  </conditionalFormatting>
  <conditionalFormatting sqref="N4:N24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0 BI12:BI21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>
    <extLst>
      <ext uri="smNativeData">
        <pm:pageFlags xmlns:pm="smNativeData" id="1595601780" printRowHead="0" printColHead="0" printHeadLine="0" printFootLine="0" autoHeightHeader="0" autoHeightFooter="0" fitToPageBoth="1"/>
      </ext>
    </extLst>
  </printOptions>
  <pageMargins left="0.700000" right="0.700000" top="0.750000" bottom="0.750000" header="0.300000" footer="0.300000"/>
  <pageSetup paperSize="9" scale="53" fitToWidth="0" fitToHeight="1" orientation="landscape"/>
  <headerFooter>
    <extLst>
      <ext uri="smNativeData">
        <pm:header xmlns:pm="smNativeData" id="1595601780" l="56" r="56" t="56" b="56" borderId="0" fillId="0" vertical="0"/>
        <pm:footer xmlns:pm="smNativeData" id="1595601780" l="56" r="56" t="56" b="56" borderId="0" fillId="0" vertical="2"/>
      </ext>
    </extLst>
  </headerFooter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AD39BF-F238-3D31-7013-574EFD3AC65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BG4:BG24</xm:sqref>
        </x14:conditionalFormatting>
        <x14:conditionalFormatting xmlns:xm="http://schemas.microsoft.com/office/excel/2006/main">
          <x14:cfRule type="dataBar" id="{4F1B690C-AB7C-DE85-A08A-20291FC83A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V4:V24</xm:sqref>
        </x14:conditionalFormatting>
        <x14:conditionalFormatting xmlns:xm="http://schemas.microsoft.com/office/excel/2006/main">
          <x14:cfRule type="dataBar" id="{2F9E24DA-097C-C0D2-93E5-B72A0FCAC00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W4:W24</xm:sqref>
        </x14:conditionalFormatting>
        <x14:conditionalFormatting xmlns:xm="http://schemas.microsoft.com/office/excel/2006/main">
          <x14:cfRule type="dataBar" id="{59C6C458-C935-2462-B8A2-D3142047936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T4:T24</xm:sqref>
        </x14:conditionalFormatting>
        <x14:conditionalFormatting xmlns:xm="http://schemas.microsoft.com/office/excel/2006/main">
          <x14:cfRule type="dataBar" id="{491D1A2A-7AD1-C625-9EDB-4256A129C0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AE4:AE24</xm:sqref>
        </x14:conditionalFormatting>
        <x14:conditionalFormatting xmlns:xm="http://schemas.microsoft.com/office/excel/2006/main">
          <x14:cfRule type="dataBar" id="{24C1FF3C-27F5-EB2C-4351-47183E65016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BH4:BH24</xm:sqref>
        </x14:conditionalFormatting>
        <x14:conditionalFormatting xmlns:xm="http://schemas.microsoft.com/office/excel/2006/main">
          <x14:cfRule type="dataBar" id="{043B692E-8B02-5776-5FA6-5332729E4B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BH4:BH24</xm:sqref>
        </x14:conditionalFormatting>
        <x14:conditionalFormatting xmlns:xm="http://schemas.microsoft.com/office/excel/2006/main">
          <x14:cfRule type="dataBar" id="{66A49274-0F6B-49EE-F970-7B3B0C9A8F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U4:U24</xm:sqref>
        </x14:conditionalFormatting>
      </x14:conditionalFormattings>
    </ext>
    <ext uri="smNativeData">
      <pm:sheetPrefs xmlns:pm="smNativeData" day="1595601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92D050"/>
  </sheetPr>
  <dimension ref="A1:AT110"/>
  <sheetViews>
    <sheetView view="normal" workbookViewId="0">
      <selection activeCell="N13" sqref="N13"/>
    </sheetView>
  </sheetViews>
  <sheetFormatPr baseColWidth="10" defaultColWidth="10.714286" defaultRowHeight="15.40"/>
  <cols>
    <col min="1" max="1" width="22.285714" customWidth="1"/>
    <col min="2" max="2" width="5.285714" customWidth="1"/>
    <col min="3" max="3" width="4.714286" customWidth="1"/>
    <col min="4" max="5" width="4.571429" customWidth="1"/>
    <col min="6" max="6" width="13.857143" customWidth="1"/>
    <col min="7" max="7" width="5.571429" customWidth="1"/>
    <col min="8" max="8" width="5.857143" customWidth="1"/>
    <col min="9" max="9" width="4.285714" customWidth="1"/>
    <col min="10" max="10" width="5.857143" customWidth="1"/>
    <col min="11" max="11" width="4.571429" customWidth="1"/>
    <col min="12" max="12" width="5.857143" customWidth="1"/>
    <col min="13" max="13" width="4.142857" customWidth="1"/>
    <col min="14" max="14" width="5.857143" customWidth="1"/>
    <col min="15" max="15" width="4.428571" customWidth="1"/>
    <col min="16" max="16" width="5.857143" customWidth="1"/>
    <col min="17" max="17" width="5.142857" customWidth="1"/>
    <col min="18" max="18" width="5.857143" customWidth="1"/>
    <col min="19" max="19" width="3.857143" customWidth="1"/>
    <col min="20" max="20" width="5.000000" customWidth="1"/>
    <col min="21" max="21" width="5.142857" customWidth="1"/>
    <col min="22" max="22" width="5.857143" customWidth="1"/>
    <col min="23" max="23" width="4.571429" customWidth="1"/>
    <col min="24" max="24" width="4.285714" customWidth="1"/>
    <col min="25" max="25" width="3.285714" customWidth="1"/>
    <col min="26" max="26" width="21.714286" customWidth="1"/>
    <col min="27" max="27" width="6.857143" customWidth="1"/>
    <col min="28" max="28" width="5.285714" customWidth="1"/>
    <col min="29" max="29" width="17.000000" customWidth="1"/>
    <col min="30" max="30" width="5.285714" customWidth="1"/>
    <col min="31" max="31" width="5.714286" customWidth="1"/>
    <col min="32" max="32" width="5.142857" customWidth="1"/>
    <col min="33" max="33" width="6.571429" customWidth="1"/>
    <col min="34" max="34" width="5.857143" customWidth="1"/>
    <col min="35" max="35" width="5.000000" customWidth="1"/>
    <col min="36" max="36" width="7.571429" customWidth="1"/>
    <col min="37" max="37" width="5.142857" customWidth="1"/>
    <col min="38" max="38" width="7.428571" customWidth="1"/>
    <col min="39" max="39" width="5.142857" customWidth="1"/>
    <col min="40" max="40" width="7.142857" customWidth="1"/>
    <col min="41" max="41" width="7.571429" customWidth="1"/>
    <col min="42" max="42" width="8.142857" customWidth="1"/>
    <col min="43" max="43" width="5.142857" customWidth="1"/>
    <col min="44" max="44" width="7.571429" customWidth="1"/>
    <col min="45" max="45" width="5.142857" customWidth="1"/>
    <col min="46" max="46" width="6.000000" customWidth="1"/>
  </cols>
  <sheetData>
    <row r="1" spans="1:46">
      <c r="A1" s="276" t="s">
        <v>189</v>
      </c>
      <c r="B1" s="276"/>
      <c r="C1" s="276"/>
      <c r="D1" s="276"/>
      <c r="E1" s="276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277"/>
      <c r="R1" s="277"/>
      <c r="S1" s="277"/>
      <c r="T1" s="277"/>
      <c r="U1" s="276"/>
      <c r="V1" s="276"/>
      <c r="W1" s="276"/>
      <c r="X1" s="276"/>
      <c r="Y1" s="276"/>
      <c r="Z1" s="278"/>
      <c r="AA1" s="279"/>
      <c r="AC1" s="475" t="s">
        <v>190</v>
      </c>
      <c r="AD1" s="475"/>
      <c r="AE1" s="475"/>
      <c r="AF1" s="47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</row>
    <row r="2" spans="1:27">
      <c r="A2" s="280" t="s">
        <v>87</v>
      </c>
      <c r="B2" s="280" t="s">
        <v>191</v>
      </c>
      <c r="C2" s="280" t="s">
        <v>89</v>
      </c>
      <c r="D2" s="281" t="s">
        <v>192</v>
      </c>
      <c r="E2" s="280" t="s">
        <v>193</v>
      </c>
      <c r="F2" s="280" t="s">
        <v>194</v>
      </c>
      <c r="G2" s="280" t="s">
        <v>14</v>
      </c>
      <c r="H2" s="280" t="s">
        <v>195</v>
      </c>
      <c r="I2" s="282" t="s">
        <v>37</v>
      </c>
      <c r="J2" s="282" t="s">
        <v>195</v>
      </c>
      <c r="K2" s="280" t="s">
        <v>196</v>
      </c>
      <c r="L2" s="280" t="s">
        <v>195</v>
      </c>
      <c r="M2" s="282" t="s">
        <v>197</v>
      </c>
      <c r="N2" s="282" t="s">
        <v>195</v>
      </c>
      <c r="O2" s="280" t="s">
        <v>198</v>
      </c>
      <c r="P2" s="280" t="s">
        <v>195</v>
      </c>
      <c r="Q2" s="282" t="s">
        <v>199</v>
      </c>
      <c r="R2" s="282" t="s">
        <v>195</v>
      </c>
      <c r="S2" s="280" t="s">
        <v>200</v>
      </c>
      <c r="T2" s="280" t="s">
        <v>195</v>
      </c>
      <c r="U2" s="281" t="s">
        <v>201</v>
      </c>
      <c r="V2" s="281" t="s">
        <v>91</v>
      </c>
      <c r="W2" s="281" t="s">
        <v>182</v>
      </c>
      <c r="X2" s="281" t="s">
        <v>202</v>
      </c>
      <c r="Y2" s="281" t="s">
        <v>200</v>
      </c>
      <c r="Z2" s="283" t="s">
        <v>203</v>
      </c>
      <c r="AA2" s="70"/>
    </row>
    <row r="3" spans="1:46">
      <c r="A3" s="284" t="s">
        <v>204</v>
      </c>
      <c r="B3" s="284"/>
      <c r="C3" s="284"/>
      <c r="D3" s="284"/>
      <c r="E3" s="284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4"/>
      <c r="V3" s="284"/>
      <c r="W3" s="284"/>
      <c r="X3" s="284"/>
      <c r="Y3" s="284"/>
      <c r="Z3" s="286"/>
      <c r="AA3" s="279"/>
      <c r="AC3" s="476" t="s">
        <v>205</v>
      </c>
      <c r="AD3" s="476"/>
      <c r="AE3" s="476"/>
      <c r="AF3" s="476"/>
      <c r="AG3" s="477" t="s">
        <v>206</v>
      </c>
      <c r="AH3" s="477"/>
      <c r="AI3" s="477"/>
      <c r="AJ3" s="477"/>
      <c r="AK3" s="477"/>
      <c r="AL3" s="477"/>
      <c r="AM3" s="477"/>
      <c r="AN3" s="477"/>
      <c r="AO3" s="477"/>
      <c r="AP3" s="477"/>
      <c r="AQ3" s="477"/>
      <c r="AR3" s="477"/>
      <c r="AS3" s="477"/>
      <c r="AT3" s="477"/>
    </row>
    <row r="4" spans="1:46">
      <c r="A4" s="287" t="s">
        <v>205</v>
      </c>
      <c r="B4" s="287"/>
      <c r="C4" s="287"/>
      <c r="D4" s="287"/>
      <c r="E4" s="287"/>
      <c r="F4" s="287"/>
      <c r="G4" s="287" t="s">
        <v>206</v>
      </c>
      <c r="H4" s="287"/>
      <c r="I4" s="287"/>
      <c r="J4" s="287"/>
      <c r="K4" s="287"/>
      <c r="L4" s="287"/>
      <c r="M4" s="287"/>
      <c r="N4" s="287"/>
      <c r="O4" s="287"/>
      <c r="P4" s="287"/>
      <c r="Q4" s="287"/>
      <c r="R4" s="287"/>
      <c r="S4" s="287"/>
      <c r="T4" s="287"/>
      <c r="U4" s="288"/>
      <c r="V4" s="288"/>
      <c r="W4" s="288"/>
      <c r="X4" s="288"/>
      <c r="Y4" s="288"/>
      <c r="Z4" s="289"/>
      <c r="AA4" s="290"/>
      <c r="AC4" s="307" t="s">
        <v>87</v>
      </c>
      <c r="AD4" s="307" t="s">
        <v>191</v>
      </c>
      <c r="AE4" s="307" t="s">
        <v>89</v>
      </c>
      <c r="AF4" s="319" t="s">
        <v>192</v>
      </c>
      <c r="AG4" s="307" t="s">
        <v>14</v>
      </c>
      <c r="AH4" s="307" t="s">
        <v>207</v>
      </c>
      <c r="AI4" s="307" t="s">
        <v>37</v>
      </c>
      <c r="AJ4" s="307" t="s">
        <v>208</v>
      </c>
      <c r="AK4" s="307" t="s">
        <v>196</v>
      </c>
      <c r="AL4" s="307" t="s">
        <v>209</v>
      </c>
      <c r="AM4" s="307" t="s">
        <v>197</v>
      </c>
      <c r="AN4" s="307" t="s">
        <v>210</v>
      </c>
      <c r="AO4" s="307" t="s">
        <v>199</v>
      </c>
      <c r="AP4" s="307" t="s">
        <v>211</v>
      </c>
      <c r="AQ4" s="307" t="s">
        <v>198</v>
      </c>
      <c r="AR4" s="307" t="s">
        <v>212</v>
      </c>
      <c r="AS4" s="307" t="s">
        <v>200</v>
      </c>
      <c r="AT4" s="307" t="s">
        <v>213</v>
      </c>
    </row>
    <row r="5" spans="1:46">
      <c r="A5" s="287" t="s">
        <v>87</v>
      </c>
      <c r="B5" s="287" t="s">
        <v>191</v>
      </c>
      <c r="C5" s="287" t="s">
        <v>89</v>
      </c>
      <c r="D5" s="288" t="s">
        <v>192</v>
      </c>
      <c r="E5" s="287" t="s">
        <v>193</v>
      </c>
      <c r="F5" s="287" t="s">
        <v>194</v>
      </c>
      <c r="G5" s="287" t="s">
        <v>14</v>
      </c>
      <c r="H5" s="287" t="s">
        <v>195</v>
      </c>
      <c r="I5" s="291" t="s">
        <v>37</v>
      </c>
      <c r="J5" s="291" t="s">
        <v>195</v>
      </c>
      <c r="K5" s="287" t="s">
        <v>196</v>
      </c>
      <c r="L5" s="287" t="s">
        <v>195</v>
      </c>
      <c r="M5" s="291" t="s">
        <v>197</v>
      </c>
      <c r="N5" s="291" t="s">
        <v>195</v>
      </c>
      <c r="O5" s="287" t="s">
        <v>198</v>
      </c>
      <c r="P5" s="287" t="s">
        <v>195</v>
      </c>
      <c r="Q5" s="291" t="s">
        <v>199</v>
      </c>
      <c r="R5" s="291" t="s">
        <v>195</v>
      </c>
      <c r="S5" s="287" t="s">
        <v>200</v>
      </c>
      <c r="T5" s="287" t="s">
        <v>195</v>
      </c>
      <c r="U5" s="288" t="s">
        <v>201</v>
      </c>
      <c r="V5" s="288" t="s">
        <v>91</v>
      </c>
      <c r="W5" s="288" t="s">
        <v>182</v>
      </c>
      <c r="X5" s="288" t="s">
        <v>202</v>
      </c>
      <c r="Y5" s="288" t="s">
        <v>200</v>
      </c>
      <c r="Z5" s="289" t="s">
        <v>203</v>
      </c>
      <c r="AA5" s="70"/>
      <c r="AC5" s="345" t="s">
        <v>214</v>
      </c>
      <c r="AD5" s="4" t="n">
        <v>17</v>
      </c>
      <c r="AE5" s="292" t="n">
        <v>1798</v>
      </c>
      <c r="AF5" s="77" t="s">
        <v>159</v>
      </c>
      <c r="AG5" s="320"/>
      <c r="AH5" s="320"/>
      <c r="AI5" s="321" t="n">
        <v>3</v>
      </c>
      <c r="AJ5" s="321" t="n">
        <v>3.99000000000000021</v>
      </c>
      <c r="AK5" s="321" t="n">
        <v>2</v>
      </c>
      <c r="AL5" s="321" t="n">
        <v>2.99000000000000021</v>
      </c>
      <c r="AM5" s="320"/>
      <c r="AN5" s="322" t="n">
        <v>3.99000000000000021</v>
      </c>
      <c r="AO5" s="320"/>
      <c r="AP5" s="322" t="n">
        <v>3.99000000000000021</v>
      </c>
      <c r="AQ5" s="321" t="n">
        <v>2</v>
      </c>
      <c r="AR5" s="321" t="n">
        <v>2.99000000000000021</v>
      </c>
      <c r="AS5" s="320"/>
      <c r="AT5" s="320"/>
    </row>
    <row r="6" spans="1:46">
      <c r="A6" s="317" t="s">
        <v>215</v>
      </c>
      <c r="B6" s="4" t="n">
        <v>16</v>
      </c>
      <c r="C6" s="292">
        <f>58+$A$33-$A$32-112</f>
        <v>338</v>
      </c>
      <c r="D6" s="77" t="s">
        <v>163</v>
      </c>
      <c r="E6" s="301">
        <f>F6-$A$33</f>
        <v>-226</v>
      </c>
      <c r="F6" s="293" t="n">
        <v>43810</v>
      </c>
      <c r="G6" s="5"/>
      <c r="H6" s="299" t="n">
        <v>0.990000000000000036</v>
      </c>
      <c r="I6" s="295" t="n">
        <v>1</v>
      </c>
      <c r="J6" s="302" t="n">
        <v>1.99000000000000004</v>
      </c>
      <c r="K6" s="303" t="n">
        <v>5</v>
      </c>
      <c r="L6" s="467" t="n">
        <v>5.99000000000000021</v>
      </c>
      <c r="M6" s="296" t="n">
        <v>3</v>
      </c>
      <c r="N6" s="299" t="n">
        <v>4.99000000000000021</v>
      </c>
      <c r="O6" s="295" t="n">
        <v>2</v>
      </c>
      <c r="P6" s="302" t="n">
        <v>2.99000000000000021</v>
      </c>
      <c r="Q6" s="303" t="n">
        <v>4</v>
      </c>
      <c r="R6" s="304" t="n">
        <v>4.99000000000000021</v>
      </c>
      <c r="S6" s="5"/>
      <c r="T6" s="5"/>
      <c r="U6" s="275" t="s">
        <v>216</v>
      </c>
      <c r="V6" s="4"/>
      <c r="W6" s="275">
        <f>COUNTA(H6,J6,L6,N6,P6,R6,T6)</f>
        <v>6</v>
      </c>
      <c r="X6" s="275" t="n">
        <v>0</v>
      </c>
      <c r="Y6" s="275" t="n">
        <v>0</v>
      </c>
      <c r="Z6" s="300" t="s">
        <v>217</v>
      </c>
      <c r="AA6" s="4"/>
      <c r="AC6" s="345" t="s">
        <v>218</v>
      </c>
      <c r="AD6" s="4" t="n">
        <v>16</v>
      </c>
      <c r="AE6" s="292" t="n">
        <v>1849</v>
      </c>
      <c r="AF6" s="77"/>
      <c r="AG6" s="320"/>
      <c r="AH6" s="320"/>
      <c r="AI6" s="321" t="n">
        <v>4</v>
      </c>
      <c r="AJ6" s="321" t="n">
        <v>4.99000000000000021</v>
      </c>
      <c r="AK6" s="320"/>
      <c r="AL6" s="320"/>
      <c r="AM6" s="321" t="n">
        <v>0</v>
      </c>
      <c r="AN6" s="321" t="n">
        <v>0.990000000000000036</v>
      </c>
      <c r="AO6" s="322" t="n">
        <v>3</v>
      </c>
      <c r="AP6" s="322" t="n">
        <v>4.99000000000000021</v>
      </c>
      <c r="AQ6" s="321" t="n">
        <v>1</v>
      </c>
      <c r="AR6" s="321" t="n">
        <v>1.99000000000000004</v>
      </c>
      <c r="AS6" s="320"/>
      <c r="AT6" s="320"/>
    </row>
    <row r="7" spans="1:46">
      <c r="A7" s="317" t="s">
        <v>219</v>
      </c>
      <c r="B7" s="4" t="n">
        <v>16</v>
      </c>
      <c r="C7" s="292">
        <f>52+$A$33-$A$32-112</f>
        <v>332</v>
      </c>
      <c r="D7" s="77" t="s">
        <v>159</v>
      </c>
      <c r="E7" s="301">
        <f>F7-$A$33</f>
        <v>-220</v>
      </c>
      <c r="F7" s="293" t="n">
        <v>43816</v>
      </c>
      <c r="G7" s="4"/>
      <c r="H7" s="4"/>
      <c r="I7" s="4"/>
      <c r="J7" s="299" t="n">
        <v>2.99000000000000021</v>
      </c>
      <c r="K7" s="296" t="n">
        <v>4</v>
      </c>
      <c r="L7" s="297" t="n">
        <v>5.99000000000000021</v>
      </c>
      <c r="M7" s="303" t="n">
        <v>3</v>
      </c>
      <c r="N7" s="304" t="n">
        <v>3.99000000000000021</v>
      </c>
      <c r="O7" s="295" t="n">
        <v>1</v>
      </c>
      <c r="P7" s="302" t="n">
        <v>1.99000000000000004</v>
      </c>
      <c r="Q7" s="303" t="n">
        <v>3</v>
      </c>
      <c r="R7" s="304" t="n">
        <v>3.99000000000000021</v>
      </c>
      <c r="S7" s="4"/>
      <c r="T7" s="4"/>
      <c r="U7" s="275" t="s">
        <v>216</v>
      </c>
      <c r="V7" s="275"/>
      <c r="W7" s="275">
        <f>COUNTA(H7,J7,L7,N7,P7,R7,T7)</f>
        <v>5</v>
      </c>
      <c r="X7" s="275" t="n">
        <v>0</v>
      </c>
      <c r="Y7" s="275" t="n">
        <v>0</v>
      </c>
      <c r="Z7" s="300" t="s">
        <v>217</v>
      </c>
      <c r="AA7" s="279"/>
      <c r="AC7" s="345" t="s">
        <v>220</v>
      </c>
      <c r="AD7" s="4" t="n">
        <v>18</v>
      </c>
      <c r="AE7" s="292" t="n">
        <v>1773</v>
      </c>
      <c r="AF7" s="77"/>
      <c r="AG7" s="320"/>
      <c r="AH7" s="320"/>
      <c r="AI7" s="321" t="n">
        <v>4</v>
      </c>
      <c r="AJ7" s="321" t="n">
        <v>4.99000000000000021</v>
      </c>
      <c r="AK7" s="321" t="n">
        <v>2</v>
      </c>
      <c r="AL7" s="321" t="n">
        <v>2.99000000000000021</v>
      </c>
      <c r="AM7" s="320"/>
      <c r="AN7" s="320"/>
      <c r="AO7" s="320"/>
      <c r="AP7" s="320"/>
      <c r="AQ7" s="322" t="n">
        <v>4</v>
      </c>
      <c r="AR7" s="322" t="n">
        <v>4.99000000000000021</v>
      </c>
      <c r="AS7" s="320"/>
      <c r="AT7" s="322" t="n">
        <v>2.99000000000000021</v>
      </c>
    </row>
    <row r="8" spans="1:46">
      <c r="A8" s="317" t="s">
        <v>221</v>
      </c>
      <c r="B8" s="4" t="n">
        <v>15</v>
      </c>
      <c r="C8" s="292">
        <f>103+$A$33-$A$32-112</f>
        <v>383</v>
      </c>
      <c r="D8" s="77" t="s">
        <v>182</v>
      </c>
      <c r="E8" s="301">
        <f>F8-$A$33</f>
        <v>-159</v>
      </c>
      <c r="F8" s="293" t="n">
        <v>43877</v>
      </c>
      <c r="G8" s="294"/>
      <c r="H8" s="4"/>
      <c r="I8" s="4"/>
      <c r="J8" s="299" t="n">
        <v>3.99000000000000021</v>
      </c>
      <c r="K8" s="296" t="n">
        <v>4</v>
      </c>
      <c r="L8" s="297" t="n">
        <v>5.99000000000000021</v>
      </c>
      <c r="M8" s="4"/>
      <c r="N8" s="297" t="n">
        <v>5.99000000000000021</v>
      </c>
      <c r="O8" s="4"/>
      <c r="P8" s="299" t="n">
        <v>4.99000000000000021</v>
      </c>
      <c r="Q8" s="296" t="n">
        <v>2</v>
      </c>
      <c r="R8" s="4"/>
      <c r="S8" s="294"/>
      <c r="T8" s="294"/>
      <c r="U8" s="305" t="s">
        <v>222</v>
      </c>
      <c r="V8" s="275"/>
      <c r="W8" s="275">
        <f>COUNTA(H8,J8,L8,N8,P8,R8,T8)</f>
        <v>4</v>
      </c>
      <c r="X8" s="275" t="n">
        <v>0</v>
      </c>
      <c r="Y8" s="275" t="n">
        <v>0</v>
      </c>
      <c r="Z8" s="300" t="s">
        <v>223</v>
      </c>
      <c r="AA8" s="290"/>
      <c r="AC8" s="345" t="s">
        <v>148</v>
      </c>
      <c r="AD8" s="4" t="n">
        <v>17</v>
      </c>
      <c r="AE8" s="292" t="n">
        <v>1752</v>
      </c>
      <c r="AF8" s="77"/>
      <c r="AG8" s="320"/>
      <c r="AH8" s="320" t="n">
        <v>1.99000000000000004</v>
      </c>
      <c r="AI8" s="323" t="n">
        <v>6</v>
      </c>
      <c r="AJ8" s="324" t="n">
        <v>6.99000000000000021</v>
      </c>
      <c r="AK8" s="323" t="n">
        <v>4</v>
      </c>
      <c r="AL8" s="323" t="n">
        <v>4.99000000000000021</v>
      </c>
      <c r="AM8" s="321" t="n">
        <v>3</v>
      </c>
      <c r="AN8" s="321" t="n">
        <v>3.99000000000000021</v>
      </c>
      <c r="AO8" s="322" t="n">
        <v>2</v>
      </c>
      <c r="AP8" s="322" t="n">
        <v>3.99000000000000021</v>
      </c>
      <c r="AQ8" s="321" t="n">
        <v>2</v>
      </c>
      <c r="AR8" s="321" t="n">
        <v>2.99000000000000021</v>
      </c>
      <c r="AS8" s="320"/>
      <c r="AT8" s="320"/>
    </row>
    <row r="9" spans="1:46">
      <c r="A9" s="317" t="s">
        <v>224</v>
      </c>
      <c r="B9" s="4" t="n">
        <v>15</v>
      </c>
      <c r="C9" s="292">
        <f>3+$A$33-$A$32-78</f>
        <v>317</v>
      </c>
      <c r="D9" s="77"/>
      <c r="E9" s="301">
        <f>F9-$A$33</f>
        <v>-93</v>
      </c>
      <c r="F9" s="293" t="n">
        <v>43943</v>
      </c>
      <c r="G9" s="4"/>
      <c r="H9" s="4"/>
      <c r="I9" s="4"/>
      <c r="J9" s="299" t="n">
        <v>4.99000000000000021</v>
      </c>
      <c r="K9" s="296" t="n">
        <v>4</v>
      </c>
      <c r="L9" s="298" t="n">
        <v>6.99000000000000021</v>
      </c>
      <c r="M9" s="295" t="n">
        <v>2</v>
      </c>
      <c r="N9" s="302" t="n">
        <v>2.99000000000000021</v>
      </c>
      <c r="O9" s="4"/>
      <c r="P9" s="299" t="n">
        <v>3.99000000000000021</v>
      </c>
      <c r="Q9" s="4"/>
      <c r="R9" s="4"/>
      <c r="S9" s="4"/>
      <c r="T9" s="4"/>
      <c r="U9" s="275" t="s">
        <v>216</v>
      </c>
      <c r="V9" s="4"/>
      <c r="W9" s="275">
        <f>COUNTA(H9,J9,L9,N9,P9,R9,T9)</f>
        <v>4</v>
      </c>
      <c r="X9" s="275" t="n">
        <v>0</v>
      </c>
      <c r="Y9" s="275" t="n">
        <v>0</v>
      </c>
      <c r="Z9" s="300" t="s">
        <v>217</v>
      </c>
      <c r="AA9" s="70"/>
      <c r="AC9" s="345" t="s">
        <v>225</v>
      </c>
      <c r="AD9" s="4" t="n">
        <v>17</v>
      </c>
      <c r="AE9" s="292" t="n">
        <v>1701</v>
      </c>
      <c r="AF9" s="77"/>
      <c r="AG9" s="320"/>
      <c r="AH9" s="320"/>
      <c r="AI9" s="321" t="n">
        <v>1</v>
      </c>
      <c r="AJ9" s="321" t="n">
        <v>1.99000000000000004</v>
      </c>
      <c r="AK9" s="323" t="n">
        <v>5</v>
      </c>
      <c r="AL9" s="325" t="n">
        <v>5.99000000000000021</v>
      </c>
      <c r="AM9" s="321" t="n">
        <v>2</v>
      </c>
      <c r="AN9" s="321" t="n">
        <v>2.99000000000000021</v>
      </c>
      <c r="AO9" s="321" t="n">
        <v>2</v>
      </c>
      <c r="AP9" s="321" t="n">
        <v>2.99000000000000021</v>
      </c>
      <c r="AQ9" s="321" t="n">
        <v>2</v>
      </c>
      <c r="AR9" s="321" t="n">
        <v>2.99000000000000021</v>
      </c>
      <c r="AS9" s="320"/>
      <c r="AT9" s="320"/>
    </row>
    <row r="10" spans="1:46">
      <c r="A10" s="311" t="s">
        <v>226</v>
      </c>
      <c r="B10" s="311"/>
      <c r="C10" s="311"/>
      <c r="D10" s="311"/>
      <c r="E10" s="311"/>
      <c r="F10" s="310"/>
      <c r="G10" s="310"/>
      <c r="H10" s="310"/>
      <c r="I10" s="310"/>
      <c r="J10" s="310"/>
      <c r="K10" s="310"/>
      <c r="L10" s="310"/>
      <c r="M10" s="310"/>
      <c r="N10" s="310"/>
      <c r="O10" s="310"/>
      <c r="P10" s="310"/>
      <c r="Q10" s="310"/>
      <c r="R10" s="310"/>
      <c r="S10" s="310"/>
      <c r="T10" s="310"/>
      <c r="U10" s="311"/>
      <c r="V10" s="311"/>
      <c r="W10" s="311"/>
      <c r="X10" s="311"/>
      <c r="Y10" s="311"/>
      <c r="Z10" s="312"/>
      <c r="AA10" s="5"/>
      <c r="AC10" s="345" t="s">
        <v>227</v>
      </c>
      <c r="AD10" s="4" t="n">
        <v>17</v>
      </c>
      <c r="AE10" s="292" t="n">
        <v>1714</v>
      </c>
      <c r="AF10" s="77" t="s">
        <v>146</v>
      </c>
      <c r="AG10" s="326"/>
      <c r="AH10" s="326"/>
      <c r="AI10" s="327" t="n">
        <v>5</v>
      </c>
      <c r="AJ10" s="328" t="n">
        <v>5.99000000000000021</v>
      </c>
      <c r="AK10" s="329" t="n">
        <v>2</v>
      </c>
      <c r="AL10" s="329" t="n">
        <v>2.99000000000000021</v>
      </c>
      <c r="AM10" s="329" t="n">
        <v>4</v>
      </c>
      <c r="AN10" s="329" t="n">
        <v>4.99000000000000021</v>
      </c>
      <c r="AO10" s="329" t="n">
        <v>5</v>
      </c>
      <c r="AP10" s="330" t="n">
        <v>5.99000000000000021</v>
      </c>
      <c r="AQ10" s="326"/>
      <c r="AR10" s="331" t="n">
        <v>5.99000000000000021</v>
      </c>
      <c r="AS10" s="326"/>
      <c r="AT10" s="322" t="n">
        <v>2.99000000000000021</v>
      </c>
    </row>
    <row r="11" spans="1:46">
      <c r="A11" s="313" t="s">
        <v>205</v>
      </c>
      <c r="B11" s="313"/>
      <c r="C11" s="313"/>
      <c r="D11" s="313"/>
      <c r="E11" s="313"/>
      <c r="F11" s="313"/>
      <c r="G11" s="313" t="s">
        <v>206</v>
      </c>
      <c r="H11" s="313"/>
      <c r="I11" s="313"/>
      <c r="J11" s="313"/>
      <c r="K11" s="313"/>
      <c r="L11" s="313"/>
      <c r="M11" s="313"/>
      <c r="N11" s="313"/>
      <c r="O11" s="313"/>
      <c r="P11" s="313"/>
      <c r="Q11" s="313"/>
      <c r="R11" s="313"/>
      <c r="S11" s="313"/>
      <c r="T11" s="313"/>
      <c r="U11" s="314"/>
      <c r="V11" s="314"/>
      <c r="W11" s="314"/>
      <c r="X11" s="314"/>
      <c r="Y11" s="314"/>
      <c r="Z11" s="315"/>
      <c r="AA11" s="5"/>
      <c r="AC11" s="345" t="s">
        <v>228</v>
      </c>
      <c r="AD11" s="4" t="n">
        <v>17</v>
      </c>
      <c r="AE11" s="292" t="n">
        <v>1719</v>
      </c>
      <c r="AF11" s="77" t="s">
        <v>159</v>
      </c>
      <c r="AG11" s="326"/>
      <c r="AH11" s="326"/>
      <c r="AI11" s="332" t="n">
        <v>2</v>
      </c>
      <c r="AJ11" s="326"/>
      <c r="AK11" s="332" t="n">
        <v>2</v>
      </c>
      <c r="AL11" s="326"/>
      <c r="AM11" s="326"/>
      <c r="AN11" s="332" t="n">
        <v>2.99000000000000021</v>
      </c>
      <c r="AO11" s="327" t="n">
        <v>5</v>
      </c>
      <c r="AP11" s="328" t="n">
        <v>5.99000000000000021</v>
      </c>
      <c r="AQ11" s="327" t="n">
        <v>4</v>
      </c>
      <c r="AR11" s="327" t="n">
        <v>4.99000000000000021</v>
      </c>
      <c r="AS11" s="326"/>
      <c r="AT11" s="326"/>
    </row>
    <row r="12" spans="1:46">
      <c r="A12" s="313" t="s">
        <v>87</v>
      </c>
      <c r="B12" s="313" t="s">
        <v>191</v>
      </c>
      <c r="C12" s="313" t="s">
        <v>89</v>
      </c>
      <c r="D12" s="314" t="s">
        <v>192</v>
      </c>
      <c r="E12" s="313" t="s">
        <v>193</v>
      </c>
      <c r="F12" s="313" t="s">
        <v>194</v>
      </c>
      <c r="G12" s="313" t="s">
        <v>14</v>
      </c>
      <c r="H12" s="313" t="s">
        <v>195</v>
      </c>
      <c r="I12" s="313" t="s">
        <v>37</v>
      </c>
      <c r="J12" s="313" t="s">
        <v>195</v>
      </c>
      <c r="K12" s="313" t="s">
        <v>196</v>
      </c>
      <c r="L12" s="313" t="s">
        <v>195</v>
      </c>
      <c r="M12" s="313" t="s">
        <v>197</v>
      </c>
      <c r="N12" s="313" t="s">
        <v>195</v>
      </c>
      <c r="O12" s="313" t="s">
        <v>198</v>
      </c>
      <c r="P12" s="313" t="s">
        <v>195</v>
      </c>
      <c r="Q12" s="313" t="s">
        <v>199</v>
      </c>
      <c r="R12" s="313" t="s">
        <v>195</v>
      </c>
      <c r="S12" s="313" t="s">
        <v>200</v>
      </c>
      <c r="T12" s="313" t="s">
        <v>195</v>
      </c>
      <c r="U12" s="314" t="s">
        <v>201</v>
      </c>
      <c r="V12" s="314" t="s">
        <v>91</v>
      </c>
      <c r="W12" s="314" t="s">
        <v>182</v>
      </c>
      <c r="X12" s="314" t="s">
        <v>202</v>
      </c>
      <c r="Y12" s="314" t="s">
        <v>200</v>
      </c>
      <c r="Z12" s="315" t="s">
        <v>203</v>
      </c>
      <c r="AA12" s="4"/>
      <c r="AC12" s="345" t="s">
        <v>229</v>
      </c>
      <c r="AD12" s="4" t="n">
        <v>18</v>
      </c>
      <c r="AE12" s="292" t="n">
        <v>1715</v>
      </c>
      <c r="AF12" s="77"/>
      <c r="AG12" s="326"/>
      <c r="AH12" s="326"/>
      <c r="AI12" s="326"/>
      <c r="AJ12" s="332" t="n">
        <v>2.99000000000000021</v>
      </c>
      <c r="AK12" s="329" t="n">
        <v>2</v>
      </c>
      <c r="AL12" s="329" t="n">
        <v>2.99000000000000021</v>
      </c>
      <c r="AM12" s="332" t="n">
        <v>5</v>
      </c>
      <c r="AN12" s="333" t="n">
        <v>6.99000000000000021</v>
      </c>
      <c r="AO12" s="327" t="n">
        <v>3</v>
      </c>
      <c r="AP12" s="327" t="n">
        <v>3.99000000000000021</v>
      </c>
      <c r="AQ12" s="326"/>
      <c r="AR12" s="331" t="n">
        <v>5.99000000000000021</v>
      </c>
      <c r="AS12" s="326"/>
      <c r="AT12" s="326"/>
    </row>
    <row r="13" spans="1:46">
      <c r="A13" s="317" t="s">
        <v>230</v>
      </c>
      <c r="B13" s="4" t="n">
        <v>15</v>
      </c>
      <c r="C13" s="292">
        <f>-18+$A$33-$A$32</f>
        <v>374</v>
      </c>
      <c r="D13" s="77"/>
      <c r="E13" s="301">
        <f>F13-A33</f>
        <v>-150</v>
      </c>
      <c r="F13" s="293" t="n">
        <v>43886</v>
      </c>
      <c r="G13" s="4"/>
      <c r="H13" s="4"/>
      <c r="I13" s="4"/>
      <c r="J13" s="299" t="n">
        <v>1.99000000000000004</v>
      </c>
      <c r="K13" s="303" t="n">
        <v>4</v>
      </c>
      <c r="L13" s="304" t="n">
        <v>4.99000000000000021</v>
      </c>
      <c r="M13" s="4"/>
      <c r="N13" s="4"/>
      <c r="O13" s="4"/>
      <c r="P13" s="299" t="n">
        <v>2.99000000000000021</v>
      </c>
      <c r="Q13" s="296" t="n">
        <v>3</v>
      </c>
      <c r="R13" s="299" t="n">
        <v>4.99000000000000021</v>
      </c>
      <c r="S13" s="4"/>
      <c r="T13" s="4"/>
      <c r="U13" s="4"/>
      <c r="V13" s="275"/>
      <c r="W13" s="275">
        <f>COUNTA(H13,J13,L13,N13,P13,R13,T13)</f>
        <v>4</v>
      </c>
      <c r="X13" s="275" t="n">
        <v>0</v>
      </c>
      <c r="Y13" s="275" t="n">
        <v>0</v>
      </c>
      <c r="Z13" s="300" t="s">
        <v>223</v>
      </c>
      <c r="AA13" s="4"/>
      <c r="AC13" s="345" t="s">
        <v>231</v>
      </c>
      <c r="AD13" s="4" t="n">
        <v>18</v>
      </c>
      <c r="AE13" s="292" t="n">
        <v>1707</v>
      </c>
      <c r="AF13" s="77" t="s">
        <v>156</v>
      </c>
      <c r="AG13" s="326"/>
      <c r="AH13" s="326"/>
      <c r="AI13" s="332" t="n">
        <v>1</v>
      </c>
      <c r="AJ13" s="332" t="n">
        <v>2.99000000000000021</v>
      </c>
      <c r="AK13" s="332" t="n">
        <v>6</v>
      </c>
      <c r="AL13" s="333" t="n">
        <v>7</v>
      </c>
      <c r="AM13" s="327" t="n">
        <v>4</v>
      </c>
      <c r="AN13" s="327" t="n">
        <v>4.99000000000000021</v>
      </c>
      <c r="AO13" s="326"/>
      <c r="AP13" s="326"/>
      <c r="AQ13" s="329" t="n">
        <v>3</v>
      </c>
      <c r="AR13" s="329" t="n">
        <v>3.99000000000000021</v>
      </c>
      <c r="AS13" s="326"/>
      <c r="AT13" s="332" t="n">
        <v>4.99000000000000021</v>
      </c>
    </row>
    <row r="14" spans="1:46">
      <c r="A14" s="317" t="s">
        <v>232</v>
      </c>
      <c r="B14" s="4" t="n">
        <v>15</v>
      </c>
      <c r="C14" s="292">
        <f>-39+$A$33-$A$32</f>
        <v>353</v>
      </c>
      <c r="D14" s="77"/>
      <c r="E14" s="301">
        <f>F14-$A$33</f>
        <v>-129</v>
      </c>
      <c r="F14" s="293" t="n">
        <v>43907</v>
      </c>
      <c r="G14" s="294"/>
      <c r="H14" s="294"/>
      <c r="I14" s="296" t="n">
        <v>3</v>
      </c>
      <c r="J14" s="294"/>
      <c r="K14" s="296" t="n">
        <v>4</v>
      </c>
      <c r="L14" s="294"/>
      <c r="M14" s="294"/>
      <c r="N14" s="299" t="n">
        <v>3.99000000000000021</v>
      </c>
      <c r="O14" s="294"/>
      <c r="P14" s="299" t="n">
        <v>4.99000000000000021</v>
      </c>
      <c r="Q14" s="294"/>
      <c r="R14" s="294"/>
      <c r="S14" s="294"/>
      <c r="T14" s="294"/>
      <c r="U14" s="275" t="s">
        <v>216</v>
      </c>
      <c r="V14" s="275" t="s">
        <v>233</v>
      </c>
      <c r="W14" s="275">
        <f>COUNTA(H14,J14,L14,N14,P14,R14,T14)</f>
        <v>2</v>
      </c>
      <c r="X14" s="275" t="n">
        <v>0</v>
      </c>
      <c r="Y14" s="275" t="n">
        <v>0</v>
      </c>
      <c r="Z14" s="300" t="s">
        <v>223</v>
      </c>
      <c r="AA14" s="5"/>
      <c r="AC14" s="345" t="s">
        <v>234</v>
      </c>
      <c r="AD14" s="4" t="n">
        <v>17</v>
      </c>
      <c r="AE14" s="292" t="n">
        <v>1601</v>
      </c>
      <c r="AF14" s="77" t="s">
        <v>163</v>
      </c>
      <c r="AG14" s="326"/>
      <c r="AH14" s="332" t="n">
        <v>1.99000000000000004</v>
      </c>
      <c r="AI14" s="332" t="n">
        <v>4</v>
      </c>
      <c r="AJ14" s="331" t="n">
        <v>5.99000000000000021</v>
      </c>
      <c r="AK14" s="329" t="n">
        <v>2</v>
      </c>
      <c r="AL14" s="329" t="n">
        <v>2.99000000000000021</v>
      </c>
      <c r="AM14" s="329" t="n">
        <v>2</v>
      </c>
      <c r="AN14" s="329" t="n">
        <v>2.99000000000000021</v>
      </c>
      <c r="AO14" s="329" t="n">
        <v>6</v>
      </c>
      <c r="AP14" s="334" t="n">
        <v>6.99000000000000021</v>
      </c>
      <c r="AQ14" s="329" t="n">
        <v>2</v>
      </c>
      <c r="AR14" s="329" t="n">
        <v>2.99000000000000021</v>
      </c>
      <c r="AS14" s="326"/>
      <c r="AT14" s="333" t="n">
        <v>7</v>
      </c>
    </row>
    <row r="15" spans="1:46">
      <c r="A15" s="276" t="s">
        <v>235</v>
      </c>
      <c r="B15" s="276"/>
      <c r="C15" s="276"/>
      <c r="D15" s="276"/>
      <c r="E15" s="276"/>
      <c r="F15" s="277"/>
      <c r="G15" s="277"/>
      <c r="H15" s="277"/>
      <c r="I15" s="277"/>
      <c r="J15" s="277"/>
      <c r="K15" s="277"/>
      <c r="L15" s="277"/>
      <c r="M15" s="277"/>
      <c r="N15" s="277"/>
      <c r="O15" s="277"/>
      <c r="P15" s="277"/>
      <c r="Q15" s="277"/>
      <c r="R15" s="277"/>
      <c r="S15" s="277"/>
      <c r="T15" s="277"/>
      <c r="U15" s="276"/>
      <c r="V15" s="276"/>
      <c r="W15" s="276"/>
      <c r="X15" s="276"/>
      <c r="Y15" s="276"/>
      <c r="Z15" s="306"/>
      <c r="AA15" s="279"/>
      <c r="AC15" s="345" t="s">
        <v>236</v>
      </c>
      <c r="AD15" s="4" t="n">
        <v>18</v>
      </c>
      <c r="AE15" s="292" t="n">
        <v>1658</v>
      </c>
      <c r="AF15" s="77"/>
      <c r="AG15" s="326"/>
      <c r="AH15" s="326"/>
      <c r="AI15" s="327" t="n">
        <v>4</v>
      </c>
      <c r="AJ15" s="327" t="n">
        <v>4.99000000000000021</v>
      </c>
      <c r="AK15" s="327" t="n">
        <v>2</v>
      </c>
      <c r="AL15" s="327" t="n">
        <v>2.99000000000000021</v>
      </c>
      <c r="AM15" s="327" t="n">
        <v>4</v>
      </c>
      <c r="AN15" s="327" t="n">
        <v>4.99000000000000021</v>
      </c>
      <c r="AO15" s="332" t="n">
        <v>6</v>
      </c>
      <c r="AP15" s="333" t="n">
        <v>6.99000000000000021</v>
      </c>
      <c r="AQ15" s="327" t="n">
        <v>5</v>
      </c>
      <c r="AR15" s="328" t="n">
        <v>5.99000000000000021</v>
      </c>
      <c r="AS15" s="329" t="n">
        <v>4</v>
      </c>
      <c r="AT15" s="329" t="n">
        <v>4.99000000000000021</v>
      </c>
    </row>
    <row r="16" spans="1:46">
      <c r="A16" s="280" t="s">
        <v>205</v>
      </c>
      <c r="B16" s="280"/>
      <c r="C16" s="280"/>
      <c r="D16" s="280"/>
      <c r="E16" s="280"/>
      <c r="F16" s="280"/>
      <c r="G16" s="280" t="s">
        <v>206</v>
      </c>
      <c r="H16" s="280"/>
      <c r="I16" s="280"/>
      <c r="J16" s="280"/>
      <c r="K16" s="280"/>
      <c r="L16" s="280"/>
      <c r="M16" s="280"/>
      <c r="N16" s="280"/>
      <c r="O16" s="280"/>
      <c r="P16" s="280"/>
      <c r="Q16" s="280"/>
      <c r="R16" s="280"/>
      <c r="S16" s="280"/>
      <c r="T16" s="280"/>
      <c r="U16" s="281"/>
      <c r="V16" s="281"/>
      <c r="W16" s="281"/>
      <c r="X16" s="281"/>
      <c r="Y16" s="281"/>
      <c r="Z16" s="306"/>
      <c r="AA16" s="290"/>
      <c r="AC16" s="345" t="s">
        <v>237</v>
      </c>
      <c r="AD16" s="4" t="n">
        <v>17</v>
      </c>
      <c r="AE16" s="292" t="n">
        <v>1676</v>
      </c>
      <c r="AF16" s="77"/>
      <c r="AG16" s="335"/>
      <c r="AH16" s="332" t="n">
        <v>1.99000000000000004</v>
      </c>
      <c r="AI16" s="332" t="n">
        <v>1</v>
      </c>
      <c r="AJ16" s="335"/>
      <c r="AK16" s="329" t="n">
        <v>6</v>
      </c>
      <c r="AL16" s="334" t="n">
        <v>6.99000000000000021</v>
      </c>
      <c r="AM16" s="335"/>
      <c r="AN16" s="332" t="n">
        <v>1.99000000000000004</v>
      </c>
      <c r="AO16" s="332" t="n">
        <v>5</v>
      </c>
      <c r="AP16" s="333" t="n">
        <v>6.99000000000000021</v>
      </c>
      <c r="AQ16" s="329" t="n">
        <v>1</v>
      </c>
      <c r="AR16" s="329" t="n">
        <v>1.99000000000000004</v>
      </c>
      <c r="AS16" s="335"/>
      <c r="AT16" s="332" t="n">
        <v>2.99000000000000021</v>
      </c>
    </row>
    <row r="17" spans="1:46">
      <c r="A17" s="280" t="s">
        <v>87</v>
      </c>
      <c r="B17" s="280" t="s">
        <v>191</v>
      </c>
      <c r="C17" s="280" t="s">
        <v>89</v>
      </c>
      <c r="D17" s="281" t="s">
        <v>192</v>
      </c>
      <c r="E17" s="280" t="s">
        <v>193</v>
      </c>
      <c r="F17" s="280" t="s">
        <v>194</v>
      </c>
      <c r="G17" s="280" t="s">
        <v>14</v>
      </c>
      <c r="H17" s="280" t="s">
        <v>195</v>
      </c>
      <c r="I17" s="282" t="s">
        <v>37</v>
      </c>
      <c r="J17" s="282" t="s">
        <v>195</v>
      </c>
      <c r="K17" s="280" t="s">
        <v>196</v>
      </c>
      <c r="L17" s="280" t="s">
        <v>195</v>
      </c>
      <c r="M17" s="282" t="s">
        <v>197</v>
      </c>
      <c r="N17" s="282" t="s">
        <v>195</v>
      </c>
      <c r="O17" s="280" t="s">
        <v>198</v>
      </c>
      <c r="P17" s="280" t="s">
        <v>195</v>
      </c>
      <c r="Q17" s="282" t="s">
        <v>199</v>
      </c>
      <c r="R17" s="282" t="s">
        <v>195</v>
      </c>
      <c r="S17" s="280" t="s">
        <v>200</v>
      </c>
      <c r="T17" s="280" t="s">
        <v>195</v>
      </c>
      <c r="U17" s="281" t="s">
        <v>201</v>
      </c>
      <c r="V17" s="281" t="s">
        <v>91</v>
      </c>
      <c r="W17" s="281" t="s">
        <v>182</v>
      </c>
      <c r="X17" s="281" t="s">
        <v>202</v>
      </c>
      <c r="Y17" s="281" t="s">
        <v>200</v>
      </c>
      <c r="Z17" s="306" t="s">
        <v>203</v>
      </c>
      <c r="AA17" s="70"/>
      <c r="AC17" s="345" t="s">
        <v>238</v>
      </c>
      <c r="AD17" s="4" t="n">
        <v>18</v>
      </c>
      <c r="AE17" s="292" t="n">
        <v>1549</v>
      </c>
      <c r="AF17" s="77" t="s">
        <v>156</v>
      </c>
      <c r="AG17" s="326"/>
      <c r="AH17" s="326"/>
      <c r="AI17" s="327" t="n">
        <v>3</v>
      </c>
      <c r="AJ17" s="327" t="n">
        <v>3.99000000000000021</v>
      </c>
      <c r="AK17" s="329" t="n">
        <v>3</v>
      </c>
      <c r="AL17" s="329" t="n">
        <v>3.99000000000000021</v>
      </c>
      <c r="AM17" s="327" t="n">
        <v>5</v>
      </c>
      <c r="AN17" s="328" t="n">
        <v>5.99000000000000021</v>
      </c>
      <c r="AO17" s="326"/>
      <c r="AP17" s="332" t="n">
        <v>2.99000000000000021</v>
      </c>
      <c r="AQ17" s="329" t="n">
        <v>4</v>
      </c>
      <c r="AR17" s="329" t="n">
        <v>4.99000000000000021</v>
      </c>
      <c r="AS17" s="329" t="n">
        <v>4</v>
      </c>
      <c r="AT17" s="329" t="n">
        <v>4.99000000000000021</v>
      </c>
    </row>
    <row r="18" spans="1:46">
      <c r="A18" s="317" t="s">
        <v>239</v>
      </c>
      <c r="B18" s="4" t="n">
        <v>15</v>
      </c>
      <c r="C18" s="292">
        <f>9+$A$33-$A$32-74-34</f>
        <v>293</v>
      </c>
      <c r="D18" s="77"/>
      <c r="E18" s="301">
        <f>F18-$A$33</f>
        <v>-69</v>
      </c>
      <c r="F18" s="293" t="n">
        <v>43967</v>
      </c>
      <c r="G18" s="296" t="n">
        <v>3</v>
      </c>
      <c r="H18" s="4"/>
      <c r="I18" s="4"/>
      <c r="J18" s="299" t="n">
        <v>2.99000000000000021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275" t="s">
        <v>216</v>
      </c>
      <c r="V18" s="275"/>
      <c r="W18" s="275">
        <f>COUNTA(H18,J18,L18,N18,P18,R18,T18)</f>
        <v>1</v>
      </c>
      <c r="X18" s="275" t="n">
        <v>0</v>
      </c>
      <c r="Y18" s="275" t="n">
        <v>0</v>
      </c>
      <c r="Z18" s="300" t="s">
        <v>223</v>
      </c>
      <c r="AC18" s="345" t="s">
        <v>240</v>
      </c>
      <c r="AD18" s="4" t="n">
        <v>16</v>
      </c>
      <c r="AE18" s="292" t="n">
        <v>1633</v>
      </c>
      <c r="AF18" s="77" t="s">
        <v>146</v>
      </c>
      <c r="AG18" s="90"/>
      <c r="AH18" s="90"/>
      <c r="AI18" s="329" t="n">
        <v>2</v>
      </c>
      <c r="AJ18" s="329" t="n">
        <v>2.99000000000000021</v>
      </c>
      <c r="AK18" s="327" t="n">
        <v>5</v>
      </c>
      <c r="AL18" s="328" t="n">
        <v>5.99000000000000021</v>
      </c>
      <c r="AM18" s="329" t="n">
        <v>2</v>
      </c>
      <c r="AN18" s="329" t="n">
        <v>2.99000000000000021</v>
      </c>
      <c r="AO18" s="327" t="n">
        <v>4</v>
      </c>
      <c r="AP18" s="327" t="n">
        <v>4.99000000000000021</v>
      </c>
      <c r="AQ18" s="90"/>
      <c r="AR18" s="332" t="n">
        <v>4.99000000000000021</v>
      </c>
      <c r="AS18" s="90"/>
      <c r="AT18" s="332" t="n">
        <v>1.99000000000000004</v>
      </c>
    </row>
    <row r="19" spans="1:46">
      <c r="A19" s="317" t="s">
        <v>241</v>
      </c>
      <c r="B19" s="4" t="n">
        <v>16</v>
      </c>
      <c r="C19" s="292">
        <f>-2+$A$33-$A$32-112</f>
        <v>278</v>
      </c>
      <c r="D19" s="77"/>
      <c r="E19" s="301">
        <f>F19-$A$33</f>
        <v>-166</v>
      </c>
      <c r="F19" s="293" t="n">
        <v>43870</v>
      </c>
      <c r="G19" s="4"/>
      <c r="H19" s="298" t="n">
        <v>6.99000000000000021</v>
      </c>
      <c r="I19" s="4"/>
      <c r="J19" s="299" t="n">
        <v>1.99000000000000004</v>
      </c>
      <c r="K19" s="4"/>
      <c r="L19" s="4"/>
      <c r="M19" s="4"/>
      <c r="N19" s="4"/>
      <c r="O19" s="4"/>
      <c r="P19" s="4"/>
      <c r="Q19" s="296" t="n">
        <v>0</v>
      </c>
      <c r="R19" s="299" t="n">
        <v>1.99000000000000004</v>
      </c>
      <c r="S19" s="4"/>
      <c r="T19" s="4"/>
      <c r="U19" s="305" t="s">
        <v>242</v>
      </c>
      <c r="V19" s="275"/>
      <c r="W19" s="275">
        <f>COUNTA(H19,J19,L19,N19,P19,R19,T19)</f>
        <v>3</v>
      </c>
      <c r="X19" s="275" t="n">
        <v>0</v>
      </c>
      <c r="Y19" s="275" t="n">
        <v>0</v>
      </c>
      <c r="Z19" s="300" t="s">
        <v>223</v>
      </c>
      <c r="AA19" s="4"/>
      <c r="AC19" s="345" t="s">
        <v>243</v>
      </c>
      <c r="AD19" s="4" t="n">
        <v>16</v>
      </c>
      <c r="AE19" s="292" t="n">
        <v>1626</v>
      </c>
      <c r="AF19" s="77"/>
      <c r="AG19" s="335"/>
      <c r="AH19" s="335"/>
      <c r="AI19" s="329" t="n">
        <v>4</v>
      </c>
      <c r="AJ19" s="329" t="n">
        <v>4.99000000000000021</v>
      </c>
      <c r="AK19" s="329" t="n">
        <v>5</v>
      </c>
      <c r="AL19" s="330" t="n">
        <v>5.99000000000000021</v>
      </c>
      <c r="AM19" s="329" t="n">
        <v>4</v>
      </c>
      <c r="AN19" s="329" t="n">
        <v>4.99000000000000021</v>
      </c>
      <c r="AO19" s="335"/>
      <c r="AP19" s="335"/>
      <c r="AQ19" s="327" t="n">
        <v>2</v>
      </c>
      <c r="AR19" s="327" t="n">
        <v>2.99000000000000021</v>
      </c>
      <c r="AS19" s="329" t="n">
        <v>1</v>
      </c>
      <c r="AT19" s="329" t="n">
        <v>1.99000000000000004</v>
      </c>
    </row>
    <row r="20" spans="1:46">
      <c r="A20" s="317" t="s">
        <v>244</v>
      </c>
      <c r="B20" s="4" t="n">
        <v>16</v>
      </c>
      <c r="C20" s="292">
        <f>9+$A$33-$A$32-74</f>
        <v>327</v>
      </c>
      <c r="D20" s="77"/>
      <c r="E20" s="301">
        <f>F20-$A$33</f>
        <v>-214</v>
      </c>
      <c r="F20" s="293" t="n">
        <v>43822</v>
      </c>
      <c r="G20" s="4"/>
      <c r="H20" s="4"/>
      <c r="I20" s="296" t="n">
        <v>3</v>
      </c>
      <c r="J20" s="299" t="n">
        <v>4.99000000000000021</v>
      </c>
      <c r="K20" s="296" t="n">
        <v>3</v>
      </c>
      <c r="L20" s="299" t="n">
        <v>4.99000000000000021</v>
      </c>
      <c r="M20" s="296" t="n">
        <v>3</v>
      </c>
      <c r="N20" s="299" t="n">
        <v>3.99000000000000021</v>
      </c>
      <c r="O20" s="295" t="n">
        <v>2</v>
      </c>
      <c r="P20" s="302" t="n">
        <v>2.99000000000000021</v>
      </c>
      <c r="Q20" s="4"/>
      <c r="R20" s="299" t="n">
        <v>4.99000000000000021</v>
      </c>
      <c r="S20" s="4"/>
      <c r="T20" s="4"/>
      <c r="U20" s="275" t="s">
        <v>216</v>
      </c>
      <c r="V20" s="275"/>
      <c r="W20" s="275">
        <f>COUNTA(H20,J20,L20,N20,P20,R20,T20)</f>
        <v>5</v>
      </c>
      <c r="X20" s="275" t="n">
        <v>0</v>
      </c>
      <c r="Y20" s="275" t="n">
        <v>0</v>
      </c>
      <c r="Z20" s="300" t="s">
        <v>217</v>
      </c>
      <c r="AA20" s="5"/>
      <c r="AC20" s="345" t="s">
        <v>245</v>
      </c>
      <c r="AD20" s="4" t="n">
        <v>17</v>
      </c>
      <c r="AE20" s="292" t="n">
        <v>1561</v>
      </c>
      <c r="AF20" s="77" t="s">
        <v>156</v>
      </c>
      <c r="AG20" s="326"/>
      <c r="AH20" s="326"/>
      <c r="AI20" s="329" t="n">
        <v>4</v>
      </c>
      <c r="AJ20" s="329" t="n">
        <v>4.99000000000000021</v>
      </c>
      <c r="AK20" s="327" t="n">
        <v>5</v>
      </c>
      <c r="AL20" s="328" t="n">
        <v>5.99000000000000021</v>
      </c>
      <c r="AM20" s="329" t="n">
        <v>4</v>
      </c>
      <c r="AN20" s="329" t="n">
        <v>4.99000000000000021</v>
      </c>
      <c r="AO20" s="326"/>
      <c r="AP20" s="326"/>
      <c r="AQ20" s="326"/>
      <c r="AR20" s="332" t="n">
        <v>2.99000000000000021</v>
      </c>
      <c r="AS20" s="329" t="n">
        <v>3</v>
      </c>
      <c r="AT20" s="329" t="n">
        <v>3.99000000000000021</v>
      </c>
    </row>
    <row r="21" spans="1:46">
      <c r="A21" s="316" t="s">
        <v>246</v>
      </c>
      <c r="B21" s="4" t="n">
        <v>17</v>
      </c>
      <c r="C21" s="292">
        <f>2+$A$33-$A$32-112</f>
        <v>282</v>
      </c>
      <c r="D21" s="77"/>
      <c r="E21" s="301">
        <f>F21-$A$33</f>
        <v>-256</v>
      </c>
      <c r="F21" s="293" t="n">
        <v>43780</v>
      </c>
      <c r="G21" s="4"/>
      <c r="H21" s="299" t="n">
        <v>1.99000000000000004</v>
      </c>
      <c r="I21" s="296" t="n">
        <v>3</v>
      </c>
      <c r="J21" s="297" t="n">
        <v>5.99000000000000021</v>
      </c>
      <c r="K21" s="303" t="n">
        <v>4</v>
      </c>
      <c r="L21" s="304" t="n">
        <v>4.99000000000000021</v>
      </c>
      <c r="M21" s="295" t="n">
        <v>2</v>
      </c>
      <c r="N21" s="302" t="n">
        <v>2.99000000000000021</v>
      </c>
      <c r="O21" s="4"/>
      <c r="P21" s="298" t="n">
        <v>6.99000000000000021</v>
      </c>
      <c r="Q21" s="296" t="n">
        <v>4</v>
      </c>
      <c r="R21" s="297" t="n">
        <v>5.99000000000000021</v>
      </c>
      <c r="S21" s="4"/>
      <c r="T21" s="4"/>
      <c r="U21" s="305" t="s">
        <v>247</v>
      </c>
      <c r="V21" s="275"/>
      <c r="W21" s="275">
        <f>COUNTA(H21,J21,L21,N21,P21,R21,T21)</f>
        <v>6</v>
      </c>
      <c r="X21" s="275" t="n">
        <v>0</v>
      </c>
      <c r="Y21" s="275" t="n">
        <v>0</v>
      </c>
      <c r="Z21" s="300" t="s">
        <v>217</v>
      </c>
      <c r="AA21" s="5"/>
      <c r="AC21" s="345" t="s">
        <v>248</v>
      </c>
      <c r="AD21" s="4" t="n">
        <v>17</v>
      </c>
      <c r="AE21" s="292" t="n">
        <v>1515</v>
      </c>
      <c r="AF21" s="77"/>
      <c r="AG21" s="335"/>
      <c r="AH21" s="335"/>
      <c r="AI21" s="327" t="n">
        <v>3</v>
      </c>
      <c r="AJ21" s="327" t="n">
        <v>3.99000000000000021</v>
      </c>
      <c r="AK21" s="329" t="n">
        <v>4</v>
      </c>
      <c r="AL21" s="329" t="n">
        <v>4.99000000000000021</v>
      </c>
      <c r="AM21" s="329" t="n">
        <v>5</v>
      </c>
      <c r="AN21" s="330" t="n">
        <v>5.99000000000000021</v>
      </c>
      <c r="AO21" s="335"/>
      <c r="AP21" s="335"/>
      <c r="AQ21" s="329" t="n">
        <v>3</v>
      </c>
      <c r="AR21" s="329" t="n">
        <v>3.99000000000000021</v>
      </c>
      <c r="AS21" s="335"/>
      <c r="AT21" s="335"/>
    </row>
    <row r="22" spans="1:46">
      <c r="A22" s="316" t="s">
        <v>249</v>
      </c>
      <c r="B22" s="4" t="n">
        <v>18</v>
      </c>
      <c r="C22" s="292">
        <f>103+$A$33-$A$32-112</f>
        <v>383</v>
      </c>
      <c r="D22" s="77"/>
      <c r="E22" s="301" t="n">
        <v>0</v>
      </c>
      <c r="F22" s="293">
        <f aca="1">TODAY()</f>
        <v>44036</v>
      </c>
      <c r="G22" s="303" t="n">
        <v>1</v>
      </c>
      <c r="H22" s="304" t="n">
        <v>1.99000000000000004</v>
      </c>
      <c r="I22" s="295" t="n">
        <v>4</v>
      </c>
      <c r="J22" s="302" t="n">
        <v>4.99000000000000021</v>
      </c>
      <c r="K22" s="295" t="n">
        <v>3</v>
      </c>
      <c r="L22" s="302" t="n">
        <v>3.99000000000000021</v>
      </c>
      <c r="M22" s="295" t="n">
        <v>1</v>
      </c>
      <c r="N22" s="302" t="n">
        <v>1.99000000000000004</v>
      </c>
      <c r="O22" s="4"/>
      <c r="P22" s="297" t="n">
        <v>5.99000000000000021</v>
      </c>
      <c r="Q22" s="296" t="n">
        <v>4</v>
      </c>
      <c r="R22" s="297" t="n">
        <v>5.99000000000000021</v>
      </c>
      <c r="S22" s="4"/>
      <c r="T22" s="297" t="n">
        <v>5.99000000000000021</v>
      </c>
      <c r="U22" s="305" t="s">
        <v>250</v>
      </c>
      <c r="V22" s="275"/>
      <c r="W22" s="275">
        <f>COUNTA(H22,J22,L22,N22,P22,R22,T22)</f>
        <v>7</v>
      </c>
      <c r="X22" s="275" t="n">
        <v>3</v>
      </c>
      <c r="Y22" s="275" t="n">
        <v>6</v>
      </c>
      <c r="Z22" s="300" t="s">
        <v>217</v>
      </c>
      <c r="AA22" s="5"/>
      <c r="AC22" s="345" t="s">
        <v>251</v>
      </c>
      <c r="AD22" s="4" t="n">
        <v>19</v>
      </c>
      <c r="AE22" s="292" t="n">
        <v>1502</v>
      </c>
      <c r="AF22" s="77"/>
      <c r="AG22" s="335"/>
      <c r="AH22" s="332" t="n">
        <v>1.99000000000000004</v>
      </c>
      <c r="AI22" s="335"/>
      <c r="AJ22" s="332" t="n">
        <v>2.99000000000000021</v>
      </c>
      <c r="AK22" s="332" t="n">
        <v>3</v>
      </c>
      <c r="AL22" s="335"/>
      <c r="AM22" s="335"/>
      <c r="AN22" s="335"/>
      <c r="AO22" s="327" t="n">
        <v>5</v>
      </c>
      <c r="AP22" s="328" t="n">
        <v>5.99000000000000021</v>
      </c>
      <c r="AQ22" s="335"/>
      <c r="AR22" s="332" t="n">
        <v>2.99000000000000021</v>
      </c>
      <c r="AS22" s="335"/>
      <c r="AT22" s="335"/>
    </row>
    <row r="23" spans="1:46">
      <c r="A23" s="316" t="s">
        <v>252</v>
      </c>
      <c r="B23" s="4" t="n">
        <v>18</v>
      </c>
      <c r="C23" s="292">
        <f>92+$A$33-$A$32-112</f>
        <v>372</v>
      </c>
      <c r="D23" s="77"/>
      <c r="E23" s="301" t="n">
        <v>0</v>
      </c>
      <c r="F23" s="293">
        <f aca="1">TODAY()</f>
        <v>44036</v>
      </c>
      <c r="G23" s="4"/>
      <c r="H23" s="299" t="n">
        <v>1.99000000000000004</v>
      </c>
      <c r="I23" s="295" t="n">
        <v>4</v>
      </c>
      <c r="J23" s="302" t="n">
        <v>4.99000000000000021</v>
      </c>
      <c r="K23" s="295" t="n">
        <v>3</v>
      </c>
      <c r="L23" s="302" t="n">
        <v>3.99000000000000021</v>
      </c>
      <c r="M23" s="4"/>
      <c r="N23" s="299" t="n">
        <v>2.99000000000000021</v>
      </c>
      <c r="O23" s="4"/>
      <c r="P23" s="297" t="n">
        <v>5.99000000000000021</v>
      </c>
      <c r="Q23" s="303" t="n">
        <v>3</v>
      </c>
      <c r="R23" s="304" t="n">
        <v>3.99000000000000021</v>
      </c>
      <c r="S23" s="4"/>
      <c r="T23" s="299" t="n">
        <v>4.99000000000000021</v>
      </c>
      <c r="U23" s="305" t="s">
        <v>253</v>
      </c>
      <c r="V23" s="275"/>
      <c r="W23" s="275">
        <f>COUNTA(H23,J23,L23,N23,P23,R23,T23)</f>
        <v>7</v>
      </c>
      <c r="X23" s="275" t="n">
        <v>0</v>
      </c>
      <c r="Y23" s="275" t="n">
        <v>0</v>
      </c>
      <c r="Z23" s="300" t="s">
        <v>217</v>
      </c>
      <c r="AA23" s="5"/>
      <c r="AC23" s="345" t="s">
        <v>254</v>
      </c>
      <c r="AD23" s="4" t="n">
        <v>18</v>
      </c>
      <c r="AE23" s="292" t="n">
        <v>1561</v>
      </c>
      <c r="AF23" s="77"/>
      <c r="AG23" s="326"/>
      <c r="AH23" s="326"/>
      <c r="AI23" s="332" t="n">
        <v>1</v>
      </c>
      <c r="AJ23" s="332" t="n">
        <v>2.99000000000000021</v>
      </c>
      <c r="AK23" s="327" t="n">
        <v>3</v>
      </c>
      <c r="AL23" s="327" t="n">
        <v>3.99000000000000021</v>
      </c>
      <c r="AM23" s="326"/>
      <c r="AN23" s="331" t="n">
        <v>5.99000000000000021</v>
      </c>
      <c r="AO23" s="332" t="n">
        <v>3</v>
      </c>
      <c r="AP23" s="332" t="n">
        <v>4.99000000000000021</v>
      </c>
      <c r="AQ23" s="329" t="n">
        <v>1</v>
      </c>
      <c r="AR23" s="329" t="n">
        <v>1.99000000000000004</v>
      </c>
      <c r="AS23" s="326"/>
      <c r="AT23" s="326"/>
    </row>
    <row r="24" spans="1:46">
      <c r="A24" s="316" t="s">
        <v>255</v>
      </c>
      <c r="B24" s="4" t="n">
        <v>18</v>
      </c>
      <c r="C24" s="292">
        <f>75+$A$33-$A$32-112</f>
        <v>355</v>
      </c>
      <c r="D24" s="5"/>
      <c r="E24" s="301" t="n">
        <v>0</v>
      </c>
      <c r="F24" s="293">
        <f aca="1">TODAY()</f>
        <v>44036</v>
      </c>
      <c r="G24" s="5"/>
      <c r="H24" s="299" t="n">
        <v>1.99000000000000004</v>
      </c>
      <c r="I24" s="295" t="n">
        <v>3</v>
      </c>
      <c r="J24" s="302" t="n">
        <v>3.99000000000000021</v>
      </c>
      <c r="K24" s="295" t="n">
        <v>3</v>
      </c>
      <c r="L24" s="302" t="n">
        <v>3.99000000000000021</v>
      </c>
      <c r="M24" s="296" t="n">
        <v>4</v>
      </c>
      <c r="N24" s="297" t="n">
        <v>5.99000000000000021</v>
      </c>
      <c r="O24" s="295" t="n">
        <v>4</v>
      </c>
      <c r="P24" s="302" t="n">
        <v>4.99000000000000021</v>
      </c>
      <c r="Q24" s="5"/>
      <c r="R24" s="299" t="n">
        <v>3.99000000000000021</v>
      </c>
      <c r="S24" s="295" t="n">
        <v>1</v>
      </c>
      <c r="T24" s="302" t="n">
        <v>1.99000000000000004</v>
      </c>
      <c r="U24" s="275" t="s">
        <v>216</v>
      </c>
      <c r="V24" s="5"/>
      <c r="W24" s="275">
        <f>COUNTA(H24,J24,L24,N24,P24,R24,T24)</f>
        <v>7</v>
      </c>
      <c r="X24" s="275" t="n">
        <v>0</v>
      </c>
      <c r="Y24" s="275" t="n">
        <v>0</v>
      </c>
      <c r="Z24" s="300" t="s">
        <v>217</v>
      </c>
      <c r="AA24" s="4"/>
      <c r="AC24" s="345" t="s">
        <v>256</v>
      </c>
      <c r="AD24" s="4" t="n">
        <v>18</v>
      </c>
      <c r="AE24" s="292" t="n">
        <v>1540</v>
      </c>
      <c r="AF24" s="77" t="s">
        <v>163</v>
      </c>
      <c r="AG24" s="335"/>
      <c r="AH24" s="335"/>
      <c r="AI24" s="335"/>
      <c r="AJ24" s="332" t="n">
        <v>4.99000000000000021</v>
      </c>
      <c r="AK24" s="329" t="n">
        <v>5.5</v>
      </c>
      <c r="AL24" s="330" t="n">
        <v>5.99000000000000021</v>
      </c>
      <c r="AM24" s="329" t="n">
        <v>1</v>
      </c>
      <c r="AN24" s="329" t="n">
        <v>1.99000000000000004</v>
      </c>
      <c r="AO24" s="329" t="n">
        <v>2</v>
      </c>
      <c r="AP24" s="329" t="n">
        <v>2.99000000000000021</v>
      </c>
      <c r="AQ24" s="329" t="n">
        <v>3</v>
      </c>
      <c r="AR24" s="329" t="n">
        <v>3.99000000000000021</v>
      </c>
      <c r="AS24" s="335"/>
      <c r="AT24" s="335"/>
    </row>
    <row r="25" spans="1:46">
      <c r="A25" s="316" t="s">
        <v>257</v>
      </c>
      <c r="B25" s="4" t="n">
        <v>18</v>
      </c>
      <c r="C25" s="292">
        <f>75+$A$33-$A$32-112</f>
        <v>355</v>
      </c>
      <c r="D25" s="77" t="s">
        <v>156</v>
      </c>
      <c r="E25" s="301" t="n">
        <v>0</v>
      </c>
      <c r="F25" s="293">
        <f aca="1">TODAY()</f>
        <v>44036</v>
      </c>
      <c r="G25" s="4"/>
      <c r="H25" s="4"/>
      <c r="I25" s="295" t="n">
        <v>2</v>
      </c>
      <c r="J25" s="302" t="n">
        <v>2.99000000000000021</v>
      </c>
      <c r="K25" s="295" t="n">
        <v>2</v>
      </c>
      <c r="L25" s="302" t="n">
        <v>2.99000000000000021</v>
      </c>
      <c r="M25" s="296" t="n">
        <v>5</v>
      </c>
      <c r="N25" s="298" t="n">
        <v>6.99000000000000021</v>
      </c>
      <c r="O25" s="4"/>
      <c r="P25" s="297" t="n">
        <v>5.99000000000000021</v>
      </c>
      <c r="Q25" s="296" t="n">
        <v>2</v>
      </c>
      <c r="R25" s="299" t="n">
        <v>3.99000000000000021</v>
      </c>
      <c r="S25" s="4"/>
      <c r="T25" s="299" t="n">
        <v>3.99000000000000021</v>
      </c>
      <c r="U25" s="275" t="s">
        <v>216</v>
      </c>
      <c r="V25" s="275"/>
      <c r="W25" s="275">
        <f>COUNTA(H25,J25,L25,N25,P25,R25,T25)</f>
        <v>6</v>
      </c>
      <c r="X25" s="275" t="n">
        <v>0</v>
      </c>
      <c r="Y25" s="275" t="n">
        <v>0</v>
      </c>
      <c r="Z25" s="300" t="s">
        <v>223</v>
      </c>
      <c r="AA25" s="5"/>
      <c r="AC25" s="345" t="s">
        <v>258</v>
      </c>
      <c r="AD25" s="4" t="n">
        <v>18</v>
      </c>
      <c r="AE25" s="292" t="n">
        <v>1501</v>
      </c>
      <c r="AF25" s="77" t="s">
        <v>182</v>
      </c>
      <c r="AG25" s="335"/>
      <c r="AH25" s="332" t="n">
        <v>1.99000000000000004</v>
      </c>
      <c r="AI25" s="335"/>
      <c r="AJ25" s="332" t="n">
        <v>1.99000000000000004</v>
      </c>
      <c r="AK25" s="327" t="n">
        <v>5</v>
      </c>
      <c r="AL25" s="328" t="n">
        <v>5.99000000000000021</v>
      </c>
      <c r="AM25" s="335"/>
      <c r="AN25" s="332" t="n">
        <v>3.99000000000000021</v>
      </c>
      <c r="AO25" s="329" t="n">
        <v>3</v>
      </c>
      <c r="AP25" s="329" t="n">
        <v>3.99000000000000021</v>
      </c>
      <c r="AQ25" s="327" t="n">
        <v>2</v>
      </c>
      <c r="AR25" s="327" t="n">
        <v>2.99000000000000021</v>
      </c>
      <c r="AS25" s="335"/>
      <c r="AT25" s="335"/>
    </row>
    <row r="26" spans="1:46">
      <c r="A26" s="316" t="s">
        <v>259</v>
      </c>
      <c r="B26" s="4" t="n">
        <v>18</v>
      </c>
      <c r="C26" s="292">
        <f>48+$A$33-$A$32-112</f>
        <v>328</v>
      </c>
      <c r="D26" s="77" t="s">
        <v>182</v>
      </c>
      <c r="E26" s="301" t="n">
        <v>0</v>
      </c>
      <c r="F26" s="293">
        <f aca="1">TODAY()</f>
        <v>44036</v>
      </c>
      <c r="G26" s="294"/>
      <c r="H26" s="299" t="n">
        <v>1.99000000000000004</v>
      </c>
      <c r="I26" s="295" t="n">
        <v>4</v>
      </c>
      <c r="J26" s="302" t="n">
        <v>4.99000000000000021</v>
      </c>
      <c r="K26" s="295" t="n">
        <v>3</v>
      </c>
      <c r="L26" s="302" t="n">
        <v>3.99000000000000021</v>
      </c>
      <c r="M26" s="295" t="n">
        <v>2</v>
      </c>
      <c r="N26" s="302" t="n">
        <v>2.99000000000000021</v>
      </c>
      <c r="O26" s="295" t="n">
        <v>2</v>
      </c>
      <c r="P26" s="302" t="n">
        <v>2.99000000000000021</v>
      </c>
      <c r="Q26" s="296" t="n">
        <v>4</v>
      </c>
      <c r="R26" s="298" t="n">
        <v>6.99000000000000021</v>
      </c>
      <c r="S26" s="294"/>
      <c r="T26" s="299" t="n">
        <v>2.99000000000000021</v>
      </c>
      <c r="U26" s="275" t="s">
        <v>216</v>
      </c>
      <c r="V26" s="275" t="s">
        <v>233</v>
      </c>
      <c r="W26" s="275">
        <f>COUNTA(H26,J26,L26,N26,P26,R26,T26)</f>
        <v>7</v>
      </c>
      <c r="X26" s="275" t="n">
        <v>0</v>
      </c>
      <c r="Y26" s="275" t="n">
        <v>0</v>
      </c>
      <c r="Z26" s="300" t="s">
        <v>217</v>
      </c>
      <c r="AA26" s="4"/>
      <c r="AC26" s="345" t="s">
        <v>260</v>
      </c>
      <c r="AD26" s="4" t="n">
        <v>16</v>
      </c>
      <c r="AE26" s="292" t="n">
        <v>1510</v>
      </c>
      <c r="AF26" s="77"/>
      <c r="AG26" s="326"/>
      <c r="AH26" s="332" t="n">
        <v>1.99000000000000004</v>
      </c>
      <c r="AI26" s="329" t="n">
        <v>3</v>
      </c>
      <c r="AJ26" s="330" t="n">
        <v>3.99000000000000021</v>
      </c>
      <c r="AK26" s="329" t="n">
        <v>5.40000000000000036</v>
      </c>
      <c r="AL26" s="330" t="n">
        <v>5.99000000000000021</v>
      </c>
      <c r="AM26" s="329" t="n">
        <v>2</v>
      </c>
      <c r="AN26" s="329" t="n">
        <v>2.99000000000000021</v>
      </c>
      <c r="AO26" s="326"/>
      <c r="AP26" s="326"/>
      <c r="AQ26" s="329" t="n">
        <v>4</v>
      </c>
      <c r="AR26" s="329" t="n">
        <v>4.99000000000000021</v>
      </c>
      <c r="AS26" s="335"/>
      <c r="AT26" s="332" t="n">
        <v>3.99000000000000021</v>
      </c>
    </row>
    <row r="27" spans="1:46">
      <c r="A27" s="316" t="s">
        <v>261</v>
      </c>
      <c r="B27" s="4" t="n">
        <v>17</v>
      </c>
      <c r="C27" s="292">
        <f>76+$A$33-$A$32-112</f>
        <v>356</v>
      </c>
      <c r="D27" s="77" t="s">
        <v>182</v>
      </c>
      <c r="E27" s="301" t="n">
        <v>0</v>
      </c>
      <c r="F27" s="293">
        <f aca="1">TODAY()</f>
        <v>44036</v>
      </c>
      <c r="G27" s="294"/>
      <c r="H27" s="299" t="n">
        <v>0.990000000000000036</v>
      </c>
      <c r="I27" s="295" t="n">
        <v>3</v>
      </c>
      <c r="J27" s="302" t="n">
        <v>3.99000000000000021</v>
      </c>
      <c r="K27" s="295" t="n">
        <v>4</v>
      </c>
      <c r="L27" s="302" t="n">
        <v>4.99000000000000021</v>
      </c>
      <c r="M27" s="294"/>
      <c r="N27" s="299" t="n">
        <v>3.99000000000000021</v>
      </c>
      <c r="O27" s="294"/>
      <c r="P27" s="298" t="n">
        <v>6.99000000000000021</v>
      </c>
      <c r="Q27" s="294"/>
      <c r="R27" s="299" t="n">
        <v>4.99000000000000021</v>
      </c>
      <c r="S27" s="294"/>
      <c r="T27" s="294"/>
      <c r="U27" s="305" t="s">
        <v>262</v>
      </c>
      <c r="V27" s="275" t="s">
        <v>233</v>
      </c>
      <c r="W27" s="275">
        <f>COUNTA(H27,J27,L27,N27,P27,R27,T27)</f>
        <v>6</v>
      </c>
      <c r="X27" s="275" t="n">
        <v>0</v>
      </c>
      <c r="Y27" s="275" t="n">
        <v>0</v>
      </c>
      <c r="Z27" s="300" t="s">
        <v>223</v>
      </c>
      <c r="AA27" s="5"/>
      <c r="AC27" s="345" t="s">
        <v>263</v>
      </c>
      <c r="AD27" s="4" t="n">
        <v>17</v>
      </c>
      <c r="AE27" s="292" t="n">
        <v>1456</v>
      </c>
      <c r="AF27" s="77"/>
      <c r="AG27" s="90"/>
      <c r="AH27" s="90"/>
      <c r="AI27" s="90"/>
      <c r="AJ27" s="332" t="n">
        <v>3.99000000000000021</v>
      </c>
      <c r="AK27" s="329" t="n">
        <v>2</v>
      </c>
      <c r="AL27" s="329" t="n">
        <v>2.99000000000000021</v>
      </c>
      <c r="AM27" s="329" t="n">
        <v>4</v>
      </c>
      <c r="AN27" s="329" t="n">
        <v>4.99000000000000021</v>
      </c>
      <c r="AO27" s="329" t="n">
        <v>5</v>
      </c>
      <c r="AP27" s="330" t="n">
        <v>5.99000000000000021</v>
      </c>
      <c r="AQ27" s="329" t="n">
        <v>6</v>
      </c>
      <c r="AR27" s="334" t="n">
        <v>6.99000000000000021</v>
      </c>
      <c r="AS27" s="90"/>
      <c r="AT27" s="90"/>
    </row>
    <row r="28" spans="1:46">
      <c r="A28" s="316" t="s">
        <v>264</v>
      </c>
      <c r="B28" s="4" t="n">
        <v>18</v>
      </c>
      <c r="C28" s="292">
        <f>27+$A$33-$A$32-112</f>
        <v>307</v>
      </c>
      <c r="D28" s="77"/>
      <c r="E28" s="301" t="n">
        <v>0</v>
      </c>
      <c r="F28" s="293">
        <f aca="1">TODAY()</f>
        <v>44036</v>
      </c>
      <c r="G28" s="294"/>
      <c r="H28" s="294"/>
      <c r="I28" s="294"/>
      <c r="J28" s="294"/>
      <c r="K28" s="296" t="n">
        <v>3</v>
      </c>
      <c r="L28" s="294"/>
      <c r="M28" s="294"/>
      <c r="N28" s="294"/>
      <c r="O28" s="294"/>
      <c r="P28" s="298" t="n">
        <v>7</v>
      </c>
      <c r="Q28" s="294"/>
      <c r="R28" s="299" t="n">
        <v>1.99000000000000004</v>
      </c>
      <c r="S28" s="294"/>
      <c r="T28" s="297" t="n">
        <v>5.99000000000000021</v>
      </c>
      <c r="U28" s="275" t="s">
        <v>216</v>
      </c>
      <c r="V28" s="275" t="s">
        <v>233</v>
      </c>
      <c r="W28" s="275">
        <f>COUNTA(H28,J28,L28,N28,P28,R28,T28)</f>
        <v>3</v>
      </c>
      <c r="X28" s="275" t="n">
        <v>0</v>
      </c>
      <c r="Y28" s="275" t="n">
        <v>0</v>
      </c>
      <c r="Z28" s="300" t="s">
        <v>217</v>
      </c>
      <c r="AA28" s="5"/>
      <c r="AC28" s="345" t="s">
        <v>265</v>
      </c>
      <c r="AD28" s="4" t="n">
        <v>17</v>
      </c>
      <c r="AE28" s="292" t="n">
        <v>1439</v>
      </c>
      <c r="AF28" s="77" t="s">
        <v>159</v>
      </c>
      <c r="AG28" s="335"/>
      <c r="AH28" s="335"/>
      <c r="AI28" s="329" t="n">
        <v>2</v>
      </c>
      <c r="AJ28" s="329" t="n">
        <v>2.99000000000000021</v>
      </c>
      <c r="AK28" s="327" t="n">
        <v>4</v>
      </c>
      <c r="AL28" s="327" t="n">
        <v>4.99000000000000021</v>
      </c>
      <c r="AM28" s="335"/>
      <c r="AN28" s="332" t="n">
        <v>3.99000000000000021</v>
      </c>
      <c r="AO28" s="335"/>
      <c r="AP28" s="332" t="n">
        <v>3.99000000000000021</v>
      </c>
      <c r="AQ28" s="329" t="n">
        <v>4</v>
      </c>
      <c r="AR28" s="329" t="n">
        <v>4.99000000000000021</v>
      </c>
      <c r="AS28" s="335"/>
      <c r="AT28" s="335"/>
    </row>
    <row r="29" spans="1:46">
      <c r="A29" s="316" t="s">
        <v>266</v>
      </c>
      <c r="B29" s="4" t="n">
        <v>17</v>
      </c>
      <c r="C29" s="292">
        <f>68+$A$33-$A$32-112</f>
        <v>348</v>
      </c>
      <c r="D29" s="77"/>
      <c r="E29" s="301" t="n">
        <v>0</v>
      </c>
      <c r="F29" s="293">
        <f aca="1">TODAY()</f>
        <v>44036</v>
      </c>
      <c r="G29" s="4"/>
      <c r="H29" s="298" t="n">
        <v>6.99000000000000021</v>
      </c>
      <c r="I29" s="295" t="n">
        <v>2</v>
      </c>
      <c r="J29" s="302" t="n">
        <v>2.99000000000000021</v>
      </c>
      <c r="K29" s="295" t="n">
        <v>1</v>
      </c>
      <c r="L29" s="302" t="n">
        <v>1.99000000000000004</v>
      </c>
      <c r="M29" s="295" t="n">
        <v>0</v>
      </c>
      <c r="N29" s="302" t="n">
        <v>0.990000000000000036</v>
      </c>
      <c r="O29" s="4"/>
      <c r="P29" s="299" t="n">
        <v>0.990000000000000036</v>
      </c>
      <c r="Q29" s="4"/>
      <c r="R29" s="299" t="n">
        <v>1.99000000000000004</v>
      </c>
      <c r="S29" s="4"/>
      <c r="T29" s="299" t="n">
        <v>1.99000000000000004</v>
      </c>
      <c r="U29" s="305" t="s">
        <v>242</v>
      </c>
      <c r="V29" s="275"/>
      <c r="W29" s="275">
        <f>COUNTA(H29,J29,L29,N29,P29,R29,T29)</f>
        <v>7</v>
      </c>
      <c r="X29" s="275" t="n">
        <v>0</v>
      </c>
      <c r="Y29" s="275" t="n">
        <v>0</v>
      </c>
      <c r="Z29" s="300" t="s">
        <v>217</v>
      </c>
      <c r="AA29" s="4"/>
      <c r="AC29" s="345" t="s">
        <v>186</v>
      </c>
      <c r="AD29" s="4" t="n">
        <v>17</v>
      </c>
      <c r="AE29" s="292" t="n">
        <v>1340</v>
      </c>
      <c r="AF29" s="77" t="s">
        <v>159</v>
      </c>
      <c r="AG29" s="335"/>
      <c r="AH29" s="335"/>
      <c r="AI29" s="327" t="n">
        <v>2</v>
      </c>
      <c r="AJ29" s="327" t="n">
        <v>2.99000000000000021</v>
      </c>
      <c r="AK29" s="329" t="n">
        <v>6.09999999999999964</v>
      </c>
      <c r="AL29" s="334" t="n">
        <v>6.20000000000000018</v>
      </c>
      <c r="AM29" s="329" t="n">
        <v>4</v>
      </c>
      <c r="AN29" s="329" t="n">
        <v>4.99000000000000021</v>
      </c>
      <c r="AO29" s="329" t="n">
        <v>4</v>
      </c>
      <c r="AP29" s="329" t="n">
        <v>4.99000000000000021</v>
      </c>
      <c r="AQ29" s="330" t="n">
        <v>5</v>
      </c>
      <c r="AR29" s="330" t="n">
        <v>5.99000000000000021</v>
      </c>
      <c r="AS29" s="335"/>
      <c r="AT29" s="335"/>
    </row>
    <row r="30" spans="1:46">
      <c r="A30" s="4"/>
      <c r="B30" s="4"/>
      <c r="C30" s="292"/>
      <c r="D30" s="275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275"/>
      <c r="V30" s="275"/>
      <c r="W30" s="275"/>
      <c r="X30" s="275"/>
      <c r="Y30" s="275"/>
      <c r="Z30" s="300"/>
      <c r="AA30" s="5"/>
      <c r="AC30" s="345" t="s">
        <v>267</v>
      </c>
      <c r="AD30" s="4" t="n">
        <v>19</v>
      </c>
      <c r="AE30" s="292" t="n">
        <v>1416</v>
      </c>
      <c r="AF30" s="77" t="s">
        <v>182</v>
      </c>
      <c r="AG30" s="90"/>
      <c r="AH30" s="332" t="n">
        <v>1.99000000000000004</v>
      </c>
      <c r="AI30" s="332" t="n">
        <v>5</v>
      </c>
      <c r="AJ30" s="333" t="n">
        <v>6.99000000000000021</v>
      </c>
      <c r="AK30" s="329" t="n">
        <v>1</v>
      </c>
      <c r="AL30" s="329" t="n">
        <v>1.99000000000000004</v>
      </c>
      <c r="AM30" s="329" t="n">
        <v>3</v>
      </c>
      <c r="AN30" s="329" t="n">
        <v>3.99000000000000021</v>
      </c>
      <c r="AO30" s="90"/>
      <c r="AP30" s="332" t="n">
        <v>3.99000000000000021</v>
      </c>
      <c r="AQ30" s="329" t="n">
        <v>2</v>
      </c>
      <c r="AR30" s="329" t="n">
        <v>2.99000000000000021</v>
      </c>
      <c r="AS30" s="90"/>
      <c r="AT30" s="332" t="n">
        <v>2.99000000000000021</v>
      </c>
    </row>
    <row r="31" spans="1:46">
      <c r="A31" s="70" t="s">
        <v>268</v>
      </c>
      <c r="B31" s="5"/>
      <c r="C31" s="5"/>
      <c r="D31" s="4"/>
      <c r="E31" s="292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4"/>
      <c r="R31" s="4"/>
      <c r="S31" s="5"/>
      <c r="T31" s="5"/>
      <c r="U31" s="5"/>
      <c r="V31" s="5"/>
      <c r="W31" s="5"/>
      <c r="X31" s="5"/>
      <c r="Y31" s="5"/>
      <c r="Z31" s="5"/>
      <c r="AA31" s="5"/>
      <c r="AC31" s="345" t="s">
        <v>269</v>
      </c>
      <c r="AD31" s="4" t="n">
        <v>19</v>
      </c>
      <c r="AE31" s="292" t="n">
        <v>1289</v>
      </c>
      <c r="AF31" s="77"/>
      <c r="AG31" s="90"/>
      <c r="AH31" s="90"/>
      <c r="AI31" s="90"/>
      <c r="AJ31" s="331" t="n">
        <v>5.99000000000000021</v>
      </c>
      <c r="AK31" s="327" t="n">
        <v>4</v>
      </c>
      <c r="AL31" s="327" t="n">
        <v>4.99000000000000021</v>
      </c>
      <c r="AM31" s="90"/>
      <c r="AN31" s="332" t="n">
        <v>2.99000000000000021</v>
      </c>
      <c r="AO31" s="332" t="n">
        <v>5</v>
      </c>
      <c r="AP31" s="331" t="n">
        <v>5.99000000000000021</v>
      </c>
      <c r="AQ31" s="329" t="n">
        <v>5</v>
      </c>
      <c r="AR31" s="330" t="n">
        <v>5.99000000000000021</v>
      </c>
      <c r="AS31" s="329" t="n">
        <v>2</v>
      </c>
      <c r="AT31" s="329" t="n">
        <v>2.99000000000000021</v>
      </c>
    </row>
    <row r="32" spans="1:46">
      <c r="A32" s="318" t="n">
        <v>43644</v>
      </c>
      <c r="B32" s="293"/>
      <c r="C32" s="5"/>
      <c r="D32" s="4"/>
      <c r="E32" s="292"/>
      <c r="F32" s="70" t="s">
        <v>270</v>
      </c>
      <c r="G32" s="275"/>
      <c r="H32" s="5"/>
      <c r="I32" s="5"/>
      <c r="J32" s="5"/>
      <c r="K32" s="5"/>
      <c r="L32" s="5"/>
      <c r="M32" s="5"/>
      <c r="N32" s="5"/>
      <c r="O32" s="5"/>
      <c r="P32" s="5"/>
      <c r="Q32" s="4"/>
      <c r="R32" s="4"/>
      <c r="S32" s="5"/>
      <c r="T32" s="5"/>
      <c r="U32" s="5"/>
      <c r="V32" s="5"/>
      <c r="W32" s="5"/>
      <c r="X32" s="5"/>
      <c r="Y32" s="5"/>
      <c r="Z32" s="93"/>
      <c r="AA32" s="5"/>
      <c r="AC32" s="345" t="s">
        <v>271</v>
      </c>
      <c r="AD32" s="4" t="n">
        <v>17</v>
      </c>
      <c r="AE32" s="292" t="n">
        <v>1296</v>
      </c>
      <c r="AF32" s="77"/>
      <c r="AG32" s="336"/>
      <c r="AH32" s="332" t="n">
        <v>1.99000000000000004</v>
      </c>
      <c r="AI32" s="329" t="n">
        <v>2</v>
      </c>
      <c r="AJ32" s="329" t="n">
        <v>2.99000000000000021</v>
      </c>
      <c r="AK32" s="327" t="n">
        <v>3</v>
      </c>
      <c r="AL32" s="327" t="n">
        <v>3.99000000000000021</v>
      </c>
      <c r="AM32" s="329" t="n">
        <v>3</v>
      </c>
      <c r="AN32" s="329" t="n">
        <v>3.99000000000000021</v>
      </c>
      <c r="AO32" s="329" t="n">
        <v>6</v>
      </c>
      <c r="AP32" s="334" t="n">
        <v>6.99000000000000021</v>
      </c>
      <c r="AQ32" s="327" t="n">
        <v>6</v>
      </c>
      <c r="AR32" s="337" t="n">
        <v>6.99000000000000021</v>
      </c>
      <c r="AS32" s="336"/>
      <c r="AT32" s="336"/>
    </row>
    <row r="33" spans="1:46">
      <c r="A33" s="308">
        <f aca="1">TODAY()</f>
        <v>44036</v>
      </c>
      <c r="B33" s="4"/>
      <c r="C33" s="4"/>
      <c r="D33" s="4"/>
      <c r="E33" s="4"/>
      <c r="F33" s="4" t="s">
        <v>272</v>
      </c>
      <c r="G33" s="5"/>
      <c r="H33" s="5"/>
      <c r="I33" s="5"/>
      <c r="J33" s="5"/>
      <c r="K33" s="5"/>
      <c r="L33" s="5"/>
      <c r="M33" s="5"/>
      <c r="N33" s="5"/>
      <c r="O33" s="5"/>
      <c r="P33" s="4"/>
      <c r="Q33" s="4"/>
      <c r="R33" s="4"/>
      <c r="S33" s="5"/>
      <c r="T33" s="5"/>
      <c r="U33" s="5"/>
      <c r="V33" s="5"/>
      <c r="W33" s="5"/>
      <c r="X33" s="5"/>
      <c r="Y33" s="5"/>
      <c r="Z33" s="5"/>
      <c r="AC33" s="345" t="s">
        <v>273</v>
      </c>
      <c r="AD33" s="4" t="n">
        <v>17</v>
      </c>
      <c r="AE33" s="292" t="n">
        <v>1291</v>
      </c>
      <c r="AF33" s="77"/>
      <c r="AG33" s="335"/>
      <c r="AH33" s="335"/>
      <c r="AI33" s="329" t="n">
        <v>1</v>
      </c>
      <c r="AJ33" s="329" t="n">
        <v>1.99000000000000004</v>
      </c>
      <c r="AK33" s="332" t="n">
        <v>4</v>
      </c>
      <c r="AL33" s="333" t="n">
        <v>6.99000000000000021</v>
      </c>
      <c r="AM33" s="329" t="n">
        <v>3</v>
      </c>
      <c r="AN33" s="329" t="n">
        <v>3.99000000000000021</v>
      </c>
      <c r="AO33" s="335"/>
      <c r="AP33" s="332" t="n">
        <v>2.99000000000000021</v>
      </c>
      <c r="AQ33" s="329" t="n">
        <v>3</v>
      </c>
      <c r="AR33" s="329" t="n">
        <v>3.99000000000000021</v>
      </c>
      <c r="AS33" s="335"/>
      <c r="AT33" s="335"/>
    </row>
    <row r="34" spans="1:46">
      <c r="A34" s="308"/>
      <c r="B34" s="309"/>
      <c r="C34" s="309"/>
      <c r="D34" s="4"/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4"/>
      <c r="Q34" s="4"/>
      <c r="R34" s="4"/>
      <c r="AC34" s="345" t="s">
        <v>274</v>
      </c>
      <c r="AD34" s="4" t="n">
        <v>17</v>
      </c>
      <c r="AE34" s="292" t="n">
        <v>1328</v>
      </c>
      <c r="AF34" s="77"/>
      <c r="AG34" s="335"/>
      <c r="AH34" s="335"/>
      <c r="AI34" s="329" t="n">
        <v>3</v>
      </c>
      <c r="AJ34" s="329" t="n">
        <v>3.99000000000000021</v>
      </c>
      <c r="AK34" s="329" t="n">
        <v>6</v>
      </c>
      <c r="AL34" s="334" t="n">
        <v>6.99000000000000021</v>
      </c>
      <c r="AM34" s="329" t="n">
        <v>3</v>
      </c>
      <c r="AN34" s="329" t="n">
        <v>3.99000000000000021</v>
      </c>
      <c r="AO34" s="327" t="n">
        <v>4</v>
      </c>
      <c r="AP34" s="327" t="n">
        <v>4.99000000000000021</v>
      </c>
      <c r="AQ34" s="329" t="n">
        <v>4</v>
      </c>
      <c r="AR34" s="329" t="n">
        <v>4.99000000000000021</v>
      </c>
      <c r="AS34" s="335"/>
      <c r="AT34" s="335"/>
    </row>
    <row r="35" spans="1:46">
      <c r="A35" s="4"/>
      <c r="B35" s="4"/>
      <c r="C35" s="4"/>
      <c r="D35" s="4"/>
      <c r="E35" s="4"/>
      <c r="F35" s="5"/>
      <c r="G35" s="5"/>
      <c r="H35" s="5"/>
      <c r="I35" s="5"/>
      <c r="J35" s="5"/>
      <c r="K35" s="5"/>
      <c r="L35" s="5"/>
      <c r="M35" s="5"/>
      <c r="N35" s="5"/>
      <c r="O35" s="5"/>
      <c r="P35" s="4"/>
      <c r="Q35" s="4"/>
      <c r="R35" s="4"/>
      <c r="AC35" s="345" t="s">
        <v>275</v>
      </c>
      <c r="AD35" s="4" t="n">
        <v>17</v>
      </c>
      <c r="AE35" s="292" t="n">
        <v>-628</v>
      </c>
      <c r="AF35" s="77"/>
      <c r="AG35" s="335"/>
      <c r="AH35" s="335"/>
      <c r="AI35" s="327" t="n">
        <v>6</v>
      </c>
      <c r="AJ35" s="337" t="n">
        <v>6.99000000000000021</v>
      </c>
      <c r="AK35" s="327" t="n">
        <v>4</v>
      </c>
      <c r="AL35" s="327" t="n">
        <v>4.99000000000000021</v>
      </c>
      <c r="AM35" s="329" t="n">
        <v>1</v>
      </c>
      <c r="AN35" s="329" t="n">
        <v>1.99000000000000004</v>
      </c>
      <c r="AO35" s="335"/>
      <c r="AP35" s="332" t="n">
        <v>3.99000000000000021</v>
      </c>
      <c r="AQ35" s="329" t="n">
        <v>1</v>
      </c>
      <c r="AR35" s="329" t="n">
        <v>1.99000000000000004</v>
      </c>
      <c r="AS35" s="335"/>
      <c r="AT35" s="332" t="n">
        <v>4.99000000000000021</v>
      </c>
    </row>
    <row r="36" spans="29:46">
      <c r="AC36" s="345" t="s">
        <v>276</v>
      </c>
      <c r="AD36" s="4" t="n">
        <v>17</v>
      </c>
      <c r="AE36" s="292" t="n">
        <v>1272</v>
      </c>
      <c r="AF36" s="77"/>
      <c r="AG36" s="326"/>
      <c r="AH36" s="326"/>
      <c r="AI36" s="329" t="n">
        <v>2</v>
      </c>
      <c r="AJ36" s="329" t="n">
        <v>2.99000000000000021</v>
      </c>
      <c r="AK36" s="327" t="n">
        <v>6</v>
      </c>
      <c r="AL36" s="337" t="n">
        <v>6.99000000000000021</v>
      </c>
      <c r="AM36" s="329" t="n">
        <v>3</v>
      </c>
      <c r="AN36" s="329" t="n">
        <v>3.99000000000000021</v>
      </c>
      <c r="AO36" s="329" t="n">
        <v>3</v>
      </c>
      <c r="AP36" s="329" t="n">
        <v>3.99000000000000021</v>
      </c>
      <c r="AQ36" s="329" t="n">
        <v>2</v>
      </c>
      <c r="AR36" s="329" t="n">
        <v>2.99000000000000021</v>
      </c>
      <c r="AS36" s="329" t="n">
        <v>2</v>
      </c>
      <c r="AT36" s="329" t="n">
        <v>2.99000000000000021</v>
      </c>
    </row>
    <row r="37" spans="29:46">
      <c r="AC37" s="345" t="s">
        <v>151</v>
      </c>
      <c r="AD37" s="4" t="n">
        <v>18</v>
      </c>
      <c r="AE37" s="292" t="n">
        <v>1200</v>
      </c>
      <c r="AF37" s="77"/>
      <c r="AG37" s="90"/>
      <c r="AH37" s="90"/>
      <c r="AI37" s="329" t="n">
        <v>6</v>
      </c>
      <c r="AJ37" s="334" t="n">
        <v>6.99000000000000021</v>
      </c>
      <c r="AK37" s="329" t="n">
        <v>6.70000000000000018</v>
      </c>
      <c r="AL37" s="334" t="n">
        <v>6.99000000000000021</v>
      </c>
      <c r="AM37" s="329" t="n">
        <v>5</v>
      </c>
      <c r="AN37" s="330" t="n">
        <v>5.99000000000000021</v>
      </c>
      <c r="AO37" s="329" t="n">
        <v>2</v>
      </c>
      <c r="AP37" s="329" t="n">
        <v>2.99000000000000021</v>
      </c>
      <c r="AQ37" s="329" t="n">
        <v>3</v>
      </c>
      <c r="AR37" s="329" t="n">
        <v>3.99000000000000021</v>
      </c>
      <c r="AS37" s="90"/>
      <c r="AT37" s="332" t="n">
        <v>2.99000000000000021</v>
      </c>
    </row>
    <row r="38" spans="29:46">
      <c r="AC38" s="345" t="s">
        <v>277</v>
      </c>
      <c r="AD38" s="4" t="n">
        <v>18</v>
      </c>
      <c r="AE38" s="292" t="n">
        <v>1220</v>
      </c>
      <c r="AF38" s="77"/>
      <c r="AG38" s="335"/>
      <c r="AH38" s="332" t="n">
        <v>1.99000000000000004</v>
      </c>
      <c r="AI38" s="327" t="n">
        <v>6</v>
      </c>
      <c r="AJ38" s="337" t="n">
        <v>6.99000000000000021</v>
      </c>
      <c r="AK38" s="335"/>
      <c r="AL38" s="332" t="n">
        <v>3.99000000000000021</v>
      </c>
      <c r="AM38" s="329" t="n">
        <v>3</v>
      </c>
      <c r="AN38" s="329" t="n">
        <v>3.99000000000000021</v>
      </c>
      <c r="AO38" s="329" t="n">
        <v>2</v>
      </c>
      <c r="AP38" s="329" t="n">
        <v>2.99000000000000021</v>
      </c>
      <c r="AQ38" s="329" t="n">
        <v>4</v>
      </c>
      <c r="AR38" s="329" t="n">
        <v>4.99000000000000021</v>
      </c>
      <c r="AS38" s="335"/>
      <c r="AT38" s="331" t="n">
        <v>5.99000000000000021</v>
      </c>
    </row>
    <row r="39" spans="29:46">
      <c r="AC39" s="345" t="s">
        <v>278</v>
      </c>
      <c r="AD39" s="4" t="n">
        <v>18</v>
      </c>
      <c r="AE39" s="292" t="n">
        <v>-673</v>
      </c>
      <c r="AF39" s="77"/>
      <c r="AG39" s="335"/>
      <c r="AH39" s="332" t="n">
        <v>1.99000000000000004</v>
      </c>
      <c r="AI39" s="329" t="n">
        <v>2</v>
      </c>
      <c r="AJ39" s="329" t="n">
        <v>2.99000000000000021</v>
      </c>
      <c r="AK39" s="329" t="n">
        <v>2</v>
      </c>
      <c r="AL39" s="329" t="n">
        <v>2.99000000000000021</v>
      </c>
      <c r="AM39" s="329" t="n">
        <v>5</v>
      </c>
      <c r="AN39" s="330" t="n">
        <v>5.99000000000000021</v>
      </c>
      <c r="AO39" s="332" t="n">
        <v>5</v>
      </c>
      <c r="AP39" s="333" t="n">
        <v>6.99000000000000021</v>
      </c>
      <c r="AQ39" s="329" t="n">
        <v>4</v>
      </c>
      <c r="AR39" s="329" t="n">
        <v>4.99000000000000021</v>
      </c>
      <c r="AS39" s="335"/>
      <c r="AT39" s="332" t="n">
        <v>4.99000000000000021</v>
      </c>
    </row>
    <row r="40" spans="29:46">
      <c r="AC40" s="345" t="s">
        <v>78</v>
      </c>
      <c r="AD40" s="4" t="n">
        <v>17</v>
      </c>
      <c r="AE40" s="292" t="n">
        <v>1145</v>
      </c>
      <c r="AF40" s="77" t="s">
        <v>159</v>
      </c>
      <c r="AG40" s="335"/>
      <c r="AH40" s="332" t="n">
        <v>1.99000000000000004</v>
      </c>
      <c r="AI40" s="329" t="n">
        <v>5</v>
      </c>
      <c r="AJ40" s="330" t="n">
        <v>5.99000000000000021</v>
      </c>
      <c r="AK40" s="338" t="n">
        <v>7</v>
      </c>
      <c r="AL40" s="339" t="n">
        <v>7</v>
      </c>
      <c r="AM40" s="329" t="n">
        <v>1</v>
      </c>
      <c r="AN40" s="329" t="n">
        <v>1.99000000000000004</v>
      </c>
      <c r="AO40" s="335"/>
      <c r="AP40" s="332" t="n">
        <v>2.99000000000000021</v>
      </c>
      <c r="AQ40" s="329" t="n">
        <v>1</v>
      </c>
      <c r="AR40" s="329" t="n">
        <v>1.99000000000000004</v>
      </c>
      <c r="AS40" s="335"/>
      <c r="AT40" s="335"/>
    </row>
    <row r="41" spans="29:46">
      <c r="AC41" s="345" t="s">
        <v>279</v>
      </c>
      <c r="AD41" s="4" t="n">
        <v>19</v>
      </c>
      <c r="AE41" s="292" t="n">
        <v>1042</v>
      </c>
      <c r="AF41" s="77" t="s">
        <v>156</v>
      </c>
      <c r="AG41" s="335"/>
      <c r="AH41" s="332" t="n">
        <v>1.99000000000000004</v>
      </c>
      <c r="AI41" s="332" t="n">
        <v>5</v>
      </c>
      <c r="AJ41" s="333" t="n">
        <v>6.99000000000000021</v>
      </c>
      <c r="AK41" s="327" t="n">
        <v>4</v>
      </c>
      <c r="AL41" s="327" t="n">
        <v>4.99000000000000021</v>
      </c>
      <c r="AM41" s="329" t="n">
        <v>1</v>
      </c>
      <c r="AN41" s="329" t="n">
        <v>1.99000000000000004</v>
      </c>
      <c r="AO41" s="335"/>
      <c r="AP41" s="332" t="n">
        <v>2.99000000000000021</v>
      </c>
      <c r="AQ41" s="332" t="n">
        <v>2</v>
      </c>
      <c r="AR41" s="332" t="n">
        <v>3.99000000000000021</v>
      </c>
      <c r="AS41" s="335"/>
      <c r="AT41" s="332" t="n">
        <v>1.99000000000000004</v>
      </c>
    </row>
    <row r="42" spans="29:46">
      <c r="AC42" s="345" t="s">
        <v>280</v>
      </c>
      <c r="AD42" s="4" t="n">
        <v>19</v>
      </c>
      <c r="AE42" s="292" t="n">
        <v>-813</v>
      </c>
      <c r="AF42" s="77"/>
      <c r="AG42" s="90"/>
      <c r="AH42" s="332" t="n">
        <v>0.990000000000000036</v>
      </c>
      <c r="AI42" s="329" t="n">
        <v>3</v>
      </c>
      <c r="AJ42" s="329" t="n">
        <v>3.99000000000000021</v>
      </c>
      <c r="AK42" s="327" t="n">
        <v>5</v>
      </c>
      <c r="AL42" s="328" t="n">
        <v>5.99000000000000021</v>
      </c>
      <c r="AM42" s="329" t="n">
        <v>5</v>
      </c>
      <c r="AN42" s="330" t="n">
        <v>5.99000000000000021</v>
      </c>
      <c r="AO42" s="90"/>
      <c r="AP42" s="90" t="n">
        <v>3.99000000000000021</v>
      </c>
      <c r="AQ42" s="90"/>
      <c r="AR42" s="331" t="n">
        <v>5.99000000000000021</v>
      </c>
      <c r="AS42" s="90"/>
      <c r="AT42" s="90"/>
    </row>
    <row r="43" spans="26:46">
      <c r="Z43" s="32"/>
      <c r="AC43" s="345" t="s">
        <v>281</v>
      </c>
      <c r="AD43" s="4" t="n">
        <v>18</v>
      </c>
      <c r="AE43" s="292" t="n">
        <v>4</v>
      </c>
      <c r="AF43" s="77" t="s">
        <v>156</v>
      </c>
      <c r="AG43" s="335"/>
      <c r="AH43" s="332" t="n">
        <v>1.99000000000000004</v>
      </c>
      <c r="AI43" s="329" t="n">
        <v>4</v>
      </c>
      <c r="AJ43" s="329" t="n">
        <v>4.99000000000000021</v>
      </c>
      <c r="AK43" s="329" t="n">
        <v>3</v>
      </c>
      <c r="AL43" s="329" t="n">
        <v>3.99000000000000021</v>
      </c>
      <c r="AM43" s="335"/>
      <c r="AN43" s="333" t="n">
        <v>6.99000000000000021</v>
      </c>
      <c r="AO43" s="335"/>
      <c r="AP43" s="332" t="n">
        <v>3.99000000000000021</v>
      </c>
      <c r="AQ43" s="329" t="n">
        <v>2</v>
      </c>
      <c r="AR43" s="329" t="n">
        <v>2.99000000000000021</v>
      </c>
      <c r="AS43" s="335"/>
      <c r="AT43" s="335" t="n">
        <v>3.99000000000000021</v>
      </c>
    </row>
    <row r="44" spans="29:46">
      <c r="AC44" s="345" t="s">
        <v>282</v>
      </c>
      <c r="AD44" s="4" t="n">
        <v>16</v>
      </c>
      <c r="AE44" s="292" t="n">
        <v>-718</v>
      </c>
      <c r="AF44" s="77" t="s">
        <v>159</v>
      </c>
      <c r="AG44" s="90"/>
      <c r="AH44" s="332" t="n">
        <v>1.99000000000000004</v>
      </c>
      <c r="AI44" s="329" t="n">
        <v>1</v>
      </c>
      <c r="AJ44" s="329" t="n">
        <v>1.99000000000000004</v>
      </c>
      <c r="AK44" s="327" t="n">
        <v>6</v>
      </c>
      <c r="AL44" s="337" t="n">
        <v>6.99000000000000021</v>
      </c>
      <c r="AM44" s="90"/>
      <c r="AN44" s="332" t="n">
        <v>3.99000000000000021</v>
      </c>
      <c r="AO44" s="90"/>
      <c r="AP44" s="332" t="n">
        <v>3.99000000000000021</v>
      </c>
      <c r="AQ44" s="329" t="n">
        <v>2</v>
      </c>
      <c r="AR44" s="329" t="n">
        <v>2.99000000000000021</v>
      </c>
      <c r="AS44" s="90"/>
      <c r="AT44" s="332" t="n">
        <v>2.99000000000000021</v>
      </c>
    </row>
    <row r="45" spans="29:46">
      <c r="AC45" s="345" t="s">
        <v>283</v>
      </c>
      <c r="AD45" s="4" t="n">
        <v>18</v>
      </c>
      <c r="AE45" s="292" t="n">
        <v>1028</v>
      </c>
      <c r="AF45" s="77"/>
      <c r="AG45" s="335"/>
      <c r="AH45" s="335"/>
      <c r="AI45" s="327" t="n">
        <v>5</v>
      </c>
      <c r="AJ45" s="328" t="n">
        <v>5.99000000000000021</v>
      </c>
      <c r="AK45" s="329" t="n">
        <v>6</v>
      </c>
      <c r="AL45" s="334" t="n">
        <v>6.99000000000000021</v>
      </c>
      <c r="AM45" s="329" t="n">
        <v>2</v>
      </c>
      <c r="AN45" s="329" t="n">
        <v>2.99000000000000021</v>
      </c>
      <c r="AO45" s="335"/>
      <c r="AP45" s="332" t="n">
        <v>2.99000000000000021</v>
      </c>
      <c r="AQ45" s="329" t="n">
        <v>4</v>
      </c>
      <c r="AR45" s="329" t="n">
        <v>4.99000000000000021</v>
      </c>
      <c r="AS45" s="335"/>
      <c r="AT45" s="335"/>
    </row>
    <row r="46" spans="29:46">
      <c r="AC46" s="345" t="s">
        <v>284</v>
      </c>
      <c r="AD46" s="4" t="n">
        <v>17</v>
      </c>
      <c r="AE46" s="292" t="n">
        <v>932</v>
      </c>
      <c r="AF46" s="77"/>
      <c r="AG46" s="335"/>
      <c r="AH46" s="335"/>
      <c r="AI46" s="329" t="n">
        <v>2</v>
      </c>
      <c r="AJ46" s="329" t="n">
        <v>2.99000000000000021</v>
      </c>
      <c r="AK46" s="327" t="n">
        <v>7</v>
      </c>
      <c r="AL46" s="337" t="n">
        <v>7</v>
      </c>
      <c r="AM46" s="327" t="n">
        <v>3</v>
      </c>
      <c r="AN46" s="327" t="n">
        <v>3.99000000000000021</v>
      </c>
      <c r="AO46" s="329" t="n">
        <v>1</v>
      </c>
      <c r="AP46" s="329" t="n">
        <v>1.99000000000000004</v>
      </c>
      <c r="AQ46" s="335"/>
      <c r="AR46" s="332" t="n">
        <v>3.99000000000000021</v>
      </c>
      <c r="AS46" s="335"/>
      <c r="AT46" s="335"/>
    </row>
    <row r="47" spans="29:46">
      <c r="AC47" s="345" t="s">
        <v>285</v>
      </c>
      <c r="AD47" s="4" t="n">
        <v>18</v>
      </c>
      <c r="AE47" s="292" t="n">
        <v>1032</v>
      </c>
      <c r="AF47" s="77" t="s">
        <v>163</v>
      </c>
      <c r="AG47" s="335"/>
      <c r="AH47" s="332" t="n">
        <v>1.99000000000000004</v>
      </c>
      <c r="AI47" s="335"/>
      <c r="AJ47" s="332" t="n">
        <v>2.99000000000000021</v>
      </c>
      <c r="AK47" s="329" t="n">
        <v>3</v>
      </c>
      <c r="AL47" s="329" t="n">
        <v>3.99000000000000021</v>
      </c>
      <c r="AM47" s="329" t="n">
        <v>5</v>
      </c>
      <c r="AN47" s="330" t="n">
        <v>5.99000000000000021</v>
      </c>
      <c r="AO47" s="329" t="n">
        <v>6</v>
      </c>
      <c r="AP47" s="334" t="n">
        <v>6.99000000000000021</v>
      </c>
      <c r="AQ47" s="329" t="n">
        <v>2</v>
      </c>
      <c r="AR47" s="329" t="n">
        <v>2.99000000000000021</v>
      </c>
      <c r="AS47" s="329" t="n">
        <v>4</v>
      </c>
      <c r="AT47" s="329" t="n">
        <v>4.99000000000000021</v>
      </c>
    </row>
    <row r="48" spans="29:46">
      <c r="AC48" s="345" t="s">
        <v>286</v>
      </c>
      <c r="AD48" s="4" t="n">
        <v>17</v>
      </c>
      <c r="AE48" s="292" t="n">
        <v>959</v>
      </c>
      <c r="AF48" s="77"/>
      <c r="AG48" s="340"/>
      <c r="AH48" s="340" t="n">
        <v>1.99000000000000004</v>
      </c>
      <c r="AI48" s="340"/>
      <c r="AJ48" s="332" t="n">
        <v>3.99000000000000021</v>
      </c>
      <c r="AK48" s="327" t="n">
        <v>5</v>
      </c>
      <c r="AL48" s="328" t="n">
        <v>5.99000000000000021</v>
      </c>
      <c r="AM48" s="335"/>
      <c r="AN48" s="332" t="n">
        <v>2.99000000000000021</v>
      </c>
      <c r="AO48" s="329" t="n">
        <v>5</v>
      </c>
      <c r="AP48" s="330" t="n">
        <v>5.99000000000000021</v>
      </c>
      <c r="AQ48" s="327" t="n">
        <v>4</v>
      </c>
      <c r="AR48" s="327" t="n">
        <v>4.99000000000000021</v>
      </c>
      <c r="AS48" s="335"/>
      <c r="AT48" s="335" t="n">
        <v>3.99000000000000021</v>
      </c>
    </row>
    <row r="49" spans="29:46">
      <c r="AC49" s="345" t="s">
        <v>287</v>
      </c>
      <c r="AD49" s="4" t="n">
        <v>17</v>
      </c>
      <c r="AE49" s="292" t="n">
        <v>852</v>
      </c>
      <c r="AF49" s="77"/>
      <c r="AG49" s="90"/>
      <c r="AH49" s="90"/>
      <c r="AI49" s="90"/>
      <c r="AJ49" s="332" t="n">
        <v>4.99000000000000021</v>
      </c>
      <c r="AK49" s="329" t="n">
        <v>3</v>
      </c>
      <c r="AL49" s="329" t="n">
        <v>3.99000000000000021</v>
      </c>
      <c r="AM49" s="327" t="n">
        <v>5</v>
      </c>
      <c r="AN49" s="328" t="n">
        <v>5.99000000000000021</v>
      </c>
      <c r="AO49" s="90"/>
      <c r="AP49" s="332" t="n">
        <v>2.99000000000000021</v>
      </c>
      <c r="AQ49" s="329" t="n">
        <v>4</v>
      </c>
      <c r="AR49" s="329" t="n">
        <v>4.99000000000000021</v>
      </c>
      <c r="AS49" s="90"/>
      <c r="AT49" s="90"/>
    </row>
    <row r="50" spans="29:46">
      <c r="AC50" s="345" t="s">
        <v>288</v>
      </c>
      <c r="AD50" s="4" t="n">
        <v>18</v>
      </c>
      <c r="AE50" s="292" t="n">
        <v>908</v>
      </c>
      <c r="AF50" s="77" t="s">
        <v>159</v>
      </c>
      <c r="AG50" s="335"/>
      <c r="AH50" s="335"/>
      <c r="AI50" s="332" t="n">
        <v>4</v>
      </c>
      <c r="AJ50" s="331" t="n">
        <v>5.99000000000000021</v>
      </c>
      <c r="AK50" s="329" t="n">
        <v>3</v>
      </c>
      <c r="AL50" s="329" t="n">
        <v>3.99000000000000021</v>
      </c>
      <c r="AM50" s="327" t="n">
        <v>6</v>
      </c>
      <c r="AN50" s="337" t="n">
        <v>6.99000000000000021</v>
      </c>
      <c r="AO50" s="332" t="n">
        <v>6</v>
      </c>
      <c r="AP50" s="333" t="n">
        <v>7</v>
      </c>
      <c r="AQ50" s="329" t="n">
        <v>4</v>
      </c>
      <c r="AR50" s="329" t="n">
        <v>4.99000000000000021</v>
      </c>
      <c r="AS50" s="335"/>
      <c r="AT50" s="332" t="n">
        <v>2.99000000000000021</v>
      </c>
    </row>
    <row r="51" spans="29:46">
      <c r="AC51" s="345" t="s">
        <v>289</v>
      </c>
      <c r="AD51" s="4" t="n">
        <v>17</v>
      </c>
      <c r="AE51" s="292" t="n">
        <v>856</v>
      </c>
      <c r="AF51" s="77" t="s">
        <v>159</v>
      </c>
      <c r="AG51" s="335"/>
      <c r="AH51" s="332" t="n">
        <v>0.990000000000000036</v>
      </c>
      <c r="AI51" s="332" t="n">
        <v>4</v>
      </c>
      <c r="AJ51" s="331" t="n">
        <v>5.99000000000000021</v>
      </c>
      <c r="AK51" s="329" t="n">
        <v>3</v>
      </c>
      <c r="AL51" s="329" t="n">
        <v>3.99000000000000021</v>
      </c>
      <c r="AM51" s="329" t="n">
        <v>3</v>
      </c>
      <c r="AN51" s="329" t="n">
        <v>3.99000000000000021</v>
      </c>
      <c r="AO51" s="329" t="n">
        <v>5.29999999999999982</v>
      </c>
      <c r="AP51" s="330" t="n">
        <v>5.99000000000000021</v>
      </c>
      <c r="AQ51" s="332" t="n">
        <v>5</v>
      </c>
      <c r="AR51" s="333" t="n">
        <v>6.99000000000000021</v>
      </c>
      <c r="AS51" s="335"/>
      <c r="AT51" s="335"/>
    </row>
    <row r="52" spans="29:46">
      <c r="AC52" s="345" t="s">
        <v>290</v>
      </c>
      <c r="AD52" s="4" t="n">
        <v>18</v>
      </c>
      <c r="AE52" s="292" t="n">
        <v>-975</v>
      </c>
      <c r="AF52" s="77" t="s">
        <v>163</v>
      </c>
      <c r="AG52" s="335"/>
      <c r="AH52" s="332" t="n">
        <v>1.99000000000000004</v>
      </c>
      <c r="AI52" s="332" t="n">
        <v>4</v>
      </c>
      <c r="AJ52" s="331" t="n">
        <v>5.99000000000000021</v>
      </c>
      <c r="AK52" s="327" t="n">
        <v>5</v>
      </c>
      <c r="AL52" s="328" t="n">
        <v>5.99000000000000021</v>
      </c>
      <c r="AM52" s="327" t="n">
        <v>4</v>
      </c>
      <c r="AN52" s="327" t="n">
        <v>4.99000000000000021</v>
      </c>
      <c r="AO52" s="329" t="n">
        <v>4</v>
      </c>
      <c r="AP52" s="329" t="n">
        <v>4.99000000000000021</v>
      </c>
      <c r="AQ52" s="327" t="n">
        <v>3</v>
      </c>
      <c r="AR52" s="327" t="n">
        <v>3.99000000000000021</v>
      </c>
      <c r="AS52" s="335"/>
      <c r="AT52" s="335"/>
    </row>
    <row r="53" spans="29:46">
      <c r="AC53" s="345" t="s">
        <v>291</v>
      </c>
      <c r="AD53" s="4" t="n">
        <v>17</v>
      </c>
      <c r="AE53" s="292" t="n">
        <v>724</v>
      </c>
      <c r="AF53" s="77"/>
      <c r="AG53" s="335"/>
      <c r="AH53" s="332" t="n">
        <v>1.99000000000000004</v>
      </c>
      <c r="AI53" s="329" t="n">
        <v>4</v>
      </c>
      <c r="AJ53" s="329" t="n">
        <v>4.99000000000000021</v>
      </c>
      <c r="AK53" s="327" t="n">
        <v>6</v>
      </c>
      <c r="AL53" s="337" t="n">
        <v>6.99000000000000021</v>
      </c>
      <c r="AM53" s="335"/>
      <c r="AN53" s="332" t="n">
        <v>3.99000000000000021</v>
      </c>
      <c r="AO53" s="329" t="n">
        <v>2</v>
      </c>
      <c r="AP53" s="329" t="n">
        <v>2.99000000000000021</v>
      </c>
      <c r="AQ53" s="329" t="n">
        <v>3</v>
      </c>
      <c r="AR53" s="329" t="n">
        <v>3.99000000000000021</v>
      </c>
      <c r="AS53" s="335"/>
      <c r="AT53" s="331" t="n">
        <v>5.99000000000000021</v>
      </c>
    </row>
    <row r="54" spans="29:46">
      <c r="AC54" s="345" t="s">
        <v>292</v>
      </c>
      <c r="AD54" s="4" t="n">
        <v>17</v>
      </c>
      <c r="AE54" s="292" t="n">
        <v>789</v>
      </c>
      <c r="AF54" s="77" t="s">
        <v>163</v>
      </c>
      <c r="AG54" s="90"/>
      <c r="AH54" s="90"/>
      <c r="AI54" s="327" t="n">
        <v>5</v>
      </c>
      <c r="AJ54" s="328" t="n">
        <v>5.99000000000000021</v>
      </c>
      <c r="AK54" s="90"/>
      <c r="AL54" s="332" t="n">
        <v>2.99000000000000021</v>
      </c>
      <c r="AM54" s="332" t="n">
        <v>5</v>
      </c>
      <c r="AN54" s="333" t="n">
        <v>7</v>
      </c>
      <c r="AO54" s="329" t="n">
        <v>3</v>
      </c>
      <c r="AP54" s="329" t="n">
        <v>3.99000000000000021</v>
      </c>
      <c r="AQ54" s="329" t="n">
        <v>3</v>
      </c>
      <c r="AR54" s="329" t="n">
        <v>3.99000000000000021</v>
      </c>
      <c r="AS54" s="90"/>
      <c r="AT54" s="332" t="n">
        <v>3.99000000000000021</v>
      </c>
    </row>
    <row r="55" spans="29:46">
      <c r="AC55" s="345" t="s">
        <v>293</v>
      </c>
      <c r="AD55" s="4" t="n">
        <v>16</v>
      </c>
      <c r="AE55" s="292" t="n">
        <v>796</v>
      </c>
      <c r="AF55" s="77" t="s">
        <v>159</v>
      </c>
      <c r="AG55" s="335"/>
      <c r="AH55" s="335"/>
      <c r="AI55" s="329" t="n">
        <v>2</v>
      </c>
      <c r="AJ55" s="329" t="n">
        <v>2.99000000000000021</v>
      </c>
      <c r="AK55" s="327" t="n">
        <v>5</v>
      </c>
      <c r="AL55" s="328" t="n">
        <v>5.99000000000000021</v>
      </c>
      <c r="AM55" s="327" t="n">
        <v>5</v>
      </c>
      <c r="AN55" s="328" t="n">
        <v>5.99000000000000021</v>
      </c>
      <c r="AO55" s="329" t="n">
        <v>4</v>
      </c>
      <c r="AP55" s="329" t="n">
        <v>4.99000000000000021</v>
      </c>
      <c r="AQ55" s="329" t="n">
        <v>3</v>
      </c>
      <c r="AR55" s="329" t="n">
        <v>3.99000000000000021</v>
      </c>
      <c r="AS55" s="335"/>
      <c r="AT55" s="335"/>
    </row>
    <row r="56" spans="29:46">
      <c r="AC56" s="345" t="s">
        <v>294</v>
      </c>
      <c r="AD56" s="4" t="n">
        <v>17</v>
      </c>
      <c r="AE56" s="292" t="n">
        <v>681</v>
      </c>
      <c r="AF56" s="77" t="s">
        <v>182</v>
      </c>
      <c r="AG56" s="335"/>
      <c r="AH56" s="332" t="n">
        <v>1.99000000000000004</v>
      </c>
      <c r="AI56" s="329" t="n">
        <v>3</v>
      </c>
      <c r="AJ56" s="329" t="n">
        <v>3.99000000000000021</v>
      </c>
      <c r="AK56" s="327" t="n">
        <v>5</v>
      </c>
      <c r="AL56" s="328" t="n">
        <v>5.99000000000000021</v>
      </c>
      <c r="AM56" s="335"/>
      <c r="AN56" s="332" t="n">
        <v>2.99000000000000021</v>
      </c>
      <c r="AO56" s="329" t="n">
        <v>4</v>
      </c>
      <c r="AP56" s="329" t="n">
        <v>4.99000000000000021</v>
      </c>
      <c r="AQ56" s="329" t="n">
        <v>4</v>
      </c>
      <c r="AR56" s="329" t="n">
        <v>4.99000000000000021</v>
      </c>
      <c r="AS56" s="329" t="n">
        <v>2</v>
      </c>
      <c r="AT56" s="329" t="n">
        <v>2.99000000000000021</v>
      </c>
    </row>
    <row r="57" spans="29:46">
      <c r="AC57" s="345" t="s">
        <v>295</v>
      </c>
      <c r="AD57" s="4" t="n">
        <v>19</v>
      </c>
      <c r="AE57" s="292" t="n">
        <v>686</v>
      </c>
      <c r="AF57" s="77" t="s">
        <v>156</v>
      </c>
      <c r="AG57" s="335"/>
      <c r="AH57" s="332" t="n">
        <v>1.99000000000000004</v>
      </c>
      <c r="AI57" s="329" t="n">
        <v>2</v>
      </c>
      <c r="AJ57" s="329" t="n">
        <v>2.99000000000000021</v>
      </c>
      <c r="AK57" s="329" t="n">
        <v>3</v>
      </c>
      <c r="AL57" s="329" t="n">
        <v>3.99000000000000021</v>
      </c>
      <c r="AM57" s="332" t="n">
        <v>4</v>
      </c>
      <c r="AN57" s="331" t="n">
        <v>5.99000000000000021</v>
      </c>
      <c r="AO57" s="329" t="n">
        <v>4</v>
      </c>
      <c r="AP57" s="329" t="n">
        <v>4.99000000000000021</v>
      </c>
      <c r="AQ57" s="329" t="n">
        <v>5</v>
      </c>
      <c r="AR57" s="330" t="n">
        <v>5.99000000000000021</v>
      </c>
      <c r="AS57" s="335"/>
      <c r="AT57" s="332" t="n">
        <v>3.99000000000000021</v>
      </c>
    </row>
    <row r="58" spans="29:46">
      <c r="AC58" s="345" t="s">
        <v>296</v>
      </c>
      <c r="AD58" s="4" t="n">
        <v>17</v>
      </c>
      <c r="AE58" s="292" t="n">
        <v>736</v>
      </c>
      <c r="AF58" s="77" t="s">
        <v>182</v>
      </c>
      <c r="AG58" s="335"/>
      <c r="AH58" s="332" t="n">
        <v>1.99000000000000004</v>
      </c>
      <c r="AI58" s="329" t="n">
        <v>1</v>
      </c>
      <c r="AJ58" s="329" t="n">
        <v>1.99000000000000004</v>
      </c>
      <c r="AK58" s="327" t="n">
        <v>6</v>
      </c>
      <c r="AL58" s="337" t="n">
        <v>6.99000000000000021</v>
      </c>
      <c r="AM58" s="335"/>
      <c r="AN58" s="332" t="n">
        <v>2.99000000000000021</v>
      </c>
      <c r="AO58" s="335"/>
      <c r="AP58" s="332" t="n">
        <v>3.99000000000000021</v>
      </c>
      <c r="AQ58" s="335"/>
      <c r="AR58" s="332" t="n">
        <v>3.99000000000000021</v>
      </c>
      <c r="AS58" s="335"/>
      <c r="AT58" s="332" t="n">
        <v>2.99000000000000021</v>
      </c>
    </row>
    <row r="59" spans="29:46">
      <c r="AC59" s="345" t="s">
        <v>297</v>
      </c>
      <c r="AD59" s="4" t="n">
        <v>16</v>
      </c>
      <c r="AE59" s="292" t="n">
        <v>774</v>
      </c>
      <c r="AF59" s="77"/>
      <c r="AG59" s="335"/>
      <c r="AH59" s="332" t="n">
        <v>1.99000000000000004</v>
      </c>
      <c r="AI59" s="332" t="n">
        <v>4</v>
      </c>
      <c r="AJ59" s="331" t="n">
        <v>5.99000000000000021</v>
      </c>
      <c r="AK59" s="332" t="n">
        <v>4</v>
      </c>
      <c r="AL59" s="331" t="n">
        <v>5.99000000000000021</v>
      </c>
      <c r="AM59" s="329" t="n">
        <v>5</v>
      </c>
      <c r="AN59" s="330" t="n">
        <v>5.99000000000000021</v>
      </c>
      <c r="AO59" s="335"/>
      <c r="AP59" s="332" t="n">
        <v>3.99000000000000021</v>
      </c>
      <c r="AQ59" s="335"/>
      <c r="AR59" s="332" t="n">
        <v>3.99000000000000021</v>
      </c>
      <c r="AS59" s="335"/>
      <c r="AT59" s="332" t="n">
        <v>2.99000000000000021</v>
      </c>
    </row>
    <row r="60" spans="29:46">
      <c r="AC60" s="345" t="s">
        <v>298</v>
      </c>
      <c r="AD60" s="4" t="n">
        <v>17</v>
      </c>
      <c r="AE60" s="292" t="n">
        <v>761</v>
      </c>
      <c r="AF60" s="77" t="s">
        <v>159</v>
      </c>
      <c r="AG60" s="90"/>
      <c r="AH60" s="332" t="n">
        <v>1.99000000000000004</v>
      </c>
      <c r="AI60" s="327" t="n">
        <v>3</v>
      </c>
      <c r="AJ60" s="327" t="n">
        <v>3.99000000000000021</v>
      </c>
      <c r="AK60" s="332" t="n">
        <v>5</v>
      </c>
      <c r="AL60" s="333" t="n">
        <v>6.99000000000000021</v>
      </c>
      <c r="AM60" s="90"/>
      <c r="AN60" s="332" t="n">
        <v>2.99000000000000021</v>
      </c>
      <c r="AO60" s="329" t="n">
        <v>2</v>
      </c>
      <c r="AP60" s="329" t="n">
        <v>2.99000000000000021</v>
      </c>
      <c r="AQ60" s="90"/>
      <c r="AR60" s="331" t="n">
        <v>5.99000000000000021</v>
      </c>
      <c r="AS60" s="329" t="n">
        <v>2</v>
      </c>
      <c r="AT60" s="329" t="n">
        <v>2.99000000000000021</v>
      </c>
    </row>
    <row r="61" spans="29:46">
      <c r="AC61" s="345" t="s">
        <v>299</v>
      </c>
      <c r="AD61" s="4" t="n">
        <v>19</v>
      </c>
      <c r="AE61" s="292" t="n">
        <v>633</v>
      </c>
      <c r="AF61" s="77"/>
      <c r="AG61" s="335"/>
      <c r="AH61" s="335"/>
      <c r="AI61" s="332" t="n">
        <v>5</v>
      </c>
      <c r="AJ61" s="333" t="n">
        <v>6.99000000000000021</v>
      </c>
      <c r="AK61" s="327" t="n">
        <v>4</v>
      </c>
      <c r="AL61" s="327" t="n">
        <v>4.99000000000000021</v>
      </c>
      <c r="AM61" s="327" t="n">
        <v>4</v>
      </c>
      <c r="AN61" s="327" t="n">
        <v>4.99000000000000021</v>
      </c>
      <c r="AO61" s="329" t="n">
        <v>3</v>
      </c>
      <c r="AP61" s="329" t="n">
        <v>3.99000000000000021</v>
      </c>
      <c r="AQ61" s="329" t="n">
        <v>3</v>
      </c>
      <c r="AR61" s="329" t="n">
        <v>3.99000000000000021</v>
      </c>
      <c r="AS61" s="335"/>
      <c r="AT61" s="335"/>
    </row>
    <row r="62" spans="29:46">
      <c r="AC62" s="345" t="s">
        <v>300</v>
      </c>
      <c r="AD62" s="4" t="n">
        <v>16</v>
      </c>
      <c r="AE62" s="292" t="n">
        <v>679</v>
      </c>
      <c r="AF62" s="77"/>
      <c r="AG62" s="335"/>
      <c r="AH62" s="332" t="n">
        <v>1.99000000000000004</v>
      </c>
      <c r="AI62" s="327" t="n">
        <v>5</v>
      </c>
      <c r="AJ62" s="328" t="n">
        <v>5.99000000000000021</v>
      </c>
      <c r="AK62" s="329" t="n">
        <v>3</v>
      </c>
      <c r="AL62" s="329" t="n">
        <v>3.99000000000000021</v>
      </c>
      <c r="AM62" s="329" t="n">
        <v>4</v>
      </c>
      <c r="AN62" s="329" t="n">
        <v>4.99000000000000021</v>
      </c>
      <c r="AO62" s="332" t="n">
        <v>3</v>
      </c>
      <c r="AP62" s="332" t="n">
        <v>4.99000000000000021</v>
      </c>
      <c r="AQ62" s="329" t="n">
        <v>1</v>
      </c>
      <c r="AR62" s="329" t="n">
        <v>1.99000000000000004</v>
      </c>
      <c r="AS62" s="335"/>
      <c r="AT62" s="332" t="n">
        <v>2.99000000000000021</v>
      </c>
    </row>
    <row r="63" spans="29:46">
      <c r="AC63" s="345" t="s">
        <v>301</v>
      </c>
      <c r="AD63" s="4" t="n">
        <v>16</v>
      </c>
      <c r="AE63" s="292" t="n">
        <v>663</v>
      </c>
      <c r="AF63" s="77" t="s">
        <v>146</v>
      </c>
      <c r="AG63" s="335"/>
      <c r="AH63" s="335"/>
      <c r="AI63" s="329" t="n">
        <v>4</v>
      </c>
      <c r="AJ63" s="329" t="n">
        <v>4.99000000000000021</v>
      </c>
      <c r="AK63" s="329" t="n">
        <v>5</v>
      </c>
      <c r="AL63" s="330" t="n">
        <v>5.99000000000000021</v>
      </c>
      <c r="AM63" s="327" t="n">
        <v>4</v>
      </c>
      <c r="AN63" s="327" t="n">
        <v>4.99000000000000021</v>
      </c>
      <c r="AO63" s="335"/>
      <c r="AP63" s="332" t="n">
        <v>3.99000000000000021</v>
      </c>
      <c r="AQ63" s="329" t="n">
        <v>3</v>
      </c>
      <c r="AR63" s="329" t="n">
        <v>3.99000000000000021</v>
      </c>
      <c r="AS63" s="335"/>
      <c r="AT63" s="335"/>
    </row>
    <row r="64" spans="29:46">
      <c r="AC64" s="345" t="s">
        <v>302</v>
      </c>
      <c r="AD64" s="4" t="n">
        <v>16</v>
      </c>
      <c r="AE64" s="292" t="n">
        <v>644</v>
      </c>
      <c r="AF64" s="77"/>
      <c r="AG64" s="335"/>
      <c r="AH64" s="332" t="n">
        <v>1.99000000000000004</v>
      </c>
      <c r="AI64" s="327" t="n">
        <v>3</v>
      </c>
      <c r="AJ64" s="327" t="n">
        <v>3.99000000000000021</v>
      </c>
      <c r="AK64" s="327" t="n">
        <v>6</v>
      </c>
      <c r="AL64" s="337" t="n">
        <v>6.99000000000000021</v>
      </c>
      <c r="AM64" s="327" t="n">
        <v>5</v>
      </c>
      <c r="AN64" s="328" t="n">
        <v>5.99000000000000021</v>
      </c>
      <c r="AO64" s="335"/>
      <c r="AP64" s="332" t="n">
        <v>2.99000000000000021</v>
      </c>
      <c r="AQ64" s="329" t="n">
        <v>3</v>
      </c>
      <c r="AR64" s="329" t="n">
        <v>3.99000000000000021</v>
      </c>
      <c r="AS64" s="335"/>
      <c r="AT64" s="335"/>
    </row>
    <row r="65" spans="29:46">
      <c r="AC65" s="345" t="s">
        <v>303</v>
      </c>
      <c r="AD65" s="4" t="n">
        <v>16</v>
      </c>
      <c r="AE65" s="292" t="n">
        <v>607</v>
      </c>
      <c r="AF65" s="77" t="s">
        <v>156</v>
      </c>
      <c r="AG65" s="335"/>
      <c r="AH65" s="335"/>
      <c r="AI65" s="329" t="n">
        <v>4</v>
      </c>
      <c r="AJ65" s="329" t="n">
        <v>4.99000000000000021</v>
      </c>
      <c r="AK65" s="327" t="n">
        <v>4</v>
      </c>
      <c r="AL65" s="327" t="n">
        <v>4.99000000000000021</v>
      </c>
      <c r="AM65" s="329" t="n">
        <v>4</v>
      </c>
      <c r="AN65" s="329" t="n">
        <v>4.99000000000000021</v>
      </c>
      <c r="AO65" s="327" t="n">
        <v>4</v>
      </c>
      <c r="AP65" s="327" t="n">
        <v>4.99000000000000021</v>
      </c>
      <c r="AQ65" s="327" t="n">
        <v>5</v>
      </c>
      <c r="AR65" s="328" t="n">
        <v>5.99000000000000021</v>
      </c>
      <c r="AS65" s="335"/>
      <c r="AT65" s="332" t="n">
        <v>2.99000000000000021</v>
      </c>
    </row>
    <row r="66" spans="29:46">
      <c r="AC66" s="345" t="s">
        <v>304</v>
      </c>
      <c r="AD66" s="4" t="n">
        <v>17</v>
      </c>
      <c r="AE66" s="292" t="n">
        <v>621</v>
      </c>
      <c r="AF66" s="77" t="s">
        <v>156</v>
      </c>
      <c r="AG66" s="90"/>
      <c r="AH66" s="90"/>
      <c r="AI66" s="332" t="n">
        <v>3</v>
      </c>
      <c r="AJ66" s="332" t="n">
        <v>4.99000000000000021</v>
      </c>
      <c r="AK66" s="332" t="n">
        <v>5</v>
      </c>
      <c r="AL66" s="333" t="n">
        <v>6.99000000000000021</v>
      </c>
      <c r="AM66" s="329" t="n">
        <v>5</v>
      </c>
      <c r="AN66" s="330" t="n">
        <v>5.99000000000000021</v>
      </c>
      <c r="AO66" s="90"/>
      <c r="AP66" s="332" t="n">
        <v>2.99000000000000021</v>
      </c>
      <c r="AQ66" s="327" t="n">
        <v>5</v>
      </c>
      <c r="AR66" s="328" t="n">
        <v>5.99000000000000021</v>
      </c>
      <c r="AS66" s="90"/>
      <c r="AT66" s="332" t="n">
        <v>3.99000000000000021</v>
      </c>
    </row>
    <row r="67" spans="29:46">
      <c r="AC67" s="345" t="s">
        <v>305</v>
      </c>
      <c r="AD67" s="4" t="n">
        <v>16</v>
      </c>
      <c r="AE67" s="292" t="n">
        <v>571</v>
      </c>
      <c r="AF67" s="77"/>
      <c r="AG67" s="335"/>
      <c r="AH67" s="332" t="n">
        <v>1.99000000000000004</v>
      </c>
      <c r="AI67" s="327" t="n">
        <v>4</v>
      </c>
      <c r="AJ67" s="327" t="n">
        <v>4.99000000000000021</v>
      </c>
      <c r="AK67" s="329" t="n">
        <v>3</v>
      </c>
      <c r="AL67" s="329" t="n">
        <v>3.99000000000000021</v>
      </c>
      <c r="AM67" s="332" t="n">
        <v>7</v>
      </c>
      <c r="AN67" s="333" t="n">
        <v>7</v>
      </c>
      <c r="AO67" s="329" t="n">
        <v>2</v>
      </c>
      <c r="AP67" s="329" t="n">
        <v>2.99000000000000021</v>
      </c>
      <c r="AQ67" s="327" t="n">
        <v>4</v>
      </c>
      <c r="AR67" s="327" t="n">
        <v>4.99000000000000021</v>
      </c>
      <c r="AS67" s="335"/>
      <c r="AT67" s="335"/>
    </row>
    <row r="68" spans="29:46">
      <c r="AC68" s="345" t="s">
        <v>306</v>
      </c>
      <c r="AD68" s="4" t="n">
        <v>17</v>
      </c>
      <c r="AE68" s="292" t="n">
        <v>467</v>
      </c>
      <c r="AF68" s="77"/>
      <c r="AG68" s="90"/>
      <c r="AH68" s="90"/>
      <c r="AI68" s="90"/>
      <c r="AJ68" s="332" t="n">
        <v>2.99000000000000021</v>
      </c>
      <c r="AK68" s="329" t="n">
        <v>2</v>
      </c>
      <c r="AL68" s="329" t="n">
        <v>2.99000000000000021</v>
      </c>
      <c r="AM68" s="329" t="n">
        <v>5</v>
      </c>
      <c r="AN68" s="330" t="n">
        <v>5.99000000000000021</v>
      </c>
      <c r="AO68" s="90"/>
      <c r="AP68" s="331" t="n">
        <v>5.99000000000000021</v>
      </c>
      <c r="AQ68" s="327" t="n">
        <v>3</v>
      </c>
      <c r="AR68" s="327" t="n">
        <v>3.99000000000000021</v>
      </c>
      <c r="AS68" s="90"/>
      <c r="AT68" s="90"/>
    </row>
    <row r="69" spans="29:46">
      <c r="AC69" s="345" t="s">
        <v>307</v>
      </c>
      <c r="AD69" s="4" t="n">
        <v>16</v>
      </c>
      <c r="AE69" s="292" t="n">
        <v>475</v>
      </c>
      <c r="AF69" s="77"/>
      <c r="AG69" s="335"/>
      <c r="AH69" s="332" t="n">
        <v>1.99000000000000004</v>
      </c>
      <c r="AI69" s="335"/>
      <c r="AJ69" s="332" t="n">
        <v>3.99000000000000021</v>
      </c>
      <c r="AK69" s="327" t="n">
        <v>5</v>
      </c>
      <c r="AL69" s="328" t="n">
        <v>5.99000000000000021</v>
      </c>
      <c r="AM69" s="327" t="n">
        <v>6</v>
      </c>
      <c r="AN69" s="337" t="n">
        <v>6.99000000000000021</v>
      </c>
      <c r="AO69" s="335"/>
      <c r="AP69" s="335"/>
      <c r="AQ69" s="329" t="n">
        <v>2</v>
      </c>
      <c r="AR69" s="329" t="n">
        <v>2.99000000000000021</v>
      </c>
      <c r="AS69" s="335"/>
      <c r="AT69" s="335"/>
    </row>
    <row r="70" spans="29:46">
      <c r="AC70" s="345" t="s">
        <v>308</v>
      </c>
      <c r="AD70" s="4" t="n">
        <v>16</v>
      </c>
      <c r="AE70" s="292" t="n">
        <v>422</v>
      </c>
      <c r="AF70" s="77"/>
      <c r="AG70" s="335"/>
      <c r="AH70" s="335"/>
      <c r="AI70" s="329" t="n">
        <v>1</v>
      </c>
      <c r="AJ70" s="329" t="n">
        <v>1.99000000000000004</v>
      </c>
      <c r="AK70" s="327" t="n">
        <v>5</v>
      </c>
      <c r="AL70" s="328" t="n">
        <v>5.99000000000000021</v>
      </c>
      <c r="AM70" s="327" t="n">
        <v>4</v>
      </c>
      <c r="AN70" s="327" t="n">
        <v>4.99000000000000021</v>
      </c>
      <c r="AO70" s="335"/>
      <c r="AP70" s="332" t="n">
        <v>2.99000000000000021</v>
      </c>
      <c r="AQ70" s="335"/>
      <c r="AR70" s="332" t="n">
        <v>2.99000000000000021</v>
      </c>
      <c r="AS70" s="335"/>
      <c r="AT70" s="335"/>
    </row>
    <row r="71" spans="29:46">
      <c r="AC71" s="345" t="s">
        <v>309</v>
      </c>
      <c r="AD71" s="4" t="n">
        <v>16</v>
      </c>
      <c r="AE71" s="292" t="n">
        <v>434</v>
      </c>
      <c r="AF71" s="77"/>
      <c r="AG71" s="335"/>
      <c r="AH71" s="332" t="n">
        <v>1.99000000000000004</v>
      </c>
      <c r="AI71" s="332" t="n">
        <v>3</v>
      </c>
      <c r="AJ71" s="332" t="n">
        <v>4.99000000000000021</v>
      </c>
      <c r="AK71" s="327" t="n">
        <v>2</v>
      </c>
      <c r="AL71" s="327" t="n">
        <v>2.99000000000000021</v>
      </c>
      <c r="AM71" s="332" t="n">
        <v>4</v>
      </c>
      <c r="AN71" s="333" t="n">
        <v>6.99000000000000021</v>
      </c>
      <c r="AO71" s="335"/>
      <c r="AP71" s="332" t="n">
        <v>2.99000000000000021</v>
      </c>
      <c r="AQ71" s="335"/>
      <c r="AR71" s="333" t="n">
        <v>6.99000000000000021</v>
      </c>
      <c r="AS71" s="335"/>
      <c r="AT71" s="335"/>
    </row>
    <row r="72" spans="29:46">
      <c r="AC72" s="345" t="s">
        <v>310</v>
      </c>
      <c r="AD72" s="4" t="n">
        <v>16</v>
      </c>
      <c r="AE72" s="292" t="n">
        <v>454</v>
      </c>
      <c r="AF72" s="77"/>
      <c r="AG72" s="335"/>
      <c r="AH72" s="332" t="n">
        <v>1.99000000000000004</v>
      </c>
      <c r="AI72" s="335"/>
      <c r="AJ72" s="331" t="n">
        <v>5.99000000000000021</v>
      </c>
      <c r="AK72" s="327" t="n">
        <v>5</v>
      </c>
      <c r="AL72" s="328" t="n">
        <v>5.99000000000000021</v>
      </c>
      <c r="AM72" s="329" t="n">
        <v>4</v>
      </c>
      <c r="AN72" s="329" t="n">
        <v>4.99000000000000021</v>
      </c>
      <c r="AO72" s="332" t="n">
        <v>3</v>
      </c>
      <c r="AP72" s="331" t="n">
        <v>5.99000000000000021</v>
      </c>
      <c r="AQ72" s="332" t="n">
        <v>4</v>
      </c>
      <c r="AR72" s="331" t="n">
        <v>5.99000000000000021</v>
      </c>
      <c r="AS72" s="335"/>
      <c r="AT72" s="335"/>
    </row>
    <row r="73" spans="29:46">
      <c r="AC73" s="345" t="s">
        <v>311</v>
      </c>
      <c r="AD73" s="4" t="n">
        <v>16</v>
      </c>
      <c r="AE73" s="292" t="n">
        <v>458</v>
      </c>
      <c r="AF73" s="77"/>
      <c r="AG73" s="335"/>
      <c r="AH73" s="335"/>
      <c r="AI73" s="335"/>
      <c r="AJ73" s="332" t="n">
        <v>2.99000000000000021</v>
      </c>
      <c r="AK73" s="327" t="n">
        <v>5</v>
      </c>
      <c r="AL73" s="328" t="n">
        <v>5.99000000000000021</v>
      </c>
      <c r="AM73" s="332" t="n">
        <v>4</v>
      </c>
      <c r="AN73" s="331" t="n">
        <v>5.99000000000000021</v>
      </c>
      <c r="AO73" s="335"/>
      <c r="AP73" s="332" t="n">
        <v>3.99000000000000021</v>
      </c>
      <c r="AQ73" s="329" t="n">
        <v>2</v>
      </c>
      <c r="AR73" s="329" t="n">
        <v>2.99000000000000021</v>
      </c>
      <c r="AS73" s="335"/>
      <c r="AT73" s="335"/>
    </row>
    <row r="74" spans="29:46">
      <c r="AC74" s="345" t="s">
        <v>312</v>
      </c>
      <c r="AD74" s="4" t="n">
        <v>15</v>
      </c>
      <c r="AE74" s="292" t="n">
        <v>517</v>
      </c>
      <c r="AF74" s="77"/>
      <c r="AG74" s="335"/>
      <c r="AH74" s="335"/>
      <c r="AI74" s="335"/>
      <c r="AJ74" s="332" t="n">
        <v>4.99000000000000021</v>
      </c>
      <c r="AK74" s="335"/>
      <c r="AL74" s="335"/>
      <c r="AM74" s="335"/>
      <c r="AN74" s="332" t="n">
        <v>4.99000000000000021</v>
      </c>
      <c r="AO74" s="332" t="n">
        <v>3</v>
      </c>
      <c r="AP74" s="335"/>
      <c r="AQ74" s="335"/>
      <c r="AR74" s="331" t="n">
        <v>5.99000000000000021</v>
      </c>
      <c r="AS74" s="335"/>
      <c r="AT74" s="335"/>
    </row>
    <row r="75" spans="29:46">
      <c r="AC75" s="345" t="s">
        <v>313</v>
      </c>
      <c r="AD75" s="4" t="n">
        <v>17</v>
      </c>
      <c r="AE75" s="292" t="n">
        <v>499</v>
      </c>
      <c r="AF75" s="77"/>
      <c r="AG75" s="335"/>
      <c r="AH75" s="335"/>
      <c r="AI75" s="332" t="n">
        <v>4</v>
      </c>
      <c r="AJ75" s="331" t="n">
        <v>5.99000000000000021</v>
      </c>
      <c r="AK75" s="329" t="n">
        <v>4</v>
      </c>
      <c r="AL75" s="329" t="n">
        <v>4.99000000000000021</v>
      </c>
      <c r="AM75" s="329" t="n">
        <v>4</v>
      </c>
      <c r="AN75" s="329" t="n">
        <v>4.99000000000000021</v>
      </c>
      <c r="AO75" s="335"/>
      <c r="AP75" s="333" t="n">
        <v>6.99000000000000021</v>
      </c>
      <c r="AQ75" s="329" t="n">
        <v>2</v>
      </c>
      <c r="AR75" s="329" t="n">
        <v>2.99000000000000021</v>
      </c>
      <c r="AS75" s="335"/>
      <c r="AT75" s="335"/>
    </row>
    <row r="76" spans="29:46">
      <c r="AC76" s="345" t="s">
        <v>314</v>
      </c>
      <c r="AD76" s="4" t="n">
        <v>16</v>
      </c>
      <c r="AE76" s="292" t="n">
        <v>-1491</v>
      </c>
      <c r="AF76" s="77"/>
      <c r="AG76" s="90"/>
      <c r="AH76" s="90"/>
      <c r="AI76" s="341" t="n">
        <v>1</v>
      </c>
      <c r="AJ76" s="329" t="n">
        <v>1.99000000000000004</v>
      </c>
      <c r="AK76" s="342" t="n">
        <v>5</v>
      </c>
      <c r="AL76" s="328" t="n">
        <v>5.99000000000000021</v>
      </c>
      <c r="AM76" s="90"/>
      <c r="AN76" s="332" t="n">
        <v>2.99000000000000021</v>
      </c>
      <c r="AO76" s="342" t="s">
        <v>315</v>
      </c>
      <c r="AP76" s="328" t="n">
        <v>5.99000000000000021</v>
      </c>
      <c r="AQ76" s="342" t="n">
        <v>4</v>
      </c>
      <c r="AR76" s="328" t="n">
        <v>4.99000000000000021</v>
      </c>
      <c r="AS76" s="90"/>
      <c r="AT76" s="90"/>
    </row>
    <row r="77" spans="29:46">
      <c r="AC77" s="345" t="s">
        <v>316</v>
      </c>
      <c r="AD77" s="4" t="n">
        <v>16</v>
      </c>
      <c r="AE77" s="292" t="n">
        <v>336</v>
      </c>
      <c r="AF77" s="77" t="s">
        <v>182</v>
      </c>
      <c r="AG77" s="90"/>
      <c r="AH77" s="332" t="n">
        <v>1.99000000000000004</v>
      </c>
      <c r="AI77" s="342" t="n">
        <v>6</v>
      </c>
      <c r="AJ77" s="337" t="n">
        <v>6.99000000000000021</v>
      </c>
      <c r="AK77" s="342" t="n">
        <v>5</v>
      </c>
      <c r="AL77" s="328" t="n">
        <v>5.99000000000000021</v>
      </c>
      <c r="AM77" s="342" t="n">
        <v>3</v>
      </c>
      <c r="AN77" s="327" t="n">
        <v>3.99000000000000021</v>
      </c>
      <c r="AO77" s="341" t="n">
        <v>1</v>
      </c>
      <c r="AP77" s="329" t="n">
        <v>1.99000000000000004</v>
      </c>
      <c r="AQ77" s="341" t="n">
        <v>2</v>
      </c>
      <c r="AR77" s="329" t="n">
        <v>2.99000000000000021</v>
      </c>
      <c r="AS77" s="90"/>
      <c r="AT77" s="90"/>
    </row>
    <row r="78" spans="29:46">
      <c r="AC78" s="345" t="s">
        <v>317</v>
      </c>
      <c r="AD78" s="4" t="n">
        <v>16</v>
      </c>
      <c r="AE78" s="292" t="n">
        <v>305</v>
      </c>
      <c r="AF78" s="77" t="s">
        <v>182</v>
      </c>
      <c r="AG78" s="90"/>
      <c r="AH78" s="332" t="n">
        <v>1.99000000000000004</v>
      </c>
      <c r="AI78" s="90"/>
      <c r="AJ78" s="332" t="n">
        <v>3.99000000000000021</v>
      </c>
      <c r="AK78" s="90"/>
      <c r="AL78" s="332" t="n">
        <v>2.99000000000000021</v>
      </c>
      <c r="AM78" s="90"/>
      <c r="AN78" s="332" t="n">
        <v>2.99000000000000021</v>
      </c>
      <c r="AO78" s="341" t="n">
        <v>3</v>
      </c>
      <c r="AP78" s="329" t="n">
        <v>3.99000000000000021</v>
      </c>
      <c r="AQ78" s="342" t="n">
        <v>5</v>
      </c>
      <c r="AR78" s="328" t="n">
        <v>5.99000000000000021</v>
      </c>
      <c r="AS78" s="90"/>
      <c r="AT78" s="90"/>
    </row>
    <row r="79" spans="29:46">
      <c r="AC79" s="345" t="s">
        <v>318</v>
      </c>
      <c r="AD79" s="4" t="n">
        <v>16</v>
      </c>
      <c r="AE79" s="292" t="n">
        <v>262</v>
      </c>
      <c r="AF79" s="77"/>
      <c r="AG79" s="90"/>
      <c r="AH79" s="332" t="n">
        <v>1.99000000000000004</v>
      </c>
      <c r="AI79" s="341" t="n">
        <v>1</v>
      </c>
      <c r="AJ79" s="329" t="n">
        <v>1.99000000000000004</v>
      </c>
      <c r="AK79" s="342" t="n">
        <v>4</v>
      </c>
      <c r="AL79" s="327" t="n">
        <v>4.99000000000000021</v>
      </c>
      <c r="AM79" s="341" t="n">
        <v>5</v>
      </c>
      <c r="AN79" s="330" t="n">
        <v>5.99000000000000021</v>
      </c>
      <c r="AO79" s="342" t="n">
        <v>6</v>
      </c>
      <c r="AP79" s="337" t="n">
        <v>6.99000000000000021</v>
      </c>
      <c r="AQ79" s="342" t="n">
        <v>2</v>
      </c>
      <c r="AR79" s="327" t="n">
        <v>2.99000000000000021</v>
      </c>
      <c r="AS79" s="90"/>
      <c r="AT79" s="90"/>
    </row>
    <row r="80" spans="29:46">
      <c r="AC80" s="345" t="s">
        <v>319</v>
      </c>
      <c r="AD80" s="4" t="n">
        <v>17</v>
      </c>
      <c r="AE80" s="292" t="n">
        <v>208</v>
      </c>
      <c r="AF80" s="77"/>
      <c r="AG80" s="90"/>
      <c r="AH80" s="332" t="n">
        <v>1.99000000000000004</v>
      </c>
      <c r="AI80" s="341" t="n">
        <v>2</v>
      </c>
      <c r="AJ80" s="329" t="n">
        <v>2.99000000000000021</v>
      </c>
      <c r="AK80" s="343" t="n">
        <v>5</v>
      </c>
      <c r="AL80" s="333" t="n">
        <v>7</v>
      </c>
      <c r="AM80" s="341" t="n">
        <v>3</v>
      </c>
      <c r="AN80" s="329" t="n">
        <v>3.99000000000000021</v>
      </c>
      <c r="AO80" s="343" t="n">
        <v>4</v>
      </c>
      <c r="AP80" s="333" t="n">
        <v>6.99000000000000021</v>
      </c>
      <c r="AQ80" s="90"/>
      <c r="AR80" s="332" t="n">
        <v>2.99000000000000021</v>
      </c>
      <c r="AS80" s="90"/>
      <c r="AT80" s="90"/>
    </row>
    <row r="81" spans="29:46">
      <c r="AC81" s="345" t="s">
        <v>320</v>
      </c>
      <c r="AD81" s="4"/>
      <c r="AE81" s="292"/>
      <c r="AF81" s="77"/>
      <c r="AG81" s="344"/>
      <c r="AH81" s="344"/>
      <c r="AI81" s="344"/>
      <c r="AJ81" s="344"/>
      <c r="AK81" s="344"/>
      <c r="AL81" s="344"/>
      <c r="AM81" s="344"/>
      <c r="AN81" s="344"/>
      <c r="AO81" s="344"/>
      <c r="AP81" s="344"/>
      <c r="AQ81" s="344"/>
      <c r="AR81" s="344"/>
      <c r="AS81" s="344"/>
      <c r="AT81" s="344"/>
    </row>
    <row r="82" spans="29:46">
      <c r="AC82" s="345" t="s">
        <v>321</v>
      </c>
      <c r="AD82" s="4"/>
      <c r="AE82" s="292"/>
      <c r="AF82" s="77"/>
      <c r="AG82" s="344"/>
      <c r="AH82" s="344"/>
      <c r="AI82" s="344"/>
      <c r="AJ82" s="344"/>
      <c r="AK82" s="344"/>
      <c r="AL82" s="344"/>
      <c r="AM82" s="344"/>
      <c r="AN82" s="344"/>
      <c r="AO82" s="344"/>
      <c r="AP82" s="344"/>
      <c r="AQ82" s="344"/>
      <c r="AR82" s="344"/>
      <c r="AS82" s="344"/>
      <c r="AT82" s="344"/>
    </row>
    <row r="83" spans="29:46">
      <c r="AC83" s="345" t="s">
        <v>322</v>
      </c>
      <c r="AD83" s="4"/>
      <c r="AE83" s="292"/>
      <c r="AF83" s="77"/>
      <c r="AG83" s="344"/>
      <c r="AH83" s="344"/>
      <c r="AI83" s="344"/>
      <c r="AJ83" s="344"/>
      <c r="AK83" s="344"/>
      <c r="AL83" s="344"/>
      <c r="AM83" s="344"/>
      <c r="AN83" s="344"/>
      <c r="AO83" s="344"/>
      <c r="AP83" s="344"/>
      <c r="AQ83" s="344"/>
      <c r="AR83" s="344"/>
      <c r="AS83" s="344"/>
      <c r="AT83" s="344"/>
    </row>
    <row r="84" spans="29:46">
      <c r="AC84" s="345" t="s">
        <v>323</v>
      </c>
      <c r="AD84" s="4" t="n">
        <v>16</v>
      </c>
      <c r="AE84" s="292" t="n">
        <v>146</v>
      </c>
      <c r="AF84" s="77"/>
      <c r="AG84" s="90"/>
      <c r="AH84" s="90"/>
      <c r="AI84" s="341" t="n">
        <v>3</v>
      </c>
      <c r="AJ84" s="329" t="n">
        <v>3.99000000000000021</v>
      </c>
      <c r="AK84" s="341" t="n">
        <v>5</v>
      </c>
      <c r="AL84" s="330" t="n">
        <v>5.99000000000000021</v>
      </c>
      <c r="AM84" s="341" t="n">
        <v>3</v>
      </c>
      <c r="AN84" s="329" t="n">
        <v>3.99000000000000021</v>
      </c>
      <c r="AO84" s="341" t="n">
        <v>1</v>
      </c>
      <c r="AP84" s="329" t="n">
        <v>1.99000000000000004</v>
      </c>
      <c r="AQ84" s="90"/>
      <c r="AR84" s="332" t="n">
        <v>1.99000000000000004</v>
      </c>
      <c r="AS84" s="90"/>
      <c r="AT84" s="90"/>
    </row>
    <row r="85" spans="29:46">
      <c r="AC85" s="345" t="s">
        <v>324</v>
      </c>
      <c r="AD85" s="4" t="n">
        <v>16</v>
      </c>
      <c r="AE85" s="292" t="n">
        <v>210</v>
      </c>
      <c r="AF85" s="77"/>
      <c r="AG85" s="342" t="n">
        <v>6</v>
      </c>
      <c r="AH85" s="337" t="n">
        <v>6.99000000000000021</v>
      </c>
      <c r="AI85" s="341" t="n">
        <v>2.60000000000000009</v>
      </c>
      <c r="AJ85" s="329" t="n">
        <v>2.99000000000000021</v>
      </c>
      <c r="AK85" s="90"/>
      <c r="AL85" s="332" t="n">
        <v>3.99000000000000021</v>
      </c>
      <c r="AM85" s="90"/>
      <c r="AN85" s="332" t="n">
        <v>1.99000000000000004</v>
      </c>
      <c r="AO85" s="90"/>
      <c r="AP85" s="332" t="n">
        <v>0.990000000000000036</v>
      </c>
      <c r="AQ85" s="90"/>
      <c r="AR85" s="332" t="n">
        <v>2.99000000000000021</v>
      </c>
      <c r="AS85" s="90"/>
      <c r="AT85" s="90"/>
    </row>
    <row r="86" spans="29:46">
      <c r="AC86" s="345" t="s">
        <v>325</v>
      </c>
      <c r="AD86" s="4" t="n">
        <v>17</v>
      </c>
      <c r="AE86" s="292" t="n">
        <v>384</v>
      </c>
      <c r="AF86" s="77" t="s">
        <v>163</v>
      </c>
      <c r="AG86" s="90"/>
      <c r="AH86" s="332" t="n">
        <v>1.99000000000000004</v>
      </c>
      <c r="AI86" s="341" t="n">
        <v>3</v>
      </c>
      <c r="AJ86" s="329" t="n">
        <v>3.99000000000000021</v>
      </c>
      <c r="AK86" s="341" t="n">
        <v>5</v>
      </c>
      <c r="AL86" s="330" t="n">
        <v>5.99000000000000021</v>
      </c>
      <c r="AM86" s="341" t="n">
        <v>1</v>
      </c>
      <c r="AN86" s="329" t="n">
        <v>1.99000000000000004</v>
      </c>
      <c r="AO86" s="341" t="n">
        <v>4</v>
      </c>
      <c r="AP86" s="329" t="n">
        <v>4.99000000000000021</v>
      </c>
      <c r="AQ86" s="342" t="n">
        <v>4</v>
      </c>
      <c r="AR86" s="327" t="n">
        <v>4.99000000000000021</v>
      </c>
      <c r="AS86" s="90"/>
      <c r="AT86" s="90"/>
    </row>
    <row r="87" spans="29:46">
      <c r="AC87" s="345" t="s">
        <v>326</v>
      </c>
      <c r="AD87" s="4" t="n">
        <v>17</v>
      </c>
      <c r="AE87" s="292" t="n">
        <v>382</v>
      </c>
      <c r="AF87" s="77"/>
      <c r="AG87" s="335"/>
      <c r="AH87" s="332" t="n">
        <v>1.99000000000000004</v>
      </c>
      <c r="AI87" s="342" t="n">
        <v>5</v>
      </c>
      <c r="AJ87" s="328" t="n">
        <v>5.99000000000000021</v>
      </c>
      <c r="AK87" s="341" t="n">
        <v>4</v>
      </c>
      <c r="AL87" s="329" t="n">
        <v>4.99000000000000021</v>
      </c>
      <c r="AM87" s="343" t="n">
        <v>2</v>
      </c>
      <c r="AN87" s="332" t="n">
        <v>3.99000000000000021</v>
      </c>
      <c r="AO87" s="341" t="n">
        <v>4</v>
      </c>
      <c r="AP87" s="329" t="n">
        <v>4.99000000000000021</v>
      </c>
      <c r="AQ87" s="335"/>
      <c r="AR87" s="332" t="n">
        <v>4.99000000000000021</v>
      </c>
      <c r="AS87" s="335"/>
      <c r="AT87" s="335"/>
    </row>
    <row r="88" spans="29:46">
      <c r="AC88" s="345" t="s">
        <v>327</v>
      </c>
      <c r="AD88" s="4" t="n">
        <v>18</v>
      </c>
      <c r="AE88" s="292" t="n">
        <v>408</v>
      </c>
      <c r="AF88" s="77"/>
      <c r="AG88" s="90"/>
      <c r="AH88" s="332" t="n">
        <v>1.99000000000000004</v>
      </c>
      <c r="AI88" s="341" t="n">
        <v>2</v>
      </c>
      <c r="AJ88" s="329" t="n">
        <v>2.99000000000000021</v>
      </c>
      <c r="AK88" s="90"/>
      <c r="AL88" s="332" t="n">
        <v>4.99000000000000021</v>
      </c>
      <c r="AM88" s="90"/>
      <c r="AN88" s="331" t="n">
        <v>5.99000000000000021</v>
      </c>
      <c r="AO88" s="341" t="n">
        <v>4</v>
      </c>
      <c r="AP88" s="329" t="n">
        <v>4.99000000000000021</v>
      </c>
      <c r="AQ88" s="341" t="n">
        <v>3</v>
      </c>
      <c r="AR88" s="329" t="n">
        <v>3.99000000000000021</v>
      </c>
      <c r="AS88" s="90"/>
      <c r="AT88" s="90"/>
    </row>
    <row r="89" spans="29:46">
      <c r="AC89" s="345" t="s">
        <v>328</v>
      </c>
      <c r="AD89" s="4" t="n">
        <v>18</v>
      </c>
      <c r="AE89" s="292" t="n">
        <v>423</v>
      </c>
      <c r="AF89" s="77" t="s">
        <v>156</v>
      </c>
      <c r="AG89" s="335"/>
      <c r="AH89" s="332" t="n">
        <v>1.99000000000000004</v>
      </c>
      <c r="AI89" s="341" t="n">
        <v>2</v>
      </c>
      <c r="AJ89" s="329" t="n">
        <v>2.99000000000000021</v>
      </c>
      <c r="AK89" s="342" t="n">
        <v>4</v>
      </c>
      <c r="AL89" s="327" t="n">
        <v>4.99000000000000021</v>
      </c>
      <c r="AM89" s="341" t="n">
        <v>5</v>
      </c>
      <c r="AN89" s="330" t="n">
        <v>5.99000000000000021</v>
      </c>
      <c r="AO89" s="341" t="n">
        <v>3</v>
      </c>
      <c r="AP89" s="329" t="n">
        <v>3.99000000000000021</v>
      </c>
      <c r="AQ89" s="343" t="n">
        <v>3</v>
      </c>
      <c r="AR89" s="333" t="n">
        <v>7</v>
      </c>
      <c r="AS89" s="335"/>
      <c r="AT89" s="335"/>
    </row>
    <row r="90" spans="29:46">
      <c r="AC90" s="345" t="s">
        <v>329</v>
      </c>
      <c r="AD90" s="4" t="n">
        <v>17</v>
      </c>
      <c r="AE90" s="292" t="n">
        <v>408</v>
      </c>
      <c r="AF90" s="77" t="s">
        <v>163</v>
      </c>
      <c r="AG90" s="90"/>
      <c r="AH90" s="332" t="n">
        <v>0.990000000000000036</v>
      </c>
      <c r="AI90" s="341" t="n">
        <v>4</v>
      </c>
      <c r="AJ90" s="329" t="n">
        <v>4.99000000000000021</v>
      </c>
      <c r="AK90" s="341" t="n">
        <v>2</v>
      </c>
      <c r="AL90" s="329" t="n">
        <v>2.99000000000000021</v>
      </c>
      <c r="AM90" s="343" t="n">
        <v>4</v>
      </c>
      <c r="AN90" s="331" t="n">
        <v>5.99000000000000021</v>
      </c>
      <c r="AO90" s="341" t="n">
        <v>2</v>
      </c>
      <c r="AP90" s="329" t="n">
        <v>2.99000000000000021</v>
      </c>
      <c r="AQ90" s="341" t="n">
        <v>2</v>
      </c>
      <c r="AR90" s="329" t="n">
        <v>2.99000000000000021</v>
      </c>
      <c r="AS90" s="90"/>
      <c r="AT90" s="90"/>
    </row>
    <row r="91" spans="29:46">
      <c r="AC91" s="345" t="s">
        <v>330</v>
      </c>
      <c r="AD91" s="4" t="n">
        <v>17</v>
      </c>
      <c r="AE91" s="292" t="n">
        <v>330</v>
      </c>
      <c r="AF91" s="77"/>
      <c r="AG91" s="335"/>
      <c r="AH91" s="335"/>
      <c r="AI91" s="335"/>
      <c r="AJ91" s="332" t="n">
        <v>2.99000000000000021</v>
      </c>
      <c r="AK91" s="341" t="n">
        <v>3</v>
      </c>
      <c r="AL91" s="329" t="n">
        <v>3.99000000000000021</v>
      </c>
      <c r="AM91" s="343" t="n">
        <v>5</v>
      </c>
      <c r="AN91" s="333" t="n">
        <v>6.99000000000000021</v>
      </c>
      <c r="AO91" s="342" t="n">
        <v>4</v>
      </c>
      <c r="AP91" s="327" t="n">
        <v>4.99000000000000021</v>
      </c>
      <c r="AQ91" s="342" t="n">
        <v>4</v>
      </c>
      <c r="AR91" s="327" t="n">
        <v>4.99000000000000021</v>
      </c>
      <c r="AS91" s="335"/>
      <c r="AT91" s="335"/>
    </row>
    <row r="92" spans="29:46">
      <c r="AC92" s="345" t="s">
        <v>331</v>
      </c>
      <c r="AD92" s="4" t="n">
        <v>16</v>
      </c>
      <c r="AE92" s="292" t="n">
        <v>329</v>
      </c>
      <c r="AF92" s="77"/>
      <c r="AG92" s="335"/>
      <c r="AH92" s="335"/>
      <c r="AI92" s="342" t="n">
        <v>3</v>
      </c>
      <c r="AJ92" s="327" t="n">
        <v>3.99000000000000021</v>
      </c>
      <c r="AK92" s="343" t="n">
        <v>4</v>
      </c>
      <c r="AL92" s="333" t="n">
        <v>6.99000000000000021</v>
      </c>
      <c r="AM92" s="335"/>
      <c r="AN92" s="332" t="n">
        <v>3.99000000000000021</v>
      </c>
      <c r="AO92" s="342" t="n">
        <v>3</v>
      </c>
      <c r="AP92" s="327" t="n">
        <v>3.99000000000000021</v>
      </c>
      <c r="AQ92" s="335"/>
      <c r="AR92" s="332" t="n">
        <v>3.99000000000000021</v>
      </c>
      <c r="AS92" s="335"/>
      <c r="AT92" s="335"/>
    </row>
    <row r="93" spans="29:46">
      <c r="AC93" s="345" t="s">
        <v>332</v>
      </c>
      <c r="AD93" s="4" t="n">
        <v>16</v>
      </c>
      <c r="AE93" s="292" t="n">
        <v>331</v>
      </c>
      <c r="AF93" s="77"/>
      <c r="AG93" s="335"/>
      <c r="AH93" s="335"/>
      <c r="AI93" s="341" t="n">
        <v>2</v>
      </c>
      <c r="AJ93" s="329" t="n">
        <v>2.99000000000000021</v>
      </c>
      <c r="AK93" s="342" t="n">
        <v>4</v>
      </c>
      <c r="AL93" s="327" t="n">
        <v>4.99000000000000021</v>
      </c>
      <c r="AM93" s="341" t="n">
        <v>2</v>
      </c>
      <c r="AN93" s="329" t="n">
        <v>2.99000000000000021</v>
      </c>
      <c r="AO93" s="341" t="n">
        <v>3</v>
      </c>
      <c r="AP93" s="329" t="n">
        <v>3.99000000000000021</v>
      </c>
      <c r="AQ93" s="343" t="n">
        <v>4</v>
      </c>
      <c r="AR93" s="333" t="n">
        <v>6.99000000000000021</v>
      </c>
      <c r="AS93" s="335"/>
      <c r="AT93" s="335"/>
    </row>
    <row r="94" spans="29:46">
      <c r="AC94" s="345" t="s">
        <v>333</v>
      </c>
      <c r="AD94" s="4" t="n">
        <v>16</v>
      </c>
      <c r="AE94" s="292" t="n">
        <v>342</v>
      </c>
      <c r="AF94" s="77"/>
      <c r="AG94" s="335"/>
      <c r="AH94" s="335"/>
      <c r="AI94" s="343" t="n">
        <v>4</v>
      </c>
      <c r="AJ94" s="333" t="n">
        <v>6.99000000000000021</v>
      </c>
      <c r="AK94" s="341" t="n">
        <v>2</v>
      </c>
      <c r="AL94" s="329" t="n">
        <v>2.99000000000000021</v>
      </c>
      <c r="AM94" s="342" t="n">
        <v>2</v>
      </c>
      <c r="AN94" s="327" t="n">
        <v>2.99000000000000021</v>
      </c>
      <c r="AO94" s="342" t="n">
        <v>5</v>
      </c>
      <c r="AP94" s="328" t="n">
        <v>5.99000000000000021</v>
      </c>
      <c r="AQ94" s="343" t="n">
        <v>1</v>
      </c>
      <c r="AR94" s="332" t="n">
        <v>2.99000000000000021</v>
      </c>
      <c r="AS94" s="335"/>
      <c r="AT94" s="332" t="n">
        <v>3.99000000000000021</v>
      </c>
    </row>
    <row r="95" spans="29:46">
      <c r="AC95" s="345" t="s">
        <v>334</v>
      </c>
      <c r="AD95" s="4" t="n">
        <v>16</v>
      </c>
      <c r="AE95" s="292" t="n">
        <v>373</v>
      </c>
      <c r="AF95" s="77"/>
      <c r="AG95" s="90"/>
      <c r="AH95" s="90"/>
      <c r="AI95" s="342" t="n">
        <v>5</v>
      </c>
      <c r="AJ95" s="328" t="n">
        <v>5.99000000000000021</v>
      </c>
      <c r="AK95" s="341" t="n">
        <v>5</v>
      </c>
      <c r="AL95" s="330" t="n">
        <v>5.99000000000000021</v>
      </c>
      <c r="AM95" s="90"/>
      <c r="AN95" s="332" t="n">
        <v>4.99000000000000021</v>
      </c>
      <c r="AO95" s="90"/>
      <c r="AP95" s="332" t="n">
        <v>4.99000000000000021</v>
      </c>
      <c r="AQ95" s="90"/>
      <c r="AR95" s="332" t="n">
        <v>4.99000000000000021</v>
      </c>
      <c r="AS95" s="90"/>
      <c r="AT95" s="90"/>
    </row>
    <row r="96" spans="29:46">
      <c r="AC96" s="345" t="s">
        <v>335</v>
      </c>
      <c r="AD96" s="4" t="n">
        <v>16</v>
      </c>
      <c r="AE96" s="292" t="n">
        <v>390</v>
      </c>
      <c r="AF96" s="77" t="s">
        <v>182</v>
      </c>
      <c r="AG96" s="90"/>
      <c r="AH96" s="90"/>
      <c r="AI96" s="341" t="n">
        <v>1</v>
      </c>
      <c r="AJ96" s="329" t="n">
        <v>1.99000000000000004</v>
      </c>
      <c r="AK96" s="341" t="n">
        <v>6</v>
      </c>
      <c r="AL96" s="334" t="n">
        <v>6.99000000000000021</v>
      </c>
      <c r="AM96" s="342" t="n">
        <v>2</v>
      </c>
      <c r="AN96" s="327" t="n">
        <v>2.99000000000000021</v>
      </c>
      <c r="AO96" s="341" t="n">
        <v>5</v>
      </c>
      <c r="AP96" s="330" t="n">
        <v>5.99000000000000021</v>
      </c>
      <c r="AQ96" s="342" t="n">
        <v>4</v>
      </c>
      <c r="AR96" s="327" t="n">
        <v>4.99000000000000021</v>
      </c>
      <c r="AS96" s="90"/>
      <c r="AT96" s="332" t="n">
        <v>3.99000000000000021</v>
      </c>
    </row>
    <row r="97" spans="29:46">
      <c r="AC97" s="345" t="s">
        <v>336</v>
      </c>
      <c r="AD97" s="4" t="n">
        <v>16</v>
      </c>
      <c r="AE97" s="292" t="n">
        <v>262</v>
      </c>
      <c r="AF97" s="77"/>
      <c r="AG97" s="90"/>
      <c r="AH97" s="90"/>
      <c r="AI97" s="342" t="n">
        <v>6</v>
      </c>
      <c r="AJ97" s="337" t="n">
        <v>6.99000000000000021</v>
      </c>
      <c r="AK97" s="342" t="n">
        <v>3</v>
      </c>
      <c r="AL97" s="327" t="n">
        <v>3.99000000000000021</v>
      </c>
      <c r="AM97" s="342" t="n">
        <v>5</v>
      </c>
      <c r="AN97" s="328" t="n">
        <v>5.99000000000000021</v>
      </c>
      <c r="AO97" s="90"/>
      <c r="AP97" s="332" t="n">
        <v>2.99000000000000021</v>
      </c>
      <c r="AQ97" s="343" t="n">
        <v>3</v>
      </c>
      <c r="AR97" s="332" t="n">
        <v>4.99000000000000021</v>
      </c>
      <c r="AS97" s="90"/>
      <c r="AT97" s="90"/>
    </row>
    <row r="98" spans="29:46">
      <c r="AC98" s="345" t="s">
        <v>337</v>
      </c>
      <c r="AD98" s="4" t="n">
        <v>16</v>
      </c>
      <c r="AE98" s="292" t="n">
        <v>240</v>
      </c>
      <c r="AF98" s="77" t="s">
        <v>182</v>
      </c>
      <c r="AG98" s="90"/>
      <c r="AH98" s="90"/>
      <c r="AI98" s="90"/>
      <c r="AJ98" s="332" t="n">
        <v>2.99000000000000021</v>
      </c>
      <c r="AK98" s="342" t="n">
        <v>5</v>
      </c>
      <c r="AL98" s="328" t="n">
        <v>5.99000000000000021</v>
      </c>
      <c r="AM98" s="341" t="n">
        <v>2</v>
      </c>
      <c r="AN98" s="329" t="n">
        <v>2.99000000000000021</v>
      </c>
      <c r="AO98" s="341" t="n">
        <v>3</v>
      </c>
      <c r="AP98" s="329" t="n">
        <v>3.99000000000000021</v>
      </c>
      <c r="AQ98" s="343" t="n">
        <v>3</v>
      </c>
      <c r="AR98" s="332" t="n">
        <v>4.99000000000000021</v>
      </c>
      <c r="AS98" s="90"/>
      <c r="AT98" s="90"/>
    </row>
    <row r="99" spans="29:46">
      <c r="AC99" s="345" t="s">
        <v>338</v>
      </c>
      <c r="AD99" s="4" t="n">
        <v>16</v>
      </c>
      <c r="AE99" s="292" t="n">
        <v>255</v>
      </c>
      <c r="AF99" s="77"/>
      <c r="AG99" s="90"/>
      <c r="AH99" s="332" t="n">
        <v>0.990000000000000036</v>
      </c>
      <c r="AI99" s="341" t="n">
        <v>2</v>
      </c>
      <c r="AJ99" s="329" t="n">
        <v>2.99000000000000021</v>
      </c>
      <c r="AK99" s="343" t="n">
        <v>5</v>
      </c>
      <c r="AL99" s="333" t="n">
        <v>6.99000000000000021</v>
      </c>
      <c r="AM99" s="342" t="n">
        <v>2</v>
      </c>
      <c r="AN99" s="327" t="n">
        <v>2.99000000000000021</v>
      </c>
      <c r="AO99" s="341" t="n">
        <v>2</v>
      </c>
      <c r="AP99" s="329" t="n">
        <v>2.99000000000000021</v>
      </c>
      <c r="AQ99" s="341" t="n">
        <v>2</v>
      </c>
      <c r="AR99" s="329" t="n">
        <v>2.99000000000000021</v>
      </c>
      <c r="AS99" s="90"/>
      <c r="AT99" s="90"/>
    </row>
    <row r="100" spans="29:46">
      <c r="AC100" s="345" t="s">
        <v>339</v>
      </c>
      <c r="AD100" s="4" t="n">
        <v>18</v>
      </c>
      <c r="AE100" s="292" t="n">
        <v>238</v>
      </c>
      <c r="AF100" s="77" t="s">
        <v>156</v>
      </c>
      <c r="AG100" s="335"/>
      <c r="AH100" s="332" t="n">
        <v>1.99000000000000004</v>
      </c>
      <c r="AI100" s="342" t="n">
        <v>4</v>
      </c>
      <c r="AJ100" s="327" t="n">
        <v>4.99000000000000021</v>
      </c>
      <c r="AK100" s="341" t="n">
        <v>2</v>
      </c>
      <c r="AL100" s="329" t="n">
        <v>2.99000000000000021</v>
      </c>
      <c r="AM100" s="341" t="n">
        <v>3</v>
      </c>
      <c r="AN100" s="329" t="n">
        <v>3.99000000000000021</v>
      </c>
      <c r="AO100" s="341" t="n">
        <v>1</v>
      </c>
      <c r="AP100" s="329" t="n">
        <v>1.99000000000000004</v>
      </c>
      <c r="AQ100" s="343" t="n">
        <v>4</v>
      </c>
      <c r="AR100" s="333" t="n">
        <v>6.99000000000000021</v>
      </c>
      <c r="AS100" s="335"/>
      <c r="AT100" s="335"/>
    </row>
    <row r="101" spans="29:46">
      <c r="AC101" s="345" t="s">
        <v>340</v>
      </c>
      <c r="AD101" s="4" t="n">
        <v>17</v>
      </c>
      <c r="AE101" s="292" t="n">
        <v>105</v>
      </c>
      <c r="AF101" s="77" t="s">
        <v>156</v>
      </c>
      <c r="AG101" s="90"/>
      <c r="AH101" s="332" t="n">
        <v>1.99000000000000004</v>
      </c>
      <c r="AI101" s="341" t="n">
        <v>3</v>
      </c>
      <c r="AJ101" s="329" t="n">
        <v>3.99000000000000021</v>
      </c>
      <c r="AK101" s="342" t="n">
        <v>5</v>
      </c>
      <c r="AL101" s="328" t="n">
        <v>5.99000000000000021</v>
      </c>
      <c r="AM101" s="341" t="n">
        <v>4</v>
      </c>
      <c r="AN101" s="329" t="n">
        <v>4.99000000000000021</v>
      </c>
      <c r="AO101" s="341" t="n">
        <v>4</v>
      </c>
      <c r="AP101" s="329" t="n">
        <v>4.99000000000000021</v>
      </c>
      <c r="AQ101" s="90"/>
      <c r="AR101" s="332" t="n">
        <v>2.99000000000000021</v>
      </c>
      <c r="AS101" s="90"/>
      <c r="AT101" s="90"/>
    </row>
    <row r="102" spans="29:46">
      <c r="AC102" s="345" t="s">
        <v>341</v>
      </c>
      <c r="AD102" s="4" t="n">
        <v>17</v>
      </c>
      <c r="AE102" s="292" t="n">
        <v>181</v>
      </c>
      <c r="AF102" s="77" t="s">
        <v>163</v>
      </c>
      <c r="AG102" s="90"/>
      <c r="AH102" s="90"/>
      <c r="AI102" s="342" t="n">
        <v>5</v>
      </c>
      <c r="AJ102" s="328" t="n">
        <v>5.99000000000000021</v>
      </c>
      <c r="AK102" s="342" t="n">
        <v>4</v>
      </c>
      <c r="AL102" s="327" t="n">
        <v>4.99000000000000021</v>
      </c>
      <c r="AM102" s="90"/>
      <c r="AN102" s="331" t="n">
        <v>5.99000000000000021</v>
      </c>
      <c r="AO102" s="341" t="n">
        <v>3</v>
      </c>
      <c r="AP102" s="329" t="n">
        <v>3.99000000000000021</v>
      </c>
      <c r="AQ102" s="90"/>
      <c r="AR102" s="332" t="n">
        <v>2.99000000000000021</v>
      </c>
      <c r="AS102" s="90"/>
      <c r="AT102" s="90"/>
    </row>
    <row r="103" spans="29:46">
      <c r="AC103" s="345" t="s">
        <v>342</v>
      </c>
      <c r="AD103" s="4" t="n">
        <v>17</v>
      </c>
      <c r="AE103" s="292" t="n">
        <v>34</v>
      </c>
      <c r="AF103" s="77" t="s">
        <v>159</v>
      </c>
      <c r="AG103" s="335"/>
      <c r="AH103" s="332" t="n">
        <v>0.990000000000000036</v>
      </c>
      <c r="AI103" s="341" t="n">
        <v>5</v>
      </c>
      <c r="AJ103" s="330" t="n">
        <v>5.99000000000000021</v>
      </c>
      <c r="AK103" s="343" t="n">
        <v>4</v>
      </c>
      <c r="AL103" s="331" t="n">
        <v>5.99000000000000021</v>
      </c>
      <c r="AM103" s="342" t="n">
        <v>6</v>
      </c>
      <c r="AN103" s="337" t="n">
        <v>6.99000000000000021</v>
      </c>
      <c r="AO103" s="335"/>
      <c r="AP103" s="332" t="n">
        <v>2.99000000000000021</v>
      </c>
      <c r="AQ103" s="342" t="n">
        <v>5</v>
      </c>
      <c r="AR103" s="328" t="n">
        <v>5.99000000000000021</v>
      </c>
      <c r="AS103" s="335"/>
      <c r="AT103" s="335"/>
    </row>
    <row r="104" spans="29:46">
      <c r="AC104" s="345" t="s">
        <v>343</v>
      </c>
      <c r="AD104" s="4" t="n">
        <v>17</v>
      </c>
      <c r="AE104" s="292" t="n">
        <v>51</v>
      </c>
      <c r="AF104" s="77" t="s">
        <v>182</v>
      </c>
      <c r="AG104" s="90"/>
      <c r="AH104" s="90"/>
      <c r="AI104" s="341" t="n">
        <v>5</v>
      </c>
      <c r="AJ104" s="330" t="n">
        <v>5.99000000000000021</v>
      </c>
      <c r="AK104" s="342" t="n">
        <v>4</v>
      </c>
      <c r="AL104" s="327" t="n">
        <v>4.99000000000000021</v>
      </c>
      <c r="AM104" s="90"/>
      <c r="AN104" s="332" t="n">
        <v>2.99000000000000021</v>
      </c>
      <c r="AO104" s="90"/>
      <c r="AP104" s="332" t="n">
        <v>3.99000000000000021</v>
      </c>
      <c r="AQ104" s="342" t="n">
        <v>3</v>
      </c>
      <c r="AR104" s="327" t="n">
        <v>3.99000000000000021</v>
      </c>
      <c r="AS104" s="90"/>
      <c r="AT104" s="90"/>
    </row>
    <row r="105" spans="29:46">
      <c r="AC105" s="345" t="s">
        <v>344</v>
      </c>
      <c r="AD105" s="4" t="n">
        <v>18</v>
      </c>
      <c r="AE105" s="292" t="n">
        <v>26</v>
      </c>
      <c r="AF105" s="77"/>
      <c r="AG105" s="90"/>
      <c r="AH105" s="332" t="n">
        <v>0.990000000000000036</v>
      </c>
      <c r="AI105" s="342" t="n">
        <v>6</v>
      </c>
      <c r="AJ105" s="337" t="n">
        <v>6.99000000000000021</v>
      </c>
      <c r="AK105" s="342" t="n">
        <v>4</v>
      </c>
      <c r="AL105" s="327" t="n">
        <v>4.99000000000000021</v>
      </c>
      <c r="AM105" s="90"/>
      <c r="AN105" s="332" t="n">
        <v>3.99000000000000021</v>
      </c>
      <c r="AO105" s="90"/>
      <c r="AP105" s="332" t="n">
        <v>2.99000000000000021</v>
      </c>
      <c r="AQ105" s="90"/>
      <c r="AR105" s="332" t="n">
        <v>2.99000000000000021</v>
      </c>
      <c r="AS105" s="90"/>
      <c r="AT105" s="90"/>
    </row>
    <row r="106" spans="29:46">
      <c r="AC106" s="345" t="s">
        <v>345</v>
      </c>
      <c r="AD106" s="4" t="n">
        <v>17</v>
      </c>
      <c r="AE106" s="292" t="n">
        <v>43</v>
      </c>
      <c r="AF106" s="77" t="s">
        <v>156</v>
      </c>
      <c r="AG106" s="9"/>
      <c r="AH106" s="9"/>
      <c r="AI106" s="461" t="n">
        <v>6</v>
      </c>
      <c r="AJ106" s="324" t="n">
        <v>6.99000000000000021</v>
      </c>
      <c r="AK106" s="462" t="n">
        <v>5</v>
      </c>
      <c r="AL106" s="463" t="n">
        <v>5.99000000000000021</v>
      </c>
      <c r="AM106" s="461" t="n">
        <v>6</v>
      </c>
      <c r="AN106" s="324" t="n">
        <v>6.99000000000000021</v>
      </c>
      <c r="AO106" s="462" t="n">
        <v>2</v>
      </c>
      <c r="AP106" s="321" t="n">
        <v>2.99000000000000021</v>
      </c>
      <c r="AQ106" s="461" t="n">
        <v>3</v>
      </c>
      <c r="AR106" s="323" t="n">
        <v>3.99000000000000021</v>
      </c>
      <c r="AS106" s="90"/>
      <c r="AT106" s="90"/>
    </row>
    <row r="107" spans="29:46">
      <c r="AC107" s="316" t="s">
        <v>346</v>
      </c>
      <c r="AD107" s="4" t="n">
        <v>17</v>
      </c>
      <c r="AE107" s="292" t="n">
        <v>58</v>
      </c>
      <c r="AF107" s="77"/>
      <c r="AG107" s="90"/>
      <c r="AH107" s="90"/>
      <c r="AI107" s="342" t="n">
        <v>6</v>
      </c>
      <c r="AJ107" s="337" t="n">
        <v>6.99000000000000021</v>
      </c>
      <c r="AK107" s="344"/>
      <c r="AL107" s="332" t="n">
        <v>2.99000000000000021</v>
      </c>
      <c r="AM107" s="90"/>
      <c r="AN107" s="332" t="n">
        <v>1.99000000000000004</v>
      </c>
      <c r="AO107" s="343" t="n">
        <v>2</v>
      </c>
      <c r="AP107" s="332" t="n">
        <v>2.99000000000000021</v>
      </c>
      <c r="AQ107" s="90"/>
      <c r="AR107" s="333" t="n">
        <v>6.99000000000000021</v>
      </c>
      <c r="AS107" s="90"/>
      <c r="AT107" s="332" t="n">
        <v>2.99000000000000021</v>
      </c>
    </row>
    <row r="108" spans="29:46">
      <c r="AC108" s="316" t="s">
        <v>347</v>
      </c>
      <c r="AD108" s="4" t="n">
        <v>17</v>
      </c>
      <c r="AE108" s="292" t="n">
        <v>68</v>
      </c>
      <c r="AF108" s="77"/>
      <c r="AG108" s="90"/>
      <c r="AH108" s="332" t="n">
        <v>1.99000000000000004</v>
      </c>
      <c r="AI108" s="341" t="n">
        <v>1</v>
      </c>
      <c r="AJ108" s="329" t="n">
        <v>1.99000000000000004</v>
      </c>
      <c r="AK108" s="341" t="n">
        <v>4</v>
      </c>
      <c r="AL108" s="329" t="n">
        <v>4.99000000000000021</v>
      </c>
      <c r="AM108" s="341" t="n">
        <v>5</v>
      </c>
      <c r="AN108" s="330" t="n">
        <v>5.99000000000000021</v>
      </c>
      <c r="AO108" s="341" t="n">
        <v>3</v>
      </c>
      <c r="AP108" s="329" t="n">
        <v>3.99000000000000021</v>
      </c>
      <c r="AQ108" s="343" t="n">
        <v>3</v>
      </c>
      <c r="AR108" s="333" t="n">
        <v>6.99000000000000021</v>
      </c>
      <c r="AS108" s="90"/>
      <c r="AT108" s="90"/>
    </row>
    <row r="109" spans="29:46">
      <c r="AC109" s="316" t="s">
        <v>348</v>
      </c>
      <c r="AD109" s="4" t="n">
        <v>17</v>
      </c>
      <c r="AE109" s="292">
        <f>37+$A$33-$A$32</f>
        <v>429</v>
      </c>
      <c r="AF109" s="77"/>
      <c r="AG109" s="335"/>
      <c r="AH109" s="335"/>
      <c r="AI109" s="342" t="n">
        <v>6</v>
      </c>
      <c r="AJ109" s="337" t="n">
        <v>6.99000000000000021</v>
      </c>
      <c r="AK109" s="343" t="n">
        <v>4</v>
      </c>
      <c r="AL109" s="333" t="n">
        <v>6.99000000000000021</v>
      </c>
      <c r="AM109" s="341" t="n">
        <v>4</v>
      </c>
      <c r="AN109" s="329" t="n">
        <v>4.99000000000000021</v>
      </c>
      <c r="AO109" s="341" t="n">
        <v>2</v>
      </c>
      <c r="AP109" s="329" t="n">
        <v>2.99000000000000021</v>
      </c>
      <c r="AQ109" s="342" t="n">
        <v>4</v>
      </c>
      <c r="AR109" s="327" t="n">
        <v>4.99000000000000021</v>
      </c>
      <c r="AS109" s="335"/>
      <c r="AT109" s="335"/>
    </row>
    <row r="110" spans="29:46">
      <c r="AC110" s="316" t="s">
        <v>349</v>
      </c>
      <c r="AD110" s="4" t="n">
        <v>17</v>
      </c>
      <c r="AE110" s="292" t="n">
        <v>1</v>
      </c>
      <c r="AF110" s="77"/>
      <c r="AG110" s="335"/>
      <c r="AH110" s="332" t="n">
        <v>1.99000000000000004</v>
      </c>
      <c r="AI110" s="341" t="n">
        <v>2</v>
      </c>
      <c r="AJ110" s="329" t="n">
        <v>2.99000000000000021</v>
      </c>
      <c r="AK110" s="342" t="n">
        <v>4</v>
      </c>
      <c r="AL110" s="327" t="n">
        <v>4.99000000000000021</v>
      </c>
      <c r="AM110" s="342" t="n">
        <v>4</v>
      </c>
      <c r="AN110" s="327" t="n">
        <v>4.99000000000000021</v>
      </c>
      <c r="AO110" s="342" t="n">
        <v>5</v>
      </c>
      <c r="AP110" s="328" t="n">
        <v>5.99000000000000021</v>
      </c>
      <c r="AQ110" s="341" t="n">
        <v>2</v>
      </c>
      <c r="AR110" s="329" t="n">
        <v>2.99000000000000021</v>
      </c>
      <c r="AS110" s="335"/>
      <c r="AT110" s="335"/>
    </row>
  </sheetData>
  <mergeCells count="7">
    <mergeCell ref="A1:E1"/>
    <mergeCell ref="AC1:AF1"/>
    <mergeCell ref="A3:E3"/>
    <mergeCell ref="AC3:AF3"/>
    <mergeCell ref="AG3:AT3"/>
    <mergeCell ref="A10:E10"/>
    <mergeCell ref="A15:E15"/>
  </mergeCells>
  <conditionalFormatting sqref="E8">
    <cfRule type="cellIs" dxfId="7" priority="1" operator="between">
      <formula>1</formula>
      <formula>50</formula>
    </cfRule>
  </conditionalFormatting>
  <conditionalFormatting sqref="E8">
    <cfRule type="cellIs" dxfId="8" priority="2" operator="greaterThan">
      <formula>50</formula>
    </cfRule>
  </conditionalFormatting>
  <conditionalFormatting sqref="E8">
    <cfRule type="cellIs" dxfId="9" priority="3" operator="lessThan">
      <formula>1</formula>
    </cfRule>
  </conditionalFormatting>
  <conditionalFormatting sqref="E20">
    <cfRule type="cellIs" dxfId="10" priority="4" operator="between">
      <formula>1</formula>
      <formula>50</formula>
    </cfRule>
  </conditionalFormatting>
  <conditionalFormatting sqref="E20">
    <cfRule type="cellIs" dxfId="11" priority="5" operator="greaterThan">
      <formula>50</formula>
    </cfRule>
  </conditionalFormatting>
  <conditionalFormatting sqref="E20">
    <cfRule type="cellIs" dxfId="12" priority="6" operator="lessThan">
      <formula>1</formula>
    </cfRule>
  </conditionalFormatting>
  <conditionalFormatting sqref="E20">
    <cfRule type="cellIs" dxfId="13" priority="7" operator="between">
      <formula>1</formula>
      <formula>50</formula>
    </cfRule>
  </conditionalFormatting>
  <conditionalFormatting sqref="E20">
    <cfRule type="cellIs" dxfId="14" priority="8" operator="greaterThan">
      <formula>50</formula>
    </cfRule>
  </conditionalFormatting>
  <conditionalFormatting sqref="E20">
    <cfRule type="cellIs" dxfId="15" priority="9" operator="lessThan">
      <formula>1</formula>
    </cfRule>
  </conditionalFormatting>
  <conditionalFormatting sqref="W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6">
    <cfRule type="cellIs" dxfId="16" priority="11" operator="between">
      <formula>1</formula>
      <formula>50</formula>
    </cfRule>
  </conditionalFormatting>
  <conditionalFormatting sqref="E26">
    <cfRule type="cellIs" dxfId="17" priority="12" operator="greaterThan">
      <formula>50</formula>
    </cfRule>
  </conditionalFormatting>
  <conditionalFormatting sqref="E26">
    <cfRule type="cellIs" dxfId="18" priority="13" operator="lessThan">
      <formula>1</formula>
    </cfRule>
  </conditionalFormatting>
  <conditionalFormatting sqref="E25">
    <cfRule type="cellIs" dxfId="19" priority="14" operator="between">
      <formula>1</formula>
      <formula>50</formula>
    </cfRule>
  </conditionalFormatting>
  <conditionalFormatting sqref="E25">
    <cfRule type="cellIs" dxfId="20" priority="15" operator="greaterThan">
      <formula>50</formula>
    </cfRule>
  </conditionalFormatting>
  <conditionalFormatting sqref="E25">
    <cfRule type="cellIs" dxfId="21" priority="16" operator="lessThan">
      <formula>1</formula>
    </cfRule>
  </conditionalFormatting>
  <conditionalFormatting sqref="E24">
    <cfRule type="cellIs" dxfId="22" priority="17" operator="between">
      <formula>1</formula>
      <formula>50</formula>
    </cfRule>
  </conditionalFormatting>
  <conditionalFormatting sqref="E24">
    <cfRule type="cellIs" dxfId="23" priority="18" operator="greaterThan">
      <formula>50</formula>
    </cfRule>
  </conditionalFormatting>
  <conditionalFormatting sqref="E24">
    <cfRule type="cellIs" dxfId="24" priority="19" operator="lessThan">
      <formula>1</formula>
    </cfRule>
  </conditionalFormatting>
  <conditionalFormatting sqref="E23">
    <cfRule type="cellIs" dxfId="25" priority="20" operator="between">
      <formula>1</formula>
      <formula>50</formula>
    </cfRule>
  </conditionalFormatting>
  <conditionalFormatting sqref="E23">
    <cfRule type="cellIs" dxfId="26" priority="21" operator="greaterThan">
      <formula>50</formula>
    </cfRule>
  </conditionalFormatting>
  <conditionalFormatting sqref="E23">
    <cfRule type="cellIs" dxfId="27" priority="22" operator="lessThan">
      <formula>1</formula>
    </cfRule>
  </conditionalFormatting>
  <conditionalFormatting sqref="E22">
    <cfRule type="cellIs" dxfId="28" priority="23" operator="between">
      <formula>1</formula>
      <formula>50</formula>
    </cfRule>
  </conditionalFormatting>
  <conditionalFormatting sqref="E22">
    <cfRule type="cellIs" dxfId="29" priority="24" operator="greaterThan">
      <formula>50</formula>
    </cfRule>
  </conditionalFormatting>
  <conditionalFormatting sqref="E22">
    <cfRule type="cellIs" dxfId="30" priority="25" operator="lessThan">
      <formula>1</formula>
    </cfRule>
  </conditionalFormatting>
  <conditionalFormatting sqref="E18">
    <cfRule type="cellIs" dxfId="31" priority="26" operator="between">
      <formula>1</formula>
      <formula>50</formula>
    </cfRule>
  </conditionalFormatting>
  <conditionalFormatting sqref="E18">
    <cfRule type="cellIs" dxfId="32" priority="27" operator="greaterThan">
      <formula>50</formula>
    </cfRule>
  </conditionalFormatting>
  <conditionalFormatting sqref="E18">
    <cfRule type="cellIs" dxfId="33" priority="28" operator="lessThan">
      <formula>1</formula>
    </cfRule>
  </conditionalFormatting>
  <conditionalFormatting sqref="W1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9">
    <cfRule type="cellIs" dxfId="34" priority="30" operator="between">
      <formula>1</formula>
      <formula>50</formula>
    </cfRule>
  </conditionalFormatting>
  <conditionalFormatting sqref="E19">
    <cfRule type="cellIs" dxfId="35" priority="31" operator="greaterThan">
      <formula>50</formula>
    </cfRule>
  </conditionalFormatting>
  <conditionalFormatting sqref="E19">
    <cfRule type="cellIs" dxfId="36" priority="32" operator="lessThan">
      <formula>1</formula>
    </cfRule>
  </conditionalFormatting>
  <conditionalFormatting sqref="E6:E9 E13:E14 E18:E21 E27:E29">
    <cfRule type="cellIs" dxfId="37" priority="33" operator="between">
      <formula>1</formula>
      <formula>50</formula>
    </cfRule>
  </conditionalFormatting>
  <conditionalFormatting sqref="E6:E9 E13:E14 E18:E21 E27:E29">
    <cfRule type="cellIs" dxfId="38" priority="34" operator="greaterThan">
      <formula>50</formula>
    </cfRule>
  </conditionalFormatting>
  <conditionalFormatting sqref="E6:E9 E13:E14 E18:E21 E27:E29">
    <cfRule type="cellIs" dxfId="39" priority="35" operator="lessThan">
      <formula>1</formula>
    </cfRule>
  </conditionalFormatting>
  <conditionalFormatting sqref="W6:W9 W13:W14 W18 W21:W2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>
    <extLst>
      <ext uri="smNativeData">
        <pm:pageFlags xmlns:pm="smNativeData" id="1595601780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601780" l="56" r="56" t="56" b="56" borderId="0" fillId="0" vertical="0"/>
        <pm:footer xmlns:pm="smNativeData" id="1595601780" l="56" r="56" t="56" b="56" borderId="0" fillId="0" vertical="2"/>
      </ext>
    </extLst>
  </headerFooter>
  <extLst>
    <ext uri="smNativeData">
      <pm:sheetPrefs xmlns:pm="smNativeData" day="1595601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00"/>
  </sheetPr>
  <dimension ref="A2:AI34"/>
  <sheetViews>
    <sheetView view="normal" workbookViewId="0">
      <selection activeCell="AG5" sqref="AG5"/>
    </sheetView>
  </sheetViews>
  <sheetFormatPr baseColWidth="10" defaultColWidth="10.714286" defaultRowHeight="15.40"/>
  <cols>
    <col min="1" max="1" width="5.142857" customWidth="1"/>
    <col min="2" max="2" width="6.571429" customWidth="1"/>
    <col min="3" max="3" width="15.142857" customWidth="1"/>
    <col min="4" max="4" width="12.285714" customWidth="1"/>
    <col min="5" max="5" width="5.571429" customWidth="1"/>
    <col min="6" max="6" width="5.000000" customWidth="1"/>
    <col min="7" max="9" width="4.571429" customWidth="1"/>
    <col min="10" max="11" width="3.571429" customWidth="1"/>
    <col min="12" max="13" width="4.571429" customWidth="1"/>
    <col min="14" max="14" width="7.285714" customWidth="1"/>
    <col min="15" max="15" width="7.714286" customWidth="1"/>
    <col min="16" max="16" width="11.285714" customWidth="1"/>
    <col min="17" max="17" width="5.142857" customWidth="1"/>
    <col min="18" max="18" width="6.571429" customWidth="1"/>
    <col min="19" max="19" width="12.285714" customWidth="1"/>
    <col min="20" max="20" width="5.571429" customWidth="1"/>
    <col min="21" max="21" width="5.000000" customWidth="1"/>
    <col min="22" max="24" width="4.571429" customWidth="1"/>
    <col min="25" max="26" width="3.571429" customWidth="1"/>
    <col min="27" max="28" width="4.571429" customWidth="1"/>
    <col min="29" max="29" width="7.285714" customWidth="1"/>
    <col min="30" max="30" width="7.714286" customWidth="1"/>
    <col min="31" max="31" width="11.285714" customWidth="1"/>
    <col min="32" max="32" width="22.857143" customWidth="1"/>
    <col min="33" max="33" width="3.571429" customWidth="1"/>
    <col min="34" max="34" width="11.285714" customWidth="1"/>
  </cols>
  <sheetData>
    <row r="2" spans="2:30">
      <c r="B2" s="62"/>
      <c r="N2" s="54">
        <f>SUM(N4:N17)</f>
        <v>106000</v>
      </c>
      <c r="O2" s="54">
        <f>SUM(O4:O17)</f>
        <v>104670</v>
      </c>
      <c r="R2" s="62"/>
      <c r="AC2" s="54">
        <f>SUM(AC4:AC17)</f>
        <v>135786.195000000007</v>
      </c>
      <c r="AD2" s="54">
        <f>SUM(AD4:AD17)</f>
        <v>155054.826000000001</v>
      </c>
    </row>
    <row r="3" spans="1:35">
      <c r="A3" s="87" t="s">
        <v>350</v>
      </c>
      <c r="B3" s="85" t="s">
        <v>85</v>
      </c>
      <c r="C3" s="85" t="s">
        <v>351</v>
      </c>
      <c r="D3" s="85" t="s">
        <v>352</v>
      </c>
      <c r="E3" s="85" t="s">
        <v>353</v>
      </c>
      <c r="F3" s="85" t="s">
        <v>89</v>
      </c>
      <c r="G3" s="85" t="s">
        <v>107</v>
      </c>
      <c r="H3" s="85" t="s">
        <v>108</v>
      </c>
      <c r="I3" s="85" t="s">
        <v>109</v>
      </c>
      <c r="J3" s="85" t="s">
        <v>110</v>
      </c>
      <c r="K3" s="85" t="s">
        <v>111</v>
      </c>
      <c r="L3" s="85" t="s">
        <v>112</v>
      </c>
      <c r="M3" s="85" t="s">
        <v>90</v>
      </c>
      <c r="N3" s="85" t="s">
        <v>354</v>
      </c>
      <c r="O3" s="128" t="s">
        <v>355</v>
      </c>
      <c r="Q3" s="87" t="s">
        <v>350</v>
      </c>
      <c r="R3" s="85" t="s">
        <v>85</v>
      </c>
      <c r="S3" s="85" t="s">
        <v>352</v>
      </c>
      <c r="T3" s="85" t="s">
        <v>353</v>
      </c>
      <c r="U3" s="85" t="s">
        <v>89</v>
      </c>
      <c r="V3" s="85" t="s">
        <v>107</v>
      </c>
      <c r="W3" s="85" t="s">
        <v>108</v>
      </c>
      <c r="X3" s="85" t="s">
        <v>109</v>
      </c>
      <c r="Y3" s="85" t="s">
        <v>110</v>
      </c>
      <c r="Z3" s="85" t="s">
        <v>111</v>
      </c>
      <c r="AA3" s="85" t="s">
        <v>112</v>
      </c>
      <c r="AB3" s="85" t="s">
        <v>90</v>
      </c>
      <c r="AC3" s="85" t="s">
        <v>354</v>
      </c>
      <c r="AD3" s="128" t="s">
        <v>355</v>
      </c>
      <c r="AF3" s="62" t="s">
        <v>356</v>
      </c>
      <c r="AG3" t="n">
        <v>0</v>
      </c>
      <c r="AI3" s="8" t="s">
        <v>357</v>
      </c>
    </row>
    <row r="4" spans="1:35">
      <c r="A4" s="251" t="s">
        <v>145</v>
      </c>
      <c r="B4" s="74" t="s">
        <v>14</v>
      </c>
      <c r="C4" s="75"/>
      <c r="D4" s="75"/>
      <c r="E4" s="75"/>
      <c r="F4" s="75"/>
      <c r="G4" s="91" t="n">
        <v>2</v>
      </c>
      <c r="H4" s="83" t="n">
        <v>2</v>
      </c>
      <c r="I4" s="91" t="n">
        <v>2</v>
      </c>
      <c r="J4" s="83" t="n">
        <v>0</v>
      </c>
      <c r="K4" s="91" t="n">
        <v>0</v>
      </c>
      <c r="L4" s="83" t="n">
        <v>0</v>
      </c>
      <c r="M4" s="91" t="n">
        <v>2</v>
      </c>
      <c r="N4" s="102"/>
      <c r="O4" s="54"/>
      <c r="Q4" s="251" t="s">
        <v>145</v>
      </c>
      <c r="R4" s="74" t="str">
        <f>B4</f>
        <v>POR</v>
      </c>
      <c r="S4" s="75"/>
      <c r="T4" s="75"/>
      <c r="U4" s="75"/>
      <c r="V4" s="91">
        <f>G4</f>
        <v>2</v>
      </c>
      <c r="W4" s="91">
        <f>H4</f>
        <v>2</v>
      </c>
      <c r="X4" s="91">
        <f>I4</f>
        <v>2</v>
      </c>
      <c r="Y4" s="91">
        <f>J4</f>
        <v>0</v>
      </c>
      <c r="Z4" s="91">
        <f>K4</f>
        <v>0</v>
      </c>
      <c r="AA4" s="91">
        <f>L4</f>
        <v>0</v>
      </c>
      <c r="AB4" s="91">
        <f>M4</f>
        <v>2</v>
      </c>
      <c r="AC4" s="102">
        <f>N4</f>
        <v>0</v>
      </c>
      <c r="AD4" s="54">
        <f>AC4*1.2</f>
        <v>0</v>
      </c>
      <c r="AF4" s="62" t="s">
        <v>358</v>
      </c>
      <c r="AG4" t="n">
        <v>32</v>
      </c>
      <c r="AI4" t="s">
        <v>359</v>
      </c>
    </row>
    <row r="5" spans="1:35">
      <c r="A5" s="251" t="s">
        <v>157</v>
      </c>
      <c r="B5" s="74" t="s">
        <v>37</v>
      </c>
      <c r="C5" s="75"/>
      <c r="D5" s="75" t="s">
        <v>360</v>
      </c>
      <c r="E5" s="75"/>
      <c r="F5" s="75"/>
      <c r="G5" s="91" t="n">
        <v>0</v>
      </c>
      <c r="H5" s="83" t="n">
        <v>2</v>
      </c>
      <c r="I5" s="83" t="n">
        <v>2</v>
      </c>
      <c r="J5" s="83" t="n">
        <v>2</v>
      </c>
      <c r="K5" s="91" t="n">
        <v>2</v>
      </c>
      <c r="L5" s="83" t="n">
        <v>2</v>
      </c>
      <c r="M5" s="91" t="n">
        <v>2</v>
      </c>
      <c r="N5" s="102"/>
      <c r="O5" s="54"/>
      <c r="Q5" s="251" t="s">
        <v>157</v>
      </c>
      <c r="R5" s="74" t="str">
        <f>B5</f>
        <v>DEF</v>
      </c>
      <c r="S5" s="75" t="str">
        <f>D5</f>
        <v>IMP/CAB</v>
      </c>
      <c r="T5" s="75"/>
      <c r="U5" s="75"/>
      <c r="V5" s="91">
        <f>G5</f>
        <v>0</v>
      </c>
      <c r="W5" s="91">
        <f>H5</f>
        <v>2</v>
      </c>
      <c r="X5" s="91">
        <f>I5</f>
        <v>2</v>
      </c>
      <c r="Y5" s="91">
        <f>J5</f>
        <v>2</v>
      </c>
      <c r="Z5" s="91">
        <f>K5</f>
        <v>2</v>
      </c>
      <c r="AA5" s="91">
        <f>L5</f>
        <v>2</v>
      </c>
      <c r="AB5" s="91">
        <f>M5</f>
        <v>2</v>
      </c>
      <c r="AC5" s="102">
        <f>N5</f>
        <v>0</v>
      </c>
      <c r="AD5" s="54">
        <f>AC5*1.2</f>
        <v>0</v>
      </c>
      <c r="AF5" s="62" t="s">
        <v>200</v>
      </c>
      <c r="AG5" t="n">
        <v>0</v>
      </c>
      <c r="AI5" t="s">
        <v>361</v>
      </c>
    </row>
    <row r="6" spans="1:35">
      <c r="A6" s="251" t="s">
        <v>166</v>
      </c>
      <c r="B6" s="74" t="s">
        <v>37</v>
      </c>
      <c r="C6" s="75"/>
      <c r="D6" s="75" t="s">
        <v>360</v>
      </c>
      <c r="E6" s="75"/>
      <c r="F6" s="75"/>
      <c r="G6" s="91" t="n">
        <v>0</v>
      </c>
      <c r="H6" s="83" t="n">
        <v>2</v>
      </c>
      <c r="I6" s="83" t="n">
        <v>2</v>
      </c>
      <c r="J6" s="83" t="n">
        <v>2</v>
      </c>
      <c r="K6" s="91" t="n">
        <v>2</v>
      </c>
      <c r="L6" s="83" t="n">
        <v>2</v>
      </c>
      <c r="M6" s="91" t="n">
        <v>2</v>
      </c>
      <c r="N6" s="102"/>
      <c r="O6" s="54"/>
      <c r="Q6" s="251" t="s">
        <v>166</v>
      </c>
      <c r="R6" s="74" t="str">
        <f>B6</f>
        <v>DEF</v>
      </c>
      <c r="S6" s="75" t="str">
        <f>D6</f>
        <v>IMP/CAB</v>
      </c>
      <c r="T6" s="75"/>
      <c r="U6" s="75"/>
      <c r="V6" s="91">
        <f>G6</f>
        <v>0</v>
      </c>
      <c r="W6" s="91">
        <f>H6</f>
        <v>2</v>
      </c>
      <c r="X6" s="91">
        <f>I6</f>
        <v>2</v>
      </c>
      <c r="Y6" s="91">
        <f>J6</f>
        <v>2</v>
      </c>
      <c r="Z6" s="91">
        <f>K6</f>
        <v>2</v>
      </c>
      <c r="AA6" s="91">
        <f>L6</f>
        <v>2</v>
      </c>
      <c r="AB6" s="91">
        <f>M6</f>
        <v>2</v>
      </c>
      <c r="AC6" s="102">
        <f>N6</f>
        <v>0</v>
      </c>
      <c r="AD6" s="54">
        <f>AC6*1.2</f>
        <v>0</v>
      </c>
      <c r="AF6" s="62" t="s">
        <v>199</v>
      </c>
      <c r="AG6" t="n">
        <v>17</v>
      </c>
      <c r="AI6" t="s">
        <v>362</v>
      </c>
    </row>
    <row r="7" spans="1:35">
      <c r="A7" s="251" t="s">
        <v>168</v>
      </c>
      <c r="B7" s="74" t="s">
        <v>37</v>
      </c>
      <c r="C7" s="75"/>
      <c r="D7" s="75" t="s">
        <v>360</v>
      </c>
      <c r="E7" s="75"/>
      <c r="F7" s="75"/>
      <c r="G7" s="91" t="n">
        <v>0</v>
      </c>
      <c r="H7" s="83" t="n">
        <v>2</v>
      </c>
      <c r="I7" s="83" t="n">
        <v>2</v>
      </c>
      <c r="J7" s="83" t="n">
        <v>2</v>
      </c>
      <c r="K7" s="91" t="n">
        <v>2</v>
      </c>
      <c r="L7" s="83" t="n">
        <v>2</v>
      </c>
      <c r="M7" s="91" t="n">
        <v>2</v>
      </c>
      <c r="N7" s="102"/>
      <c r="O7" s="54"/>
      <c r="Q7" s="251" t="s">
        <v>168</v>
      </c>
      <c r="R7" s="74" t="str">
        <f>B7</f>
        <v>DEF</v>
      </c>
      <c r="S7" s="75" t="str">
        <f>D7</f>
        <v>IMP/CAB</v>
      </c>
      <c r="T7" s="75"/>
      <c r="U7" s="75"/>
      <c r="V7" s="91">
        <f>G7</f>
        <v>0</v>
      </c>
      <c r="W7" s="91">
        <f>H7</f>
        <v>2</v>
      </c>
      <c r="X7" s="91">
        <f>I7</f>
        <v>2</v>
      </c>
      <c r="Y7" s="91">
        <f>J7</f>
        <v>2</v>
      </c>
      <c r="Z7" s="91">
        <f>K7</f>
        <v>2</v>
      </c>
      <c r="AA7" s="91">
        <f>L7</f>
        <v>2</v>
      </c>
      <c r="AB7" s="91">
        <f>M7</f>
        <v>2</v>
      </c>
      <c r="AC7" s="102">
        <f>N7</f>
        <v>0</v>
      </c>
      <c r="AD7" s="54">
        <f>AC7*1.2</f>
        <v>0</v>
      </c>
      <c r="AF7" s="62" t="s">
        <v>363</v>
      </c>
      <c r="AG7">
        <f>AG5+AG4+AG3+AG6</f>
        <v>49</v>
      </c>
      <c r="AI7" t="s">
        <v>364</v>
      </c>
    </row>
    <row r="8" spans="1:33">
      <c r="A8" s="251" t="s">
        <v>365</v>
      </c>
      <c r="B8" s="74" t="s">
        <v>37</v>
      </c>
      <c r="C8" s="75"/>
      <c r="D8" s="75" t="s">
        <v>360</v>
      </c>
      <c r="E8" s="75"/>
      <c r="F8" s="75"/>
      <c r="G8" s="91" t="n">
        <v>0</v>
      </c>
      <c r="H8" s="83" t="n">
        <v>2</v>
      </c>
      <c r="I8" s="83" t="n">
        <v>2</v>
      </c>
      <c r="J8" s="83" t="n">
        <v>2</v>
      </c>
      <c r="K8" s="91" t="n">
        <v>2</v>
      </c>
      <c r="L8" s="83" t="n">
        <v>2</v>
      </c>
      <c r="M8" s="91" t="n">
        <v>2</v>
      </c>
      <c r="N8" s="102"/>
      <c r="O8" s="54"/>
      <c r="Q8" s="251" t="s">
        <v>365</v>
      </c>
      <c r="R8" s="74" t="str">
        <f>B8</f>
        <v>DEF</v>
      </c>
      <c r="S8" s="75" t="str">
        <f>D8</f>
        <v>IMP/CAB</v>
      </c>
      <c r="T8" s="75"/>
      <c r="U8" s="75"/>
      <c r="V8" s="91">
        <f>G8</f>
        <v>0</v>
      </c>
      <c r="W8" s="91">
        <f>H8</f>
        <v>2</v>
      </c>
      <c r="X8" s="91">
        <f>I8</f>
        <v>2</v>
      </c>
      <c r="Y8" s="91">
        <f>J8</f>
        <v>2</v>
      </c>
      <c r="Z8" s="91">
        <f>K8</f>
        <v>2</v>
      </c>
      <c r="AA8" s="91">
        <f>L8</f>
        <v>2</v>
      </c>
      <c r="AB8" s="91">
        <f>M8</f>
        <v>2</v>
      </c>
      <c r="AC8" s="102">
        <f>N8</f>
        <v>0</v>
      </c>
      <c r="AD8" s="54">
        <f>AC8*1.2</f>
        <v>0</v>
      </c>
      <c r="AF8" s="62" t="s">
        <v>366</v>
      </c>
      <c r="AG8" s="76">
        <f>AG7/16</f>
        <v>3.0625</v>
      </c>
    </row>
    <row r="9" spans="1:30">
      <c r="A9" s="251" t="s">
        <v>367</v>
      </c>
      <c r="B9" s="74" t="s">
        <v>37</v>
      </c>
      <c r="C9" s="75"/>
      <c r="D9" s="75" t="s">
        <v>360</v>
      </c>
      <c r="E9" s="75"/>
      <c r="F9" s="75"/>
      <c r="G9" s="91" t="n">
        <v>0</v>
      </c>
      <c r="H9" s="83" t="n">
        <v>2</v>
      </c>
      <c r="I9" s="83" t="n">
        <v>2</v>
      </c>
      <c r="J9" s="83" t="n">
        <v>2</v>
      </c>
      <c r="K9" s="91" t="n">
        <v>2</v>
      </c>
      <c r="L9" s="83" t="n">
        <v>2</v>
      </c>
      <c r="M9" s="91" t="n">
        <v>2</v>
      </c>
      <c r="N9" s="102"/>
      <c r="O9" s="54"/>
      <c r="Q9" s="251" t="s">
        <v>367</v>
      </c>
      <c r="R9" s="74" t="str">
        <f>B9</f>
        <v>DEF</v>
      </c>
      <c r="S9" s="75" t="str">
        <f>D9</f>
        <v>IMP/CAB</v>
      </c>
      <c r="T9" s="75"/>
      <c r="U9" s="75"/>
      <c r="V9" s="91">
        <f>G9</f>
        <v>0</v>
      </c>
      <c r="W9" s="91">
        <f>H9</f>
        <v>2</v>
      </c>
      <c r="X9" s="91">
        <f>I9</f>
        <v>2</v>
      </c>
      <c r="Y9" s="91">
        <f>J9</f>
        <v>2</v>
      </c>
      <c r="Z9" s="91">
        <f>K9</f>
        <v>2</v>
      </c>
      <c r="AA9" s="91">
        <f>L9</f>
        <v>2</v>
      </c>
      <c r="AB9" s="91">
        <f>M9</f>
        <v>2</v>
      </c>
      <c r="AC9" s="102">
        <f>N9</f>
        <v>0</v>
      </c>
      <c r="AD9" s="54">
        <f>AC9*1.2</f>
        <v>0</v>
      </c>
    </row>
    <row r="10" spans="1:30">
      <c r="A10" s="251" t="s">
        <v>368</v>
      </c>
      <c r="B10" s="74" t="s">
        <v>369</v>
      </c>
      <c r="C10" s="233" t="str">
        <f>Plantilla!D16</f>
        <v>I. Vanags</v>
      </c>
      <c r="D10" s="75" t="str">
        <f>Plantilla!G16</f>
        <v>CAB</v>
      </c>
      <c r="E10" s="75" t="n">
        <v>18</v>
      </c>
      <c r="F10" s="75" t="n">
        <v>64</v>
      </c>
      <c r="G10" s="91">
        <f>Plantilla!X16</f>
        <v>0</v>
      </c>
      <c r="H10" s="91">
        <f>Plantilla!Y16</f>
        <v>4</v>
      </c>
      <c r="I10" s="91">
        <f>Plantilla!Z16</f>
        <v>13</v>
      </c>
      <c r="J10" s="91">
        <f>Plantilla!AA16</f>
        <v>3</v>
      </c>
      <c r="K10" s="91">
        <f>Plantilla!AB16</f>
        <v>4</v>
      </c>
      <c r="L10" s="91">
        <f>Plantilla!AC16</f>
        <v>7</v>
      </c>
      <c r="M10" s="91">
        <f>Plantilla!AD16</f>
        <v>16.3333333333333002</v>
      </c>
      <c r="N10" s="102">
        <f>Plantilla!V16</f>
        <v>19500</v>
      </c>
      <c r="O10" s="54" t="n">
        <v>870</v>
      </c>
      <c r="Q10" s="251" t="s">
        <v>368</v>
      </c>
      <c r="R10" s="74" t="str">
        <f>B10</f>
        <v>Inners</v>
      </c>
      <c r="S10" s="75" t="str">
        <f>D10</f>
        <v>CAB</v>
      </c>
      <c r="T10" s="75">
        <f>E10+3+1</f>
        <v>22</v>
      </c>
      <c r="U10" s="75">
        <f>F10+13*7-122</f>
        <v>33</v>
      </c>
      <c r="V10" s="91">
        <f>G10</f>
        <v>0</v>
      </c>
      <c r="W10" s="91">
        <f>H10</f>
        <v>4</v>
      </c>
      <c r="X10" s="91">
        <f>13+5/10</f>
        <v>13.5</v>
      </c>
      <c r="Y10" s="91">
        <f>J10</f>
        <v>3</v>
      </c>
      <c r="Z10" s="91">
        <f>K10</f>
        <v>4</v>
      </c>
      <c r="AA10" s="91">
        <f>10+1/6</f>
        <v>10.1666666666666998</v>
      </c>
      <c r="AB10" s="91">
        <f>M10</f>
        <v>16.3333333333333002</v>
      </c>
      <c r="AC10" s="102">
        <f>(20000+1500+125+125)*1.02</f>
        <v>22185</v>
      </c>
      <c r="AD10" s="54">
        <f>AC10*1.2</f>
        <v>26622</v>
      </c>
    </row>
    <row r="11" spans="1:30">
      <c r="A11" s="251" t="s">
        <v>172</v>
      </c>
      <c r="B11" s="74" t="s">
        <v>369</v>
      </c>
      <c r="C11" s="233" t="str">
        <f>Plantilla!D17</f>
        <v>I. Stone</v>
      </c>
      <c r="D11" s="75" t="str">
        <f>Plantilla!G17</f>
        <v>RAP</v>
      </c>
      <c r="E11" s="75" t="n">
        <v>18</v>
      </c>
      <c r="F11" s="75" t="n">
        <v>7</v>
      </c>
      <c r="G11" s="91">
        <f>Plantilla!X17</f>
        <v>0</v>
      </c>
      <c r="H11" s="91">
        <f>Plantilla!Y17</f>
        <v>3</v>
      </c>
      <c r="I11" s="91">
        <f>Plantilla!Z17</f>
        <v>12</v>
      </c>
      <c r="J11" s="91">
        <f>Plantilla!AA17</f>
        <v>2</v>
      </c>
      <c r="K11" s="91">
        <f>Plantilla!AB17</f>
        <v>6</v>
      </c>
      <c r="L11" s="91">
        <f>Plantilla!AC17</f>
        <v>9</v>
      </c>
      <c r="M11" s="91">
        <f>Plantilla!AD17</f>
        <v>15.3333333333333002</v>
      </c>
      <c r="N11" s="102">
        <f>Plantilla!V17</f>
        <v>9910</v>
      </c>
      <c r="O11" s="54">
        <f>N11*1.2</f>
        <v>11892</v>
      </c>
      <c r="Q11" s="251" t="s">
        <v>172</v>
      </c>
      <c r="R11" s="74" t="str">
        <f>B11</f>
        <v>Inners</v>
      </c>
      <c r="S11" s="75" t="str">
        <f>D11</f>
        <v>RAP</v>
      </c>
      <c r="T11" s="75">
        <f>E11+3</f>
        <v>21</v>
      </c>
      <c r="U11" s="75">
        <f>F11+13*7</f>
        <v>98</v>
      </c>
      <c r="V11" s="91">
        <f>G11</f>
        <v>0</v>
      </c>
      <c r="W11" s="91">
        <f>H11</f>
        <v>3</v>
      </c>
      <c r="X11" s="91" t="n">
        <v>13</v>
      </c>
      <c r="Y11" s="91">
        <f>J11</f>
        <v>2</v>
      </c>
      <c r="Z11" s="91">
        <f>K11</f>
        <v>6</v>
      </c>
      <c r="AA11" s="91">
        <f>11+4/7</f>
        <v>11.5714285714285996</v>
      </c>
      <c r="AB11" s="91">
        <f>M11</f>
        <v>15.3333333333333002</v>
      </c>
      <c r="AC11" s="102">
        <f>(14490+3125+145)*1.008</f>
        <v>17902.0800000000017</v>
      </c>
      <c r="AD11" s="54">
        <f>AC11</f>
        <v>17902.0800000000017</v>
      </c>
    </row>
    <row r="12" spans="1:30">
      <c r="A12" s="251" t="s">
        <v>176</v>
      </c>
      <c r="B12" s="74" t="s">
        <v>369</v>
      </c>
      <c r="C12" s="233" t="str">
        <f>Plantilla!D18</f>
        <v>G. Piscaer</v>
      </c>
      <c r="D12" s="75" t="str">
        <f>Plantilla!G18</f>
        <v>IMP</v>
      </c>
      <c r="E12" s="75" t="n">
        <v>18</v>
      </c>
      <c r="F12" s="75" t="n">
        <v>80</v>
      </c>
      <c r="G12" s="91">
        <f>Plantilla!X18</f>
        <v>0</v>
      </c>
      <c r="H12" s="91">
        <f>Plantilla!Y18</f>
        <v>4</v>
      </c>
      <c r="I12" s="91">
        <f>Plantilla!Z18</f>
        <v>13</v>
      </c>
      <c r="J12" s="91">
        <f>Plantilla!AA18</f>
        <v>3</v>
      </c>
      <c r="K12" s="91">
        <f>Plantilla!AB18</f>
        <v>2</v>
      </c>
      <c r="L12" s="91">
        <f>Plantilla!AC18</f>
        <v>8</v>
      </c>
      <c r="M12" s="91">
        <f>Plantilla!AD18</f>
        <v>14.3333333333333002</v>
      </c>
      <c r="N12" s="102">
        <f>Plantilla!V18</f>
        <v>23508</v>
      </c>
      <c r="O12" s="54">
        <f>N12*1.2</f>
        <v>28209.5999999999985</v>
      </c>
      <c r="Q12" s="251" t="s">
        <v>176</v>
      </c>
      <c r="R12" s="74" t="str">
        <f>B12</f>
        <v>Inners</v>
      </c>
      <c r="S12" s="75" t="str">
        <f>D12</f>
        <v>IMP</v>
      </c>
      <c r="T12" s="75">
        <f>E12+3+1</f>
        <v>22</v>
      </c>
      <c r="U12" s="75">
        <f>F12+13*7-122</f>
        <v>49</v>
      </c>
      <c r="V12" s="91">
        <f>G12</f>
        <v>0</v>
      </c>
      <c r="W12" s="91">
        <f>H12</f>
        <v>4</v>
      </c>
      <c r="X12" s="91">
        <f>14</f>
        <v>14</v>
      </c>
      <c r="Y12" s="91">
        <f>J12</f>
        <v>3</v>
      </c>
      <c r="Z12" s="91">
        <f>K12</f>
        <v>2</v>
      </c>
      <c r="AA12" s="91">
        <f>10+6/7</f>
        <v>10.8571428571429003</v>
      </c>
      <c r="AB12" s="91">
        <f>M12</f>
        <v>14.3333333333333002</v>
      </c>
      <c r="AC12" s="102">
        <f>(23500+2295+125)*1</f>
        <v>25920</v>
      </c>
      <c r="AD12" s="54">
        <f>AC12*1.2</f>
        <v>31104</v>
      </c>
    </row>
    <row r="13" spans="1:30">
      <c r="A13" s="251" t="s">
        <v>180</v>
      </c>
      <c r="B13" s="74" t="s">
        <v>369</v>
      </c>
      <c r="C13" s="233" t="str">
        <f>Plantilla!D19</f>
        <v>M. Bondarewski</v>
      </c>
      <c r="D13" s="75" t="str">
        <f>Plantilla!G19</f>
        <v>RAP</v>
      </c>
      <c r="E13" s="75" t="n">
        <v>18</v>
      </c>
      <c r="F13" s="75" t="n">
        <v>80</v>
      </c>
      <c r="G13" s="91">
        <f>Plantilla!X19</f>
        <v>0</v>
      </c>
      <c r="H13" s="91">
        <f>Plantilla!Y19</f>
        <v>2</v>
      </c>
      <c r="I13" s="91">
        <f>Plantilla!Z19</f>
        <v>13</v>
      </c>
      <c r="J13" s="91">
        <f>Plantilla!AA19</f>
        <v>5</v>
      </c>
      <c r="K13" s="91">
        <f>Plantilla!AB19</f>
        <v>4</v>
      </c>
      <c r="L13" s="91">
        <f>Plantilla!AC19</f>
        <v>8</v>
      </c>
      <c r="M13" s="91">
        <f>Plantilla!AD19</f>
        <v>17</v>
      </c>
      <c r="N13" s="102">
        <f>Plantilla!V19</f>
        <v>24084</v>
      </c>
      <c r="O13" s="54">
        <f>N13*1.2</f>
        <v>28900.7999999999993</v>
      </c>
      <c r="Q13" s="251" t="s">
        <v>180</v>
      </c>
      <c r="R13" s="74" t="str">
        <f>B13</f>
        <v>Inners</v>
      </c>
      <c r="S13" s="75" t="str">
        <f>D13</f>
        <v>RAP</v>
      </c>
      <c r="T13" s="75">
        <f>E13+3+1</f>
        <v>22</v>
      </c>
      <c r="U13" s="75">
        <f>F13+13*7-122</f>
        <v>49</v>
      </c>
      <c r="V13" s="91">
        <f>G13</f>
        <v>0</v>
      </c>
      <c r="W13" s="91">
        <f>H13</f>
        <v>2</v>
      </c>
      <c r="X13" s="91">
        <f>14</f>
        <v>14</v>
      </c>
      <c r="Y13" s="91">
        <f>J13</f>
        <v>5</v>
      </c>
      <c r="Z13" s="91">
        <f>K13</f>
        <v>4</v>
      </c>
      <c r="AA13" s="91">
        <f>10+6/7</f>
        <v>10.8571428571429003</v>
      </c>
      <c r="AB13" s="91">
        <f>M13</f>
        <v>17</v>
      </c>
      <c r="AC13" s="102">
        <f>(23500+2295+125+125)*1.02</f>
        <v>26565.9000000000015</v>
      </c>
      <c r="AD13" s="54">
        <f>AC13*1.2</f>
        <v>31879.0800000000017</v>
      </c>
    </row>
    <row r="14" spans="1:30">
      <c r="A14" s="251" t="s">
        <v>183</v>
      </c>
      <c r="B14" s="74" t="s">
        <v>369</v>
      </c>
      <c r="C14" s="233" t="str">
        <f>Plantilla!D20</f>
        <v>P. Tuderek</v>
      </c>
      <c r="D14" s="75" t="str">
        <f>Plantilla!G15</f>
        <v>IMP</v>
      </c>
      <c r="E14" s="75" t="n">
        <v>18</v>
      </c>
      <c r="F14" s="75" t="n">
        <v>66</v>
      </c>
      <c r="G14" s="91">
        <f>Plantilla!X20</f>
        <v>0</v>
      </c>
      <c r="H14" s="91">
        <f>Plantilla!Y20</f>
        <v>6</v>
      </c>
      <c r="I14" s="91">
        <f>Plantilla!Z20</f>
        <v>12</v>
      </c>
      <c r="J14" s="91">
        <f>Plantilla!AA20</f>
        <v>2</v>
      </c>
      <c r="K14" s="91">
        <f>Plantilla!AB20</f>
        <v>3</v>
      </c>
      <c r="L14" s="91">
        <f>Plantilla!AC20</f>
        <v>6</v>
      </c>
      <c r="M14" s="91">
        <f>Plantilla!AD20</f>
        <v>17.25</v>
      </c>
      <c r="N14" s="102">
        <f>Plantilla!V20</f>
        <v>12948</v>
      </c>
      <c r="O14" s="54">
        <f>N14*1.2</f>
        <v>15537.6000000000004</v>
      </c>
      <c r="Q14" s="251" t="s">
        <v>183</v>
      </c>
      <c r="R14" s="74" t="str">
        <f>B14</f>
        <v>Inners</v>
      </c>
      <c r="S14" s="75" t="str">
        <f>D14</f>
        <v>IMP</v>
      </c>
      <c r="T14" s="75" t="n">
        <v>22</v>
      </c>
      <c r="U14" s="75">
        <f>F14+13*7-112</f>
        <v>45</v>
      </c>
      <c r="V14" s="91">
        <f>G14</f>
        <v>0</v>
      </c>
      <c r="W14" s="91">
        <f>H14</f>
        <v>6</v>
      </c>
      <c r="X14" s="91">
        <f>13+4/10</f>
        <v>13.4000000000000004</v>
      </c>
      <c r="Y14" s="91">
        <f>J14</f>
        <v>2</v>
      </c>
      <c r="Z14" s="91">
        <f>K14</f>
        <v>3</v>
      </c>
      <c r="AA14" s="91">
        <f>9+3/6</f>
        <v>9.5</v>
      </c>
      <c r="AB14" s="91">
        <f>M14</f>
        <v>17.25</v>
      </c>
      <c r="AC14" s="102">
        <f>(20000+165+1020)*1.023</f>
        <v>21672.255000000001</v>
      </c>
      <c r="AD14" s="54">
        <f>AC14*1.2</f>
        <v>26006.7059999999983</v>
      </c>
    </row>
    <row r="15" spans="1:30">
      <c r="A15" s="251" t="s">
        <v>178</v>
      </c>
      <c r="B15" s="74" t="s">
        <v>369</v>
      </c>
      <c r="C15" s="233" t="str">
        <f>Plantilla!D21</f>
        <v>R. Forsyth</v>
      </c>
      <c r="D15" s="75" t="str">
        <f>Plantilla!G21</f>
        <v>POT</v>
      </c>
      <c r="E15" s="75" t="n">
        <v>19</v>
      </c>
      <c r="F15" s="75" t="n">
        <v>9</v>
      </c>
      <c r="G15" s="91">
        <f>Plantilla!X21</f>
        <v>0</v>
      </c>
      <c r="H15" s="91">
        <f>Plantilla!Y21</f>
        <v>7</v>
      </c>
      <c r="I15" s="91">
        <f>Plantilla!Z21</f>
        <v>13</v>
      </c>
      <c r="J15" s="91">
        <f>Plantilla!AA21</f>
        <v>3</v>
      </c>
      <c r="K15" s="91">
        <f>Plantilla!AB21</f>
        <v>4</v>
      </c>
      <c r="L15" s="91">
        <f>Plantilla!AC21</f>
        <v>6</v>
      </c>
      <c r="M15" s="91">
        <f>Plantilla!AD21</f>
        <v>15</v>
      </c>
      <c r="N15" s="102">
        <f>Plantilla!V21</f>
        <v>16050</v>
      </c>
      <c r="O15" s="54">
        <f>N15*1.2</f>
        <v>19260</v>
      </c>
      <c r="Q15" s="251" t="s">
        <v>178</v>
      </c>
      <c r="R15" s="74" t="str">
        <f>B15</f>
        <v>Inners</v>
      </c>
      <c r="S15" s="75" t="str">
        <f>D15</f>
        <v>POT</v>
      </c>
      <c r="T15" s="75">
        <f>E15+3</f>
        <v>22</v>
      </c>
      <c r="U15" s="75">
        <f>F15+13*7</f>
        <v>100</v>
      </c>
      <c r="V15" s="91">
        <f>G15</f>
        <v>0</v>
      </c>
      <c r="W15" s="91">
        <f>H15</f>
        <v>7</v>
      </c>
      <c r="X15" s="91">
        <f>13+4/9</f>
        <v>13.4444444444444002</v>
      </c>
      <c r="Y15" s="91">
        <f>J15</f>
        <v>3</v>
      </c>
      <c r="Z15" s="91">
        <f>K15</f>
        <v>4</v>
      </c>
      <c r="AA15" s="91">
        <f>9+3/6</f>
        <v>9.5</v>
      </c>
      <c r="AB15" s="91">
        <f>M15</f>
        <v>15</v>
      </c>
      <c r="AC15" s="102">
        <f>(20000+1020+225+125)*1.008</f>
        <v>21540.9599999999991</v>
      </c>
      <c r="AD15" s="54">
        <f>AC15</f>
        <v>21540.9599999999991</v>
      </c>
    </row>
    <row r="16" spans="1:30">
      <c r="A16" s="251" t="s">
        <v>370</v>
      </c>
      <c r="B16" s="74" t="s">
        <v>140</v>
      </c>
      <c r="C16" s="75"/>
      <c r="D16" s="75" t="s">
        <v>371</v>
      </c>
      <c r="E16" s="75"/>
      <c r="F16" s="75"/>
      <c r="G16" s="91" t="n">
        <v>0</v>
      </c>
      <c r="H16" s="83" t="n">
        <v>2</v>
      </c>
      <c r="I16" s="83" t="n">
        <v>2</v>
      </c>
      <c r="J16" s="83" t="n">
        <v>2</v>
      </c>
      <c r="K16" s="91" t="n">
        <v>2</v>
      </c>
      <c r="L16" s="83" t="n">
        <v>2</v>
      </c>
      <c r="M16" s="91" t="n">
        <v>2</v>
      </c>
      <c r="N16" s="102"/>
      <c r="O16" s="54"/>
      <c r="Q16" s="251" t="s">
        <v>370</v>
      </c>
      <c r="R16" s="74" t="str">
        <f>B16</f>
        <v>DD</v>
      </c>
      <c r="S16" s="75" t="str">
        <f>D16</f>
        <v>RAP/IMP/CAB</v>
      </c>
      <c r="T16" s="75"/>
      <c r="U16" s="75"/>
      <c r="V16" s="91">
        <f>G16</f>
        <v>0</v>
      </c>
      <c r="W16" s="91">
        <f>H16</f>
        <v>2</v>
      </c>
      <c r="X16" s="91">
        <f>I16</f>
        <v>2</v>
      </c>
      <c r="Y16" s="91">
        <f>J16</f>
        <v>2</v>
      </c>
      <c r="Z16" s="91">
        <f>K16</f>
        <v>2</v>
      </c>
      <c r="AA16" s="91">
        <f>L16</f>
        <v>2</v>
      </c>
      <c r="AB16" s="91">
        <f>M16</f>
        <v>2</v>
      </c>
      <c r="AC16" s="102">
        <f>N16</f>
        <v>0</v>
      </c>
      <c r="AD16" s="54">
        <f>AC16*1.2</f>
        <v>0</v>
      </c>
    </row>
    <row r="17" spans="1:30">
      <c r="A17" s="251" t="s">
        <v>174</v>
      </c>
      <c r="B17" s="74" t="s">
        <v>140</v>
      </c>
      <c r="C17" s="75"/>
      <c r="D17" s="75" t="s">
        <v>371</v>
      </c>
      <c r="E17" s="75"/>
      <c r="F17" s="75"/>
      <c r="G17" s="91" t="n">
        <v>0</v>
      </c>
      <c r="H17" s="83" t="n">
        <v>2</v>
      </c>
      <c r="I17" s="83" t="n">
        <v>2</v>
      </c>
      <c r="J17" s="83" t="n">
        <v>2</v>
      </c>
      <c r="K17" s="91" t="n">
        <v>2</v>
      </c>
      <c r="L17" s="83" t="n">
        <v>2</v>
      </c>
      <c r="M17" s="91" t="n">
        <v>2</v>
      </c>
      <c r="N17" s="102"/>
      <c r="O17" s="54"/>
      <c r="Q17" s="251" t="s">
        <v>174</v>
      </c>
      <c r="R17" s="74" t="str">
        <f>B17</f>
        <v>DD</v>
      </c>
      <c r="S17" s="75" t="str">
        <f>D17</f>
        <v>RAP/IMP/CAB</v>
      </c>
      <c r="T17" s="75"/>
      <c r="U17" s="75"/>
      <c r="V17" s="91">
        <f>G17</f>
        <v>0</v>
      </c>
      <c r="W17" s="91">
        <f>H17</f>
        <v>2</v>
      </c>
      <c r="X17" s="91">
        <f>I17</f>
        <v>2</v>
      </c>
      <c r="Y17" s="91">
        <f>J17</f>
        <v>2</v>
      </c>
      <c r="Z17" s="91">
        <f>K17</f>
        <v>2</v>
      </c>
      <c r="AA17" s="91">
        <f>L17</f>
        <v>2</v>
      </c>
      <c r="AB17" s="91">
        <f>M17</f>
        <v>2</v>
      </c>
      <c r="AC17" s="102">
        <f>N17</f>
        <v>0</v>
      </c>
      <c r="AD17" s="54">
        <f>AC17*1.2</f>
        <v>0</v>
      </c>
    </row>
    <row r="19" spans="2:30">
      <c r="B19" s="62"/>
      <c r="N19" s="54">
        <f>SUM(N21:N34)</f>
        <v>306220.635000000009</v>
      </c>
      <c r="O19" s="54">
        <f>SUM(O21:O34)</f>
        <v>359576.15399999998</v>
      </c>
      <c r="R19" s="62"/>
      <c r="AC19" s="54">
        <f>SUM(AC21:AC34)</f>
        <v>314340.125</v>
      </c>
      <c r="AD19" s="54">
        <f>SUM(AD21:AD34)</f>
        <v>377208.150000000023</v>
      </c>
    </row>
    <row r="20" spans="1:33">
      <c r="A20" s="87" t="s">
        <v>350</v>
      </c>
      <c r="B20" s="85" t="s">
        <v>85</v>
      </c>
      <c r="C20" s="85" t="s">
        <v>351</v>
      </c>
      <c r="D20" s="85" t="s">
        <v>352</v>
      </c>
      <c r="E20" s="85" t="s">
        <v>353</v>
      </c>
      <c r="F20" s="85" t="s">
        <v>89</v>
      </c>
      <c r="G20" s="85" t="s">
        <v>107</v>
      </c>
      <c r="H20" s="85" t="s">
        <v>108</v>
      </c>
      <c r="I20" s="85" t="s">
        <v>109</v>
      </c>
      <c r="J20" s="85" t="s">
        <v>110</v>
      </c>
      <c r="K20" s="85" t="s">
        <v>111</v>
      </c>
      <c r="L20" s="85" t="s">
        <v>112</v>
      </c>
      <c r="M20" s="85" t="s">
        <v>90</v>
      </c>
      <c r="N20" s="85" t="s">
        <v>354</v>
      </c>
      <c r="O20" s="128" t="s">
        <v>355</v>
      </c>
      <c r="Q20" s="87" t="s">
        <v>350</v>
      </c>
      <c r="R20" s="85" t="s">
        <v>85</v>
      </c>
      <c r="S20" s="85" t="s">
        <v>352</v>
      </c>
      <c r="T20" s="85" t="s">
        <v>353</v>
      </c>
      <c r="U20" s="85" t="s">
        <v>89</v>
      </c>
      <c r="V20" s="85" t="s">
        <v>107</v>
      </c>
      <c r="W20" s="85" t="s">
        <v>108</v>
      </c>
      <c r="X20" s="85" t="s">
        <v>109</v>
      </c>
      <c r="Y20" s="85" t="s">
        <v>110</v>
      </c>
      <c r="Z20" s="85" t="s">
        <v>111</v>
      </c>
      <c r="AA20" s="85" t="s">
        <v>112</v>
      </c>
      <c r="AB20" s="85" t="s">
        <v>90</v>
      </c>
      <c r="AC20" s="85" t="s">
        <v>354</v>
      </c>
      <c r="AD20" s="128" t="s">
        <v>355</v>
      </c>
      <c r="AF20" s="62" t="s">
        <v>356</v>
      </c>
      <c r="AG20" t="n">
        <v>0</v>
      </c>
    </row>
    <row r="21" spans="1:33">
      <c r="A21" s="251" t="str">
        <f>A4</f>
        <v>#1</v>
      </c>
      <c r="B21" s="74" t="str">
        <f>B4</f>
        <v>POR</v>
      </c>
      <c r="C21" s="75" t="s">
        <v>372</v>
      </c>
      <c r="D21" s="75">
        <f>D4</f>
        <v>0</v>
      </c>
      <c r="E21" s="75" t="n">
        <v>22</v>
      </c>
      <c r="F21" s="75" t="n">
        <v>50</v>
      </c>
      <c r="G21" s="91" t="n">
        <v>15</v>
      </c>
      <c r="H21" s="91" t="n">
        <v>4</v>
      </c>
      <c r="I21" s="91">
        <f>X4</f>
        <v>2</v>
      </c>
      <c r="J21" s="91">
        <f>Y4</f>
        <v>0</v>
      </c>
      <c r="K21" s="91">
        <f>Z4</f>
        <v>0</v>
      </c>
      <c r="L21" s="91">
        <f>AA4</f>
        <v>0</v>
      </c>
      <c r="M21" s="91" t="n">
        <v>4</v>
      </c>
      <c r="N21" s="102">
        <f>(24270+125)*1.012</f>
        <v>24687.7400000000016</v>
      </c>
      <c r="O21" s="102">
        <f>N21*1.2</f>
        <v>29625.2880000000005</v>
      </c>
      <c r="Q21" s="251" t="s">
        <v>145</v>
      </c>
      <c r="R21" s="74" t="str">
        <f>B21</f>
        <v>POR</v>
      </c>
      <c r="S21" s="75"/>
      <c r="T21" s="75"/>
      <c r="U21" s="75"/>
      <c r="V21" s="91">
        <f>G21</f>
        <v>15</v>
      </c>
      <c r="W21" s="91">
        <f>H21</f>
        <v>4</v>
      </c>
      <c r="X21" s="91">
        <f>I21</f>
        <v>2</v>
      </c>
      <c r="Y21" s="91">
        <f>J21</f>
        <v>0</v>
      </c>
      <c r="Z21" s="91">
        <f>K21</f>
        <v>0</v>
      </c>
      <c r="AA21" s="91">
        <f>L21</f>
        <v>0</v>
      </c>
      <c r="AB21" s="91" t="n">
        <v>17</v>
      </c>
      <c r="AC21" s="102">
        <f>(24270+125)*1.047</f>
        <v>25541.5649999999987</v>
      </c>
      <c r="AD21" s="54">
        <f>AC21*1.2</f>
        <v>30649.8780000000006</v>
      </c>
      <c r="AF21" s="62" t="s">
        <v>358</v>
      </c>
      <c r="AG21" t="n">
        <v>0</v>
      </c>
    </row>
    <row r="22" spans="1:33">
      <c r="A22" s="251" t="str">
        <f>A5</f>
        <v>#2</v>
      </c>
      <c r="B22" s="74" t="str">
        <f>B5</f>
        <v>DEF</v>
      </c>
      <c r="C22" s="75" t="s">
        <v>373</v>
      </c>
      <c r="D22" s="75" t="s">
        <v>159</v>
      </c>
      <c r="E22" s="75" t="n">
        <v>22</v>
      </c>
      <c r="F22" s="75" t="n">
        <v>50</v>
      </c>
      <c r="G22" s="91">
        <f>V5</f>
        <v>0</v>
      </c>
      <c r="H22" s="91" t="n">
        <v>14</v>
      </c>
      <c r="I22" s="91" t="n">
        <v>5</v>
      </c>
      <c r="J22" s="91">
        <f>Y5</f>
        <v>2</v>
      </c>
      <c r="K22" s="91">
        <f>Z5</f>
        <v>2</v>
      </c>
      <c r="L22" s="91" t="n">
        <v>7</v>
      </c>
      <c r="M22" s="91" t="n">
        <v>3</v>
      </c>
      <c r="N22" s="102">
        <f>(18370+135+245)*1.012</f>
        <v>18975</v>
      </c>
      <c r="O22" s="102">
        <f>N22*1.2</f>
        <v>22770</v>
      </c>
      <c r="Q22" s="251" t="s">
        <v>157</v>
      </c>
      <c r="R22" s="74" t="str">
        <f>B22</f>
        <v>DEF</v>
      </c>
      <c r="S22" s="75" t="str">
        <f>D22</f>
        <v>CAB</v>
      </c>
      <c r="T22" s="75"/>
      <c r="U22" s="75"/>
      <c r="V22" s="91">
        <f>G22</f>
        <v>0</v>
      </c>
      <c r="W22" s="91">
        <f>H22</f>
        <v>14</v>
      </c>
      <c r="X22" s="91">
        <f>I22</f>
        <v>5</v>
      </c>
      <c r="Y22" s="91">
        <f>J22</f>
        <v>2</v>
      </c>
      <c r="Z22" s="91">
        <f>K22</f>
        <v>2</v>
      </c>
      <c r="AA22" s="91">
        <f>L22</f>
        <v>7</v>
      </c>
      <c r="AB22" s="91" t="n">
        <v>14</v>
      </c>
      <c r="AC22" s="102">
        <f>(18370+135+245)*1.04</f>
        <v>19500</v>
      </c>
      <c r="AD22" s="54">
        <f>AC22*1.2</f>
        <v>23400</v>
      </c>
      <c r="AF22" s="62" t="s">
        <v>200</v>
      </c>
      <c r="AG22" t="n">
        <v>16</v>
      </c>
    </row>
    <row r="23" spans="1:33">
      <c r="A23" s="251" t="str">
        <f>A6</f>
        <v>#3</v>
      </c>
      <c r="B23" s="74" t="str">
        <f>B6</f>
        <v>DEF</v>
      </c>
      <c r="C23" s="75" t="s">
        <v>373</v>
      </c>
      <c r="D23" s="75" t="s">
        <v>159</v>
      </c>
      <c r="E23" s="75" t="n">
        <v>22</v>
      </c>
      <c r="F23" s="75" t="n">
        <v>50</v>
      </c>
      <c r="G23" s="91">
        <f>V6</f>
        <v>0</v>
      </c>
      <c r="H23" s="91" t="n">
        <v>14</v>
      </c>
      <c r="I23" s="91" t="n">
        <v>5</v>
      </c>
      <c r="J23" s="91">
        <f>Y6</f>
        <v>2</v>
      </c>
      <c r="K23" s="91">
        <f>Z6</f>
        <v>2</v>
      </c>
      <c r="L23" s="91" t="n">
        <v>7</v>
      </c>
      <c r="M23" s="91" t="n">
        <v>3</v>
      </c>
      <c r="N23" s="102">
        <f>(18370+135+245)*1.012</f>
        <v>18975</v>
      </c>
      <c r="O23" s="102">
        <f>N23*1.2</f>
        <v>22770</v>
      </c>
      <c r="Q23" s="251" t="s">
        <v>166</v>
      </c>
      <c r="R23" s="74" t="str">
        <f>B23</f>
        <v>DEF</v>
      </c>
      <c r="S23" s="75" t="str">
        <f>D23</f>
        <v>CAB</v>
      </c>
      <c r="T23" s="75"/>
      <c r="U23" s="75"/>
      <c r="V23" s="91">
        <f>G23</f>
        <v>0</v>
      </c>
      <c r="W23" s="91">
        <f>H23</f>
        <v>14</v>
      </c>
      <c r="X23" s="91">
        <f>I23</f>
        <v>5</v>
      </c>
      <c r="Y23" s="91">
        <f>J23</f>
        <v>2</v>
      </c>
      <c r="Z23" s="91">
        <f>K23</f>
        <v>2</v>
      </c>
      <c r="AA23" s="91">
        <f>L23</f>
        <v>7</v>
      </c>
      <c r="AB23" s="91" t="n">
        <v>14</v>
      </c>
      <c r="AC23" s="102">
        <f>(18370+135+245)*1.04</f>
        <v>19500</v>
      </c>
      <c r="AD23" s="54">
        <f>AC23*1.2</f>
        <v>23400</v>
      </c>
      <c r="AF23" s="62" t="s">
        <v>199</v>
      </c>
      <c r="AG23" t="n">
        <v>0</v>
      </c>
    </row>
    <row r="24" spans="1:33">
      <c r="A24" s="251" t="str">
        <f>A7</f>
        <v>#4</v>
      </c>
      <c r="B24" s="74" t="str">
        <f>B7</f>
        <v>DEF</v>
      </c>
      <c r="C24" s="75" t="s">
        <v>373</v>
      </c>
      <c r="D24" s="75" t="s">
        <v>159</v>
      </c>
      <c r="E24" s="75" t="n">
        <v>22</v>
      </c>
      <c r="F24" s="75" t="n">
        <v>50</v>
      </c>
      <c r="G24" s="91">
        <f>V7</f>
        <v>0</v>
      </c>
      <c r="H24" s="91" t="n">
        <v>14</v>
      </c>
      <c r="I24" s="91" t="n">
        <v>5</v>
      </c>
      <c r="J24" s="91">
        <f>Y7</f>
        <v>2</v>
      </c>
      <c r="K24" s="91">
        <f>Z7</f>
        <v>2</v>
      </c>
      <c r="L24" s="91" t="n">
        <v>7</v>
      </c>
      <c r="M24" s="91" t="n">
        <v>3</v>
      </c>
      <c r="N24" s="102">
        <f>(18370+135+245)*1.012</f>
        <v>18975</v>
      </c>
      <c r="O24" s="102">
        <f>N24*1.2</f>
        <v>22770</v>
      </c>
      <c r="Q24" s="251" t="s">
        <v>168</v>
      </c>
      <c r="R24" s="74" t="str">
        <f>B24</f>
        <v>DEF</v>
      </c>
      <c r="S24" s="75" t="str">
        <f>D24</f>
        <v>CAB</v>
      </c>
      <c r="T24" s="75"/>
      <c r="U24" s="75"/>
      <c r="V24" s="91">
        <f>G24</f>
        <v>0</v>
      </c>
      <c r="W24" s="91">
        <f>H24</f>
        <v>14</v>
      </c>
      <c r="X24" s="91">
        <f>I24</f>
        <v>5</v>
      </c>
      <c r="Y24" s="91">
        <f>J24</f>
        <v>2</v>
      </c>
      <c r="Z24" s="91">
        <f>K24</f>
        <v>2</v>
      </c>
      <c r="AA24" s="91">
        <f>L24</f>
        <v>7</v>
      </c>
      <c r="AB24" s="91" t="n">
        <v>14</v>
      </c>
      <c r="AC24" s="102">
        <f>(18370+135+245)*1.04</f>
        <v>19500</v>
      </c>
      <c r="AD24" s="54">
        <f>AC24*1.2</f>
        <v>23400</v>
      </c>
      <c r="AF24" s="62" t="s">
        <v>363</v>
      </c>
      <c r="AG24">
        <f>AG22+AG21+AG20+AG23</f>
        <v>16</v>
      </c>
    </row>
    <row r="25" spans="1:33">
      <c r="A25" s="251" t="str">
        <f>A8</f>
        <v>#5</v>
      </c>
      <c r="B25" s="74" t="str">
        <f>B8</f>
        <v>DEF</v>
      </c>
      <c r="C25" s="75" t="s">
        <v>373</v>
      </c>
      <c r="D25" s="75" t="s">
        <v>159</v>
      </c>
      <c r="E25" s="75" t="n">
        <v>22</v>
      </c>
      <c r="F25" s="75" t="n">
        <v>50</v>
      </c>
      <c r="G25" s="91">
        <f>V8</f>
        <v>0</v>
      </c>
      <c r="H25" s="91" t="n">
        <v>14</v>
      </c>
      <c r="I25" s="91" t="n">
        <v>5</v>
      </c>
      <c r="J25" s="91">
        <f>Y8</f>
        <v>2</v>
      </c>
      <c r="K25" s="91">
        <f>Z8</f>
        <v>2</v>
      </c>
      <c r="L25" s="91" t="n">
        <v>7</v>
      </c>
      <c r="M25" s="91" t="n">
        <v>3</v>
      </c>
      <c r="N25" s="102">
        <f>(18370+135+245)*1.012</f>
        <v>18975</v>
      </c>
      <c r="O25" s="102">
        <f>N25*1.2</f>
        <v>22770</v>
      </c>
      <c r="Q25" s="251" t="s">
        <v>365</v>
      </c>
      <c r="R25" s="74" t="str">
        <f>B25</f>
        <v>DEF</v>
      </c>
      <c r="S25" s="75" t="str">
        <f>D25</f>
        <v>CAB</v>
      </c>
      <c r="T25" s="75"/>
      <c r="U25" s="75"/>
      <c r="V25" s="91">
        <f>G25</f>
        <v>0</v>
      </c>
      <c r="W25" s="91">
        <f>H25</f>
        <v>14</v>
      </c>
      <c r="X25" s="91">
        <f>I25</f>
        <v>5</v>
      </c>
      <c r="Y25" s="91">
        <f>J25</f>
        <v>2</v>
      </c>
      <c r="Z25" s="91">
        <f>K25</f>
        <v>2</v>
      </c>
      <c r="AA25" s="91">
        <f>L25</f>
        <v>7</v>
      </c>
      <c r="AB25" s="91" t="n">
        <v>14</v>
      </c>
      <c r="AC25" s="102">
        <f>(18370+135+245)*1.04</f>
        <v>19500</v>
      </c>
      <c r="AD25" s="54">
        <f>AC25*1.2</f>
        <v>23400</v>
      </c>
      <c r="AF25" s="62" t="s">
        <v>366</v>
      </c>
      <c r="AG25" s="76">
        <f>AG24/16</f>
        <v>1</v>
      </c>
    </row>
    <row r="26" spans="1:30">
      <c r="A26" s="251" t="str">
        <f>A9</f>
        <v>#6</v>
      </c>
      <c r="B26" s="74" t="str">
        <f>B9</f>
        <v>DEF</v>
      </c>
      <c r="C26" s="75" t="s">
        <v>373</v>
      </c>
      <c r="D26" s="75" t="s">
        <v>159</v>
      </c>
      <c r="E26" s="75" t="n">
        <v>22</v>
      </c>
      <c r="F26" s="75" t="n">
        <v>50</v>
      </c>
      <c r="G26" s="91">
        <f>V9</f>
        <v>0</v>
      </c>
      <c r="H26" s="91" t="n">
        <v>14</v>
      </c>
      <c r="I26" s="91" t="n">
        <v>5</v>
      </c>
      <c r="J26" s="91">
        <f>Y9</f>
        <v>2</v>
      </c>
      <c r="K26" s="91">
        <f>Z9</f>
        <v>2</v>
      </c>
      <c r="L26" s="91" t="n">
        <v>7</v>
      </c>
      <c r="M26" s="91" t="n">
        <v>3</v>
      </c>
      <c r="N26" s="102">
        <f>(18370+135+245)*1.012</f>
        <v>18975</v>
      </c>
      <c r="O26" s="102">
        <f>N26*1.2</f>
        <v>22770</v>
      </c>
      <c r="Q26" s="251" t="s">
        <v>367</v>
      </c>
      <c r="R26" s="74" t="str">
        <f>B26</f>
        <v>DEF</v>
      </c>
      <c r="S26" s="75" t="str">
        <f>D26</f>
        <v>CAB</v>
      </c>
      <c r="T26" s="75"/>
      <c r="U26" s="75"/>
      <c r="V26" s="91">
        <f>G26</f>
        <v>0</v>
      </c>
      <c r="W26" s="91">
        <f>H26</f>
        <v>14</v>
      </c>
      <c r="X26" s="91">
        <f>I26</f>
        <v>5</v>
      </c>
      <c r="Y26" s="91">
        <f>J26</f>
        <v>2</v>
      </c>
      <c r="Z26" s="91">
        <f>K26</f>
        <v>2</v>
      </c>
      <c r="AA26" s="91">
        <f>L26</f>
        <v>7</v>
      </c>
      <c r="AB26" s="91" t="n">
        <v>14</v>
      </c>
      <c r="AC26" s="102">
        <f>(18370+135+245)*1.04</f>
        <v>19500</v>
      </c>
      <c r="AD26" s="54">
        <f>AC26*1.2</f>
        <v>23400</v>
      </c>
    </row>
    <row r="27" spans="1:30">
      <c r="A27" s="251" t="str">
        <f>A10</f>
        <v>#7</v>
      </c>
      <c r="B27" s="74" t="str">
        <f>B10</f>
        <v>Inners</v>
      </c>
      <c r="C27" s="75" t="str">
        <f>C10</f>
        <v>I. Vanags</v>
      </c>
      <c r="D27" s="75" t="str">
        <f>D10</f>
        <v>CAB</v>
      </c>
      <c r="E27" s="75">
        <f>T10</f>
        <v>22</v>
      </c>
      <c r="F27" s="75">
        <f>U10</f>
        <v>33</v>
      </c>
      <c r="G27" s="91">
        <f>V10</f>
        <v>0</v>
      </c>
      <c r="H27" s="91">
        <f>W10</f>
        <v>4</v>
      </c>
      <c r="I27" s="91">
        <f>X10</f>
        <v>13.5</v>
      </c>
      <c r="J27" s="91">
        <f>Y10</f>
        <v>3</v>
      </c>
      <c r="K27" s="91">
        <f>Z10</f>
        <v>4</v>
      </c>
      <c r="L27" s="91">
        <f>AA10</f>
        <v>10.1666666666666998</v>
      </c>
      <c r="M27" s="91">
        <f>AB10</f>
        <v>16.3333333333333002</v>
      </c>
      <c r="N27" s="102">
        <f>AC10</f>
        <v>22185</v>
      </c>
      <c r="O27" s="102">
        <f>AD10</f>
        <v>26622</v>
      </c>
      <c r="Q27" s="251" t="s">
        <v>368</v>
      </c>
      <c r="R27" s="74" t="str">
        <f>B27</f>
        <v>Inners</v>
      </c>
      <c r="S27" s="75" t="str">
        <f>D27</f>
        <v>CAB</v>
      </c>
      <c r="T27" s="75">
        <f>E27+1</f>
        <v>23</v>
      </c>
      <c r="U27" s="75">
        <f>F27</f>
        <v>33</v>
      </c>
      <c r="V27" s="91">
        <f>G27</f>
        <v>0</v>
      </c>
      <c r="W27" s="91">
        <f>H27</f>
        <v>4</v>
      </c>
      <c r="X27" s="91">
        <f>I27</f>
        <v>13.5</v>
      </c>
      <c r="Y27" s="91">
        <f>J27</f>
        <v>3</v>
      </c>
      <c r="Z27" s="91">
        <f>K27</f>
        <v>4</v>
      </c>
      <c r="AA27" s="91">
        <f>L27</f>
        <v>10.1666666666666998</v>
      </c>
      <c r="AB27" s="91" t="n">
        <v>15</v>
      </c>
      <c r="AC27" s="102">
        <f>(20000+1500+125+125)*1.043</f>
        <v>22685.25</v>
      </c>
      <c r="AD27" s="54">
        <f>AC27*1.2</f>
        <v>27222.2999999999993</v>
      </c>
    </row>
    <row r="28" spans="1:30">
      <c r="A28" s="251" t="str">
        <f>A11</f>
        <v>#8</v>
      </c>
      <c r="B28" s="74" t="str">
        <f>B11</f>
        <v>Inners</v>
      </c>
      <c r="C28" s="75" t="str">
        <f>C11</f>
        <v>I. Stone</v>
      </c>
      <c r="D28" s="75" t="str">
        <f>D11</f>
        <v>RAP</v>
      </c>
      <c r="E28" s="75">
        <f>T11</f>
        <v>21</v>
      </c>
      <c r="F28" s="75">
        <f>U11</f>
        <v>98</v>
      </c>
      <c r="G28" s="91">
        <f>V11</f>
        <v>0</v>
      </c>
      <c r="H28" s="91">
        <f>W11</f>
        <v>3</v>
      </c>
      <c r="I28" s="91">
        <f>X11</f>
        <v>13</v>
      </c>
      <c r="J28" s="91">
        <f>Y11</f>
        <v>2</v>
      </c>
      <c r="K28" s="91">
        <f>Z11</f>
        <v>6</v>
      </c>
      <c r="L28" s="91">
        <f>AA11</f>
        <v>11.5714285714285996</v>
      </c>
      <c r="M28" s="91">
        <f>AB11</f>
        <v>15.3333333333333002</v>
      </c>
      <c r="N28" s="102">
        <f>AC11</f>
        <v>17902.0800000000017</v>
      </c>
      <c r="O28" s="102">
        <f>AD11</f>
        <v>17902.0800000000017</v>
      </c>
      <c r="Q28" s="251" t="s">
        <v>172</v>
      </c>
      <c r="R28" s="74" t="str">
        <f>B28</f>
        <v>Inners</v>
      </c>
      <c r="S28" s="75" t="str">
        <f>D28</f>
        <v>RAP</v>
      </c>
      <c r="T28" s="75">
        <f>E28+1</f>
        <v>22</v>
      </c>
      <c r="U28" s="75">
        <f>F28</f>
        <v>98</v>
      </c>
      <c r="V28" s="91">
        <f>G28</f>
        <v>0</v>
      </c>
      <c r="W28" s="91">
        <f>H28</f>
        <v>3</v>
      </c>
      <c r="X28" s="91">
        <f>I28</f>
        <v>13</v>
      </c>
      <c r="Y28" s="91">
        <f>J28</f>
        <v>2</v>
      </c>
      <c r="Z28" s="91">
        <f>K28</f>
        <v>6</v>
      </c>
      <c r="AA28" s="91">
        <f>L28</f>
        <v>11.5714285714285996</v>
      </c>
      <c r="AB28" s="91" t="n">
        <v>13.5</v>
      </c>
      <c r="AC28" s="102">
        <f>(14490+3125+145)*1.038</f>
        <v>18434.880000000001</v>
      </c>
      <c r="AD28" s="54">
        <f>AC28*1.2</f>
        <v>22121.8559999999998</v>
      </c>
    </row>
    <row r="29" spans="1:30">
      <c r="A29" s="251" t="str">
        <f>A12</f>
        <v>#9</v>
      </c>
      <c r="B29" s="74" t="str">
        <f>B12</f>
        <v>Inners</v>
      </c>
      <c r="C29" s="75" t="str">
        <f>C12</f>
        <v>G. Piscaer</v>
      </c>
      <c r="D29" s="75" t="str">
        <f>D12</f>
        <v>IMP</v>
      </c>
      <c r="E29" s="75">
        <f>T12</f>
        <v>22</v>
      </c>
      <c r="F29" s="75">
        <f>U12</f>
        <v>49</v>
      </c>
      <c r="G29" s="91">
        <f>V12</f>
        <v>0</v>
      </c>
      <c r="H29" s="91">
        <f>W12</f>
        <v>4</v>
      </c>
      <c r="I29" s="91">
        <f>X12</f>
        <v>14</v>
      </c>
      <c r="J29" s="91">
        <f>Y12</f>
        <v>3</v>
      </c>
      <c r="K29" s="91">
        <f>Z12</f>
        <v>2</v>
      </c>
      <c r="L29" s="91">
        <f>AA12</f>
        <v>10.8571428571429003</v>
      </c>
      <c r="M29" s="91">
        <f>AB12</f>
        <v>14.3333333333333002</v>
      </c>
      <c r="N29" s="102">
        <f>AC12</f>
        <v>25920</v>
      </c>
      <c r="O29" s="102">
        <f>AD12</f>
        <v>31104</v>
      </c>
      <c r="Q29" s="251" t="s">
        <v>176</v>
      </c>
      <c r="R29" s="74" t="str">
        <f>B29</f>
        <v>Inners</v>
      </c>
      <c r="S29" s="75" t="str">
        <f>D29</f>
        <v>IMP</v>
      </c>
      <c r="T29" s="75">
        <f>E29+1</f>
        <v>23</v>
      </c>
      <c r="U29" s="75">
        <f>F29</f>
        <v>49</v>
      </c>
      <c r="V29" s="91">
        <f>G29</f>
        <v>0</v>
      </c>
      <c r="W29" s="91">
        <f>H29</f>
        <v>4</v>
      </c>
      <c r="X29" s="91">
        <f>I29</f>
        <v>14</v>
      </c>
      <c r="Y29" s="91">
        <f>J29</f>
        <v>3</v>
      </c>
      <c r="Z29" s="91">
        <f>K29</f>
        <v>2</v>
      </c>
      <c r="AA29" s="91">
        <f>L29</f>
        <v>10.8571428571429003</v>
      </c>
      <c r="AB29" s="91" t="n">
        <v>12.5</v>
      </c>
      <c r="AC29" s="102">
        <f>(23500+2295+125)*1.035</f>
        <v>26827.2000000000007</v>
      </c>
      <c r="AD29" s="54">
        <f>AC29*1.2</f>
        <v>32192.6399999999994</v>
      </c>
    </row>
    <row r="30" spans="1:30">
      <c r="A30" s="251" t="str">
        <f>A13</f>
        <v>#10</v>
      </c>
      <c r="B30" s="74" t="str">
        <f>B13</f>
        <v>Inners</v>
      </c>
      <c r="C30" s="75" t="str">
        <f>C13</f>
        <v>M. Bondarewski</v>
      </c>
      <c r="D30" s="75" t="str">
        <f>D13</f>
        <v>RAP</v>
      </c>
      <c r="E30" s="75">
        <f>T13</f>
        <v>22</v>
      </c>
      <c r="F30" s="75">
        <f>U13</f>
        <v>49</v>
      </c>
      <c r="G30" s="91">
        <f>V13</f>
        <v>0</v>
      </c>
      <c r="H30" s="91">
        <f>W13</f>
        <v>2</v>
      </c>
      <c r="I30" s="91">
        <f>X13</f>
        <v>14</v>
      </c>
      <c r="J30" s="91">
        <f>Y13</f>
        <v>5</v>
      </c>
      <c r="K30" s="91">
        <f>Z13</f>
        <v>4</v>
      </c>
      <c r="L30" s="91">
        <f>AA13</f>
        <v>10.8571428571429003</v>
      </c>
      <c r="M30" s="91">
        <f>AB13</f>
        <v>17</v>
      </c>
      <c r="N30" s="102">
        <f>AC13</f>
        <v>26565.9000000000015</v>
      </c>
      <c r="O30" s="102">
        <f>AD13</f>
        <v>31879.0800000000017</v>
      </c>
      <c r="Q30" s="251" t="s">
        <v>180</v>
      </c>
      <c r="R30" s="74" t="str">
        <f>B30</f>
        <v>Inners</v>
      </c>
      <c r="S30" s="75" t="str">
        <f>D30</f>
        <v>RAP</v>
      </c>
      <c r="T30" s="75">
        <f>E30+1</f>
        <v>23</v>
      </c>
      <c r="U30" s="75">
        <f>F30</f>
        <v>49</v>
      </c>
      <c r="V30" s="91">
        <f>G30</f>
        <v>0</v>
      </c>
      <c r="W30" s="91">
        <f>H30</f>
        <v>2</v>
      </c>
      <c r="X30" s="91">
        <f>I30</f>
        <v>14</v>
      </c>
      <c r="Y30" s="91">
        <f>J30</f>
        <v>5</v>
      </c>
      <c r="Z30" s="91">
        <f>K30</f>
        <v>4</v>
      </c>
      <c r="AA30" s="91">
        <f>L30</f>
        <v>10.8571428571429003</v>
      </c>
      <c r="AB30" s="91" t="n">
        <v>15</v>
      </c>
      <c r="AC30" s="102">
        <f>(23500+2295+125+125)*1.043</f>
        <v>27164.9350000000013</v>
      </c>
      <c r="AD30" s="54">
        <f>AC30*1.2</f>
        <v>32597.9219999999987</v>
      </c>
    </row>
    <row r="31" spans="1:30">
      <c r="A31" s="251" t="str">
        <f>A14</f>
        <v>#11</v>
      </c>
      <c r="B31" s="74" t="str">
        <f>B14</f>
        <v>Inners</v>
      </c>
      <c r="C31" s="75" t="str">
        <f>C14</f>
        <v>P. Tuderek</v>
      </c>
      <c r="D31" s="75" t="str">
        <f>D14</f>
        <v>IMP</v>
      </c>
      <c r="E31" s="75">
        <f>T14</f>
        <v>22</v>
      </c>
      <c r="F31" s="75">
        <f>U14</f>
        <v>45</v>
      </c>
      <c r="G31" s="91">
        <f>V14</f>
        <v>0</v>
      </c>
      <c r="H31" s="91">
        <f>W14</f>
        <v>6</v>
      </c>
      <c r="I31" s="91">
        <f>X14</f>
        <v>13.4000000000000004</v>
      </c>
      <c r="J31" s="91">
        <f>Y14</f>
        <v>2</v>
      </c>
      <c r="K31" s="91">
        <f>Z14</f>
        <v>3</v>
      </c>
      <c r="L31" s="91">
        <f>AA14</f>
        <v>9.5</v>
      </c>
      <c r="M31" s="91">
        <f>AB14</f>
        <v>17.25</v>
      </c>
      <c r="N31" s="102">
        <f>AC14</f>
        <v>21672.255000000001</v>
      </c>
      <c r="O31" s="102">
        <f>AD14</f>
        <v>26006.7059999999983</v>
      </c>
      <c r="Q31" s="251" t="s">
        <v>183</v>
      </c>
      <c r="R31" s="74" t="str">
        <f>B31</f>
        <v>Inners</v>
      </c>
      <c r="S31" s="75" t="str">
        <f>D31</f>
        <v>IMP</v>
      </c>
      <c r="T31" s="75">
        <f>E31+1</f>
        <v>23</v>
      </c>
      <c r="U31" s="75">
        <f>F31</f>
        <v>45</v>
      </c>
      <c r="V31" s="91">
        <f>G31</f>
        <v>0</v>
      </c>
      <c r="W31" s="91">
        <f>H31</f>
        <v>6</v>
      </c>
      <c r="X31" s="91">
        <f>I31</f>
        <v>13.4000000000000004</v>
      </c>
      <c r="Y31" s="91">
        <f>J31</f>
        <v>2</v>
      </c>
      <c r="Z31" s="91">
        <f>K31</f>
        <v>3</v>
      </c>
      <c r="AA31" s="91">
        <f>L31</f>
        <v>9.5</v>
      </c>
      <c r="AB31" s="91" t="n">
        <v>16.25</v>
      </c>
      <c r="AC31" s="102">
        <f>(20000+1020+225)*1.047</f>
        <v>22243.5149999999994</v>
      </c>
      <c r="AD31" s="54">
        <f>AC31*1.2</f>
        <v>26692.2180000000008</v>
      </c>
    </row>
    <row r="32" spans="1:30">
      <c r="A32" s="251" t="str">
        <f>A15</f>
        <v>#12</v>
      </c>
      <c r="B32" s="74" t="str">
        <f>B15</f>
        <v>Inners</v>
      </c>
      <c r="C32" s="75" t="str">
        <f>C15</f>
        <v>R. Forsyth</v>
      </c>
      <c r="D32" s="75" t="str">
        <f>D15</f>
        <v>POT</v>
      </c>
      <c r="E32" s="75">
        <f>T15</f>
        <v>22</v>
      </c>
      <c r="F32" s="75">
        <f>U15</f>
        <v>100</v>
      </c>
      <c r="G32" s="91">
        <f>V15</f>
        <v>0</v>
      </c>
      <c r="H32" s="91">
        <f>W15</f>
        <v>7</v>
      </c>
      <c r="I32" s="91">
        <f>X15</f>
        <v>13.4444444444444002</v>
      </c>
      <c r="J32" s="91">
        <f>Y15</f>
        <v>3</v>
      </c>
      <c r="K32" s="91">
        <f>Z15</f>
        <v>4</v>
      </c>
      <c r="L32" s="91">
        <f>AA15</f>
        <v>9.5</v>
      </c>
      <c r="M32" s="91">
        <f>AB15</f>
        <v>15</v>
      </c>
      <c r="N32" s="102">
        <f>AC15</f>
        <v>21540.9599999999991</v>
      </c>
      <c r="O32" s="102">
        <f>AD15</f>
        <v>21540.9599999999991</v>
      </c>
      <c r="Q32" s="251" t="s">
        <v>178</v>
      </c>
      <c r="R32" s="74" t="str">
        <f>B32</f>
        <v>Inners</v>
      </c>
      <c r="S32" s="75" t="str">
        <f>D32</f>
        <v>POT</v>
      </c>
      <c r="T32" s="75">
        <f>E32+1</f>
        <v>23</v>
      </c>
      <c r="U32" s="75">
        <f>F32</f>
        <v>100</v>
      </c>
      <c r="V32" s="91">
        <f>G32</f>
        <v>0</v>
      </c>
      <c r="W32" s="91">
        <f>H32</f>
        <v>7</v>
      </c>
      <c r="X32" s="91">
        <f>I32</f>
        <v>13.4444444444444002</v>
      </c>
      <c r="Y32" s="91">
        <f>J32</f>
        <v>3</v>
      </c>
      <c r="Z32" s="91">
        <f>K32</f>
        <v>4</v>
      </c>
      <c r="AA32" s="91">
        <f>L32</f>
        <v>9.5</v>
      </c>
      <c r="AB32" s="91" t="n">
        <v>13.5</v>
      </c>
      <c r="AC32" s="102">
        <f>(20000+1020+225+125)*1.038</f>
        <v>22182.0600000000013</v>
      </c>
      <c r="AD32" s="54">
        <f>AC32*1.2</f>
        <v>26618.4720000000016</v>
      </c>
    </row>
    <row r="33" spans="1:30">
      <c r="A33" s="251" t="str">
        <f>A16</f>
        <v>#13</v>
      </c>
      <c r="B33" s="74" t="str">
        <f>B16</f>
        <v>DD</v>
      </c>
      <c r="C33" s="75" t="s">
        <v>374</v>
      </c>
      <c r="D33" s="75" t="str">
        <f>D16</f>
        <v>RAP/IMP/CAB</v>
      </c>
      <c r="E33" s="75" t="n">
        <v>22</v>
      </c>
      <c r="F33" s="75" t="n">
        <v>50</v>
      </c>
      <c r="G33" s="91">
        <f>V16</f>
        <v>0</v>
      </c>
      <c r="H33" s="91">
        <f>W16</f>
        <v>2</v>
      </c>
      <c r="I33" s="91" t="n">
        <v>14</v>
      </c>
      <c r="J33" s="91">
        <f>Y16</f>
        <v>2</v>
      </c>
      <c r="K33" s="91">
        <f>Z16</f>
        <v>2</v>
      </c>
      <c r="L33" s="91" t="n">
        <v>11</v>
      </c>
      <c r="M33" s="91" t="n">
        <v>10</v>
      </c>
      <c r="N33" s="102">
        <f>(22400+2295)*1.03</f>
        <v>25435.8499999999985</v>
      </c>
      <c r="O33" s="102">
        <f>N33*1.2</f>
        <v>30523.0200000000004</v>
      </c>
      <c r="Q33" s="251" t="s">
        <v>370</v>
      </c>
      <c r="R33" s="74" t="str">
        <f>B33</f>
        <v>DD</v>
      </c>
      <c r="S33" s="75" t="str">
        <f>D33</f>
        <v>RAP/IMP/CAB</v>
      </c>
      <c r="T33" s="75"/>
      <c r="U33" s="75"/>
      <c r="V33" s="91">
        <f>G33</f>
        <v>0</v>
      </c>
      <c r="W33" s="91">
        <f>H33</f>
        <v>2</v>
      </c>
      <c r="X33" s="91">
        <f>I33</f>
        <v>14</v>
      </c>
      <c r="Y33" s="91">
        <f>J33</f>
        <v>2</v>
      </c>
      <c r="Z33" s="91">
        <f>K33</f>
        <v>2</v>
      </c>
      <c r="AA33" s="91">
        <f>L33</f>
        <v>11</v>
      </c>
      <c r="AB33" s="91" t="n">
        <v>18</v>
      </c>
      <c r="AC33" s="102">
        <f>(22400+2295)*1.048</f>
        <v>25880.3600000000006</v>
      </c>
      <c r="AD33" s="54">
        <f>AC33*1.2</f>
        <v>31056.4320000000007</v>
      </c>
    </row>
    <row r="34" spans="1:30">
      <c r="A34" s="251" t="str">
        <f>A17</f>
        <v>#14</v>
      </c>
      <c r="B34" s="74" t="str">
        <f>B17</f>
        <v>DD</v>
      </c>
      <c r="C34" s="75" t="s">
        <v>374</v>
      </c>
      <c r="D34" s="75" t="str">
        <f>D17</f>
        <v>RAP/IMP/CAB</v>
      </c>
      <c r="E34" s="75" t="n">
        <v>22</v>
      </c>
      <c r="F34" s="75" t="n">
        <v>50</v>
      </c>
      <c r="G34" s="91">
        <f>V17</f>
        <v>0</v>
      </c>
      <c r="H34" s="91">
        <f>W17</f>
        <v>2</v>
      </c>
      <c r="I34" s="91" t="n">
        <v>14</v>
      </c>
      <c r="J34" s="91">
        <f>Y17</f>
        <v>2</v>
      </c>
      <c r="K34" s="91">
        <f>Z17</f>
        <v>2</v>
      </c>
      <c r="L34" s="91" t="n">
        <v>11</v>
      </c>
      <c r="M34" s="91" t="n">
        <v>10</v>
      </c>
      <c r="N34" s="102">
        <f>(22400+2295)*1.03</f>
        <v>25435.8499999999985</v>
      </c>
      <c r="O34" s="102">
        <f>N34*1.2</f>
        <v>30523.0200000000004</v>
      </c>
      <c r="Q34" s="251" t="s">
        <v>174</v>
      </c>
      <c r="R34" s="74" t="str">
        <f>B34</f>
        <v>DD</v>
      </c>
      <c r="S34" s="75" t="str">
        <f>D34</f>
        <v>RAP/IMP/CAB</v>
      </c>
      <c r="T34" s="75"/>
      <c r="U34" s="75"/>
      <c r="V34" s="91">
        <f>G34</f>
        <v>0</v>
      </c>
      <c r="W34" s="91">
        <f>H34</f>
        <v>2</v>
      </c>
      <c r="X34" s="91">
        <f>I34</f>
        <v>14</v>
      </c>
      <c r="Y34" s="91">
        <f>J34</f>
        <v>2</v>
      </c>
      <c r="Z34" s="91">
        <f>K34</f>
        <v>2</v>
      </c>
      <c r="AA34" s="91">
        <f>L34</f>
        <v>11</v>
      </c>
      <c r="AB34" s="91" t="n">
        <v>18</v>
      </c>
      <c r="AC34" s="102">
        <f>(22400+2295)*1.048</f>
        <v>25880.3600000000006</v>
      </c>
      <c r="AD34" s="54">
        <f>AC34*1.2</f>
        <v>31056.4320000000007</v>
      </c>
    </row>
  </sheetData>
  <conditionalFormatting sqref="G21:M34">
    <cfRule type="colorScale" priority="1">
      <colorScale>
        <cfvo type="min"/>
        <cfvo type="max"/>
        <color rgb="FFFFEF9C"/>
        <color rgb="FF63BE7B"/>
      </colorScale>
    </cfRule>
  </conditionalFormatting>
  <conditionalFormatting sqref="V21:AB34">
    <cfRule type="colorScale" priority="2">
      <colorScale>
        <cfvo type="min"/>
        <cfvo type="max"/>
        <color rgb="FFFFEF9C"/>
        <color rgb="FF63BE7B"/>
      </colorScale>
    </cfRule>
  </conditionalFormatting>
  <conditionalFormatting sqref="G4:M17">
    <cfRule type="colorScale" priority="3">
      <colorScale>
        <cfvo type="min"/>
        <cfvo type="max"/>
        <color rgb="FFFFEF9C"/>
        <color rgb="FF63BE7B"/>
      </colorScale>
    </cfRule>
  </conditionalFormatting>
  <conditionalFormatting sqref="V4:AB17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5601780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5601780" l="56" r="56" t="56" b="56" borderId="0" fillId="0" vertical="0"/>
        <pm:footer xmlns:pm="smNativeData" id="1595601780" l="56" r="56" t="56" b="56" borderId="0" fillId="0" vertical="2"/>
      </ext>
    </extLst>
  </headerFooter>
  <extLst>
    <ext uri="smNativeData">
      <pm:sheetPrefs xmlns:pm="smNativeData" day="1595601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00"/>
  </sheetPr>
  <dimension ref="A2:AG34"/>
  <sheetViews>
    <sheetView view="normal" zoomScale="110" workbookViewId="0">
      <selection activeCell="AA25" sqref="AA25"/>
    </sheetView>
  </sheetViews>
  <sheetFormatPr baseColWidth="10" defaultColWidth="10.714286" defaultRowHeight="15.40"/>
  <cols>
    <col min="1" max="1" width="5.142857" customWidth="1"/>
    <col min="2" max="2" width="6.571429" customWidth="1"/>
    <col min="3" max="3" width="15.142857" customWidth="1"/>
    <col min="4" max="4" width="8.285714" customWidth="1"/>
    <col min="5" max="5" width="5.571429" customWidth="1"/>
    <col min="6" max="6" width="5.000000" customWidth="1"/>
    <col min="7" max="9" width="4.571429" customWidth="1"/>
    <col min="10" max="11" width="3.571429" customWidth="1"/>
    <col min="12" max="13" width="4.571429" customWidth="1"/>
    <col min="14" max="14" width="7.285714" customWidth="1"/>
    <col min="15" max="15" width="7.714286" customWidth="1"/>
    <col min="16" max="16" width="11.285714" customWidth="1"/>
    <col min="17" max="17" width="5.142857" customWidth="1"/>
    <col min="18" max="18" width="6.571429" customWidth="1"/>
    <col min="19" max="19" width="8.285714" customWidth="1"/>
    <col min="20" max="20" width="5.571429" customWidth="1"/>
    <col min="21" max="21" width="5.000000" customWidth="1"/>
    <col min="22" max="24" width="4.571429" customWidth="1"/>
    <col min="25" max="26" width="3.571429" customWidth="1"/>
    <col min="27" max="28" width="4.571429" customWidth="1"/>
    <col min="29" max="29" width="7.285714" customWidth="1"/>
    <col min="30" max="30" width="7.714286" customWidth="1"/>
    <col min="31" max="31" width="11.285714" customWidth="1"/>
    <col min="32" max="32" width="22.857143" customWidth="1"/>
    <col min="33" max="33" width="3.571429" customWidth="1"/>
    <col min="34" max="34" width="11.285714" customWidth="1"/>
  </cols>
  <sheetData>
    <row r="2" spans="2:30">
      <c r="B2" s="62"/>
      <c r="N2" s="54">
        <f>SUM(N4:N17)</f>
        <v>125014</v>
      </c>
      <c r="O2" s="54">
        <f>SUM(O4:O17)</f>
        <v>0</v>
      </c>
      <c r="R2" s="62"/>
      <c r="AC2" s="54">
        <f>SUM(AC4:AC17)</f>
        <v>93421.2400000000052</v>
      </c>
      <c r="AD2" s="54">
        <f>SUM(AD4:AD17)</f>
        <v>112105.487999999998</v>
      </c>
    </row>
    <row r="3" spans="1:33">
      <c r="A3" s="87" t="s">
        <v>350</v>
      </c>
      <c r="B3" s="85" t="s">
        <v>85</v>
      </c>
      <c r="C3" s="85" t="s">
        <v>351</v>
      </c>
      <c r="D3" s="85" t="s">
        <v>352</v>
      </c>
      <c r="E3" s="85" t="s">
        <v>353</v>
      </c>
      <c r="F3" s="85" t="s">
        <v>89</v>
      </c>
      <c r="G3" s="85" t="s">
        <v>107</v>
      </c>
      <c r="H3" s="85" t="s">
        <v>108</v>
      </c>
      <c r="I3" s="85" t="s">
        <v>109</v>
      </c>
      <c r="J3" s="85" t="s">
        <v>110</v>
      </c>
      <c r="K3" s="85" t="s">
        <v>111</v>
      </c>
      <c r="L3" s="85" t="s">
        <v>112</v>
      </c>
      <c r="M3" s="85" t="s">
        <v>90</v>
      </c>
      <c r="N3" s="85" t="s">
        <v>354</v>
      </c>
      <c r="O3" s="128" t="s">
        <v>355</v>
      </c>
      <c r="Q3" s="87" t="s">
        <v>350</v>
      </c>
      <c r="R3" s="85" t="s">
        <v>85</v>
      </c>
      <c r="S3" s="85" t="s">
        <v>352</v>
      </c>
      <c r="T3" s="85" t="s">
        <v>353</v>
      </c>
      <c r="U3" s="85" t="s">
        <v>89</v>
      </c>
      <c r="V3" s="85" t="s">
        <v>107</v>
      </c>
      <c r="W3" s="85" t="s">
        <v>108</v>
      </c>
      <c r="X3" s="85" t="s">
        <v>109</v>
      </c>
      <c r="Y3" s="85" t="s">
        <v>110</v>
      </c>
      <c r="Z3" s="85" t="s">
        <v>111</v>
      </c>
      <c r="AA3" s="85" t="s">
        <v>112</v>
      </c>
      <c r="AB3" s="85" t="s">
        <v>90</v>
      </c>
      <c r="AC3" s="85" t="s">
        <v>354</v>
      </c>
      <c r="AD3" s="128" t="s">
        <v>355</v>
      </c>
      <c r="AF3" s="62" t="s">
        <v>356</v>
      </c>
      <c r="AG3" t="n">
        <v>0</v>
      </c>
    </row>
    <row r="4" spans="1:33">
      <c r="A4" s="251" t="s">
        <v>145</v>
      </c>
      <c r="B4" s="74" t="s">
        <v>14</v>
      </c>
      <c r="C4" s="75"/>
      <c r="D4" s="75"/>
      <c r="E4" s="75"/>
      <c r="F4" s="75"/>
      <c r="G4" s="91" t="n">
        <v>2</v>
      </c>
      <c r="H4" s="83" t="n">
        <v>2</v>
      </c>
      <c r="I4" s="91" t="n">
        <v>2</v>
      </c>
      <c r="J4" s="83" t="n">
        <v>0</v>
      </c>
      <c r="K4" s="91" t="n">
        <v>0</v>
      </c>
      <c r="L4" s="83" t="n">
        <v>0</v>
      </c>
      <c r="M4" s="91" t="n">
        <v>2</v>
      </c>
      <c r="N4" s="102"/>
      <c r="O4" s="54"/>
      <c r="Q4" s="251" t="s">
        <v>145</v>
      </c>
      <c r="R4" s="74" t="str">
        <f>B4</f>
        <v>POR</v>
      </c>
      <c r="S4" s="75"/>
      <c r="T4" s="75"/>
      <c r="U4" s="75"/>
      <c r="V4" s="91">
        <f>G4</f>
        <v>2</v>
      </c>
      <c r="W4" s="91">
        <f>H4</f>
        <v>2</v>
      </c>
      <c r="X4" s="91">
        <f>I4</f>
        <v>2</v>
      </c>
      <c r="Y4" s="91">
        <f>J4</f>
        <v>0</v>
      </c>
      <c r="Z4" s="91">
        <f>K4</f>
        <v>0</v>
      </c>
      <c r="AA4" s="91">
        <f>L4</f>
        <v>0</v>
      </c>
      <c r="AB4" s="91">
        <f>M4</f>
        <v>2</v>
      </c>
      <c r="AC4" s="102">
        <f>N4</f>
        <v>0</v>
      </c>
      <c r="AD4" s="54">
        <f>AC4*1.2</f>
        <v>0</v>
      </c>
      <c r="AF4" s="62" t="s">
        <v>358</v>
      </c>
      <c r="AG4" t="n">
        <v>16</v>
      </c>
    </row>
    <row r="5" spans="1:33">
      <c r="A5" s="251" t="s">
        <v>157</v>
      </c>
      <c r="B5" s="74" t="s">
        <v>37</v>
      </c>
      <c r="C5" s="75"/>
      <c r="D5" s="75"/>
      <c r="E5" s="75"/>
      <c r="F5" s="75"/>
      <c r="G5" s="91" t="n">
        <v>0</v>
      </c>
      <c r="H5" s="83" t="n">
        <v>2</v>
      </c>
      <c r="I5" s="83" t="n">
        <v>2</v>
      </c>
      <c r="J5" s="83" t="n">
        <v>2</v>
      </c>
      <c r="K5" s="91" t="n">
        <v>2</v>
      </c>
      <c r="L5" s="83" t="n">
        <v>2</v>
      </c>
      <c r="M5" s="91" t="n">
        <v>2</v>
      </c>
      <c r="N5" s="102"/>
      <c r="O5" s="54"/>
      <c r="Q5" s="251" t="s">
        <v>157</v>
      </c>
      <c r="R5" s="74" t="str">
        <f>B5</f>
        <v>DEF</v>
      </c>
      <c r="S5" s="75"/>
      <c r="T5" s="75"/>
      <c r="U5" s="75"/>
      <c r="V5" s="91">
        <f>G5</f>
        <v>0</v>
      </c>
      <c r="W5" s="91">
        <f>H5</f>
        <v>2</v>
      </c>
      <c r="X5" s="91">
        <f>I5</f>
        <v>2</v>
      </c>
      <c r="Y5" s="91">
        <f>J5</f>
        <v>2</v>
      </c>
      <c r="Z5" s="91">
        <f>K5</f>
        <v>2</v>
      </c>
      <c r="AA5" s="91">
        <f>L5</f>
        <v>2</v>
      </c>
      <c r="AB5" s="91">
        <f>M5</f>
        <v>2</v>
      </c>
      <c r="AC5" s="102">
        <f>N5</f>
        <v>0</v>
      </c>
      <c r="AD5" s="54">
        <f>AC5*1.2</f>
        <v>0</v>
      </c>
      <c r="AF5" s="62" t="s">
        <v>200</v>
      </c>
      <c r="AG5" t="n">
        <v>0</v>
      </c>
    </row>
    <row r="6" spans="1:33">
      <c r="A6" s="251" t="s">
        <v>166</v>
      </c>
      <c r="B6" s="74" t="s">
        <v>37</v>
      </c>
      <c r="C6" s="75"/>
      <c r="D6" s="75"/>
      <c r="E6" s="75"/>
      <c r="F6" s="75"/>
      <c r="G6" s="91" t="n">
        <v>0</v>
      </c>
      <c r="H6" s="83" t="n">
        <v>2</v>
      </c>
      <c r="I6" s="83" t="n">
        <v>2</v>
      </c>
      <c r="J6" s="83" t="n">
        <v>2</v>
      </c>
      <c r="K6" s="91" t="n">
        <v>2</v>
      </c>
      <c r="L6" s="83" t="n">
        <v>2</v>
      </c>
      <c r="M6" s="91" t="n">
        <v>2</v>
      </c>
      <c r="N6" s="102"/>
      <c r="O6" s="54"/>
      <c r="Q6" s="251" t="s">
        <v>166</v>
      </c>
      <c r="R6" s="74" t="str">
        <f>B6</f>
        <v>DEF</v>
      </c>
      <c r="S6" s="75"/>
      <c r="T6" s="75"/>
      <c r="U6" s="75"/>
      <c r="V6" s="91">
        <f>G6</f>
        <v>0</v>
      </c>
      <c r="W6" s="91">
        <f>H6</f>
        <v>2</v>
      </c>
      <c r="X6" s="91">
        <f>I6</f>
        <v>2</v>
      </c>
      <c r="Y6" s="91">
        <f>J6</f>
        <v>2</v>
      </c>
      <c r="Z6" s="91">
        <f>K6</f>
        <v>2</v>
      </c>
      <c r="AA6" s="91">
        <f>L6</f>
        <v>2</v>
      </c>
      <c r="AB6" s="91">
        <f>M6</f>
        <v>2</v>
      </c>
      <c r="AC6" s="102">
        <f>N6</f>
        <v>0</v>
      </c>
      <c r="AD6" s="54">
        <f>AC6*1.2</f>
        <v>0</v>
      </c>
      <c r="AF6" s="62" t="s">
        <v>199</v>
      </c>
      <c r="AG6" t="n">
        <v>0</v>
      </c>
    </row>
    <row r="7" spans="1:33">
      <c r="A7" s="251" t="s">
        <v>168</v>
      </c>
      <c r="B7" s="74" t="s">
        <v>37</v>
      </c>
      <c r="C7" s="75"/>
      <c r="D7" s="75"/>
      <c r="E7" s="75"/>
      <c r="F7" s="75"/>
      <c r="G7" s="91" t="n">
        <v>0</v>
      </c>
      <c r="H7" s="83" t="n">
        <v>2</v>
      </c>
      <c r="I7" s="83" t="n">
        <v>2</v>
      </c>
      <c r="J7" s="83" t="n">
        <v>2</v>
      </c>
      <c r="K7" s="91" t="n">
        <v>2</v>
      </c>
      <c r="L7" s="83" t="n">
        <v>2</v>
      </c>
      <c r="M7" s="91" t="n">
        <v>2</v>
      </c>
      <c r="N7" s="102"/>
      <c r="O7" s="54"/>
      <c r="Q7" s="251" t="s">
        <v>168</v>
      </c>
      <c r="R7" s="74" t="str">
        <f>B7</f>
        <v>DEF</v>
      </c>
      <c r="S7" s="75"/>
      <c r="T7" s="75"/>
      <c r="U7" s="75"/>
      <c r="V7" s="91">
        <f>G7</f>
        <v>0</v>
      </c>
      <c r="W7" s="91">
        <f>H7</f>
        <v>2</v>
      </c>
      <c r="X7" s="91">
        <f>I7</f>
        <v>2</v>
      </c>
      <c r="Y7" s="91">
        <f>J7</f>
        <v>2</v>
      </c>
      <c r="Z7" s="91">
        <f>K7</f>
        <v>2</v>
      </c>
      <c r="AA7" s="91">
        <f>L7</f>
        <v>2</v>
      </c>
      <c r="AB7" s="91">
        <f>M7</f>
        <v>2</v>
      </c>
      <c r="AC7" s="102">
        <f>N7</f>
        <v>0</v>
      </c>
      <c r="AD7" s="54">
        <f>AC7*1.2</f>
        <v>0</v>
      </c>
      <c r="AF7" s="62" t="s">
        <v>363</v>
      </c>
      <c r="AG7">
        <f>AG5+AG4+AG3+AG6</f>
        <v>16</v>
      </c>
    </row>
    <row r="8" spans="1:33">
      <c r="A8" s="251" t="s">
        <v>365</v>
      </c>
      <c r="B8" s="74" t="s">
        <v>37</v>
      </c>
      <c r="C8" s="233" t="str">
        <f>Plantilla!D13</f>
        <v>V. Gardner</v>
      </c>
      <c r="D8" s="75"/>
      <c r="E8" s="75">
        <f>Plantilla!E13</f>
        <v>22</v>
      </c>
      <c r="F8" s="145">
        <f>Plantilla!F13</f>
        <v>30</v>
      </c>
      <c r="G8" s="91">
        <f>Plantilla!X13</f>
        <v>0</v>
      </c>
      <c r="H8" s="91">
        <f>Plantilla!Y13</f>
        <v>12</v>
      </c>
      <c r="I8" s="91">
        <f>Plantilla!Z13</f>
        <v>5</v>
      </c>
      <c r="J8" s="91">
        <f>Plantilla!AA13</f>
        <v>3</v>
      </c>
      <c r="K8" s="91">
        <f>Plantilla!AB13</f>
        <v>5</v>
      </c>
      <c r="L8" s="91">
        <f>Plantilla!AC13</f>
        <v>6</v>
      </c>
      <c r="M8" s="91">
        <f>Plantilla!AD13</f>
        <v>16</v>
      </c>
      <c r="N8" s="102">
        <f>Plantilla!V13</f>
        <v>9450</v>
      </c>
      <c r="O8" s="54"/>
      <c r="Q8" s="251" t="s">
        <v>365</v>
      </c>
      <c r="R8" s="74" t="str">
        <f>B8</f>
        <v>DEF</v>
      </c>
      <c r="S8" s="75"/>
      <c r="T8" s="75">
        <f>E8+1</f>
        <v>23</v>
      </c>
      <c r="U8" s="75">
        <f>F8+$AG$7*7-112</f>
        <v>30</v>
      </c>
      <c r="V8" s="91">
        <f>G8</f>
        <v>0</v>
      </c>
      <c r="W8" s="91">
        <f>H8</f>
        <v>12</v>
      </c>
      <c r="X8" s="91">
        <f>5+1/7</f>
        <v>5.14285714285713969</v>
      </c>
      <c r="Y8" s="91">
        <f>J8</f>
        <v>3</v>
      </c>
      <c r="Z8" s="91">
        <f>K8</f>
        <v>5</v>
      </c>
      <c r="AA8" s="91">
        <f>L8</f>
        <v>6</v>
      </c>
      <c r="AB8" s="91">
        <f>M8</f>
        <v>16</v>
      </c>
      <c r="AC8" s="102">
        <f>N8</f>
        <v>9450</v>
      </c>
      <c r="AD8" s="54">
        <f>AC8*1.2</f>
        <v>11340</v>
      </c>
      <c r="AF8" s="62" t="s">
        <v>366</v>
      </c>
      <c r="AG8" s="76">
        <f>AG7/16</f>
        <v>1</v>
      </c>
    </row>
    <row r="9" spans="1:30">
      <c r="A9" s="251" t="s">
        <v>367</v>
      </c>
      <c r="B9" s="74" t="s">
        <v>37</v>
      </c>
      <c r="C9" s="233" t="str">
        <f>Plantilla!D12</f>
        <v>A. Grimaud</v>
      </c>
      <c r="D9" s="75" t="str">
        <f>Plantilla!G12</f>
        <v>RAP</v>
      </c>
      <c r="E9" s="75">
        <f>Plantilla!E12</f>
        <v>22</v>
      </c>
      <c r="F9" s="145">
        <f>Plantilla!F12</f>
        <v>41</v>
      </c>
      <c r="G9" s="91">
        <f>Plantilla!X12</f>
        <v>0</v>
      </c>
      <c r="H9" s="91">
        <f>Plantilla!Y12</f>
        <v>12</v>
      </c>
      <c r="I9" s="91">
        <f>Plantilla!Z12</f>
        <v>7</v>
      </c>
      <c r="J9" s="91">
        <f>Plantilla!AA12</f>
        <v>3</v>
      </c>
      <c r="K9" s="91">
        <f>Plantilla!AB12</f>
        <v>3</v>
      </c>
      <c r="L9" s="91">
        <f>Plantilla!AC12</f>
        <v>5</v>
      </c>
      <c r="M9" s="91">
        <f>Plantilla!AD12</f>
        <v>14.3333333333333002</v>
      </c>
      <c r="N9" s="102">
        <f>Plantilla!V12</f>
        <v>9564</v>
      </c>
      <c r="O9" s="54"/>
      <c r="Q9" s="251" t="s">
        <v>367</v>
      </c>
      <c r="R9" s="74" t="str">
        <f>B9</f>
        <v>DEF</v>
      </c>
      <c r="S9" s="75" t="str">
        <f>D9</f>
        <v>RAP</v>
      </c>
      <c r="T9" s="75">
        <f>E9+1</f>
        <v>23</v>
      </c>
      <c r="U9" s="75">
        <f>F9+$AG$7*7-112</f>
        <v>41</v>
      </c>
      <c r="V9" s="91">
        <f>G9</f>
        <v>0</v>
      </c>
      <c r="W9" s="91">
        <f>H9</f>
        <v>12</v>
      </c>
      <c r="X9" s="91">
        <f>6+1/8</f>
        <v>6.125</v>
      </c>
      <c r="Y9" s="91">
        <f>J9</f>
        <v>3</v>
      </c>
      <c r="Z9" s="91">
        <f>K9</f>
        <v>3</v>
      </c>
      <c r="AA9" s="91">
        <f>L9</f>
        <v>5</v>
      </c>
      <c r="AB9" s="91">
        <f>M9</f>
        <v>14.3333333333333002</v>
      </c>
      <c r="AC9" s="102">
        <f>N9</f>
        <v>9564</v>
      </c>
      <c r="AD9" s="54">
        <f>AC9*1.2</f>
        <v>11476.7999999999993</v>
      </c>
    </row>
    <row r="10" spans="1:30">
      <c r="A10" s="251" t="s">
        <v>368</v>
      </c>
      <c r="B10" s="74" t="s">
        <v>369</v>
      </c>
      <c r="C10" s="233" t="str">
        <f>Plantilla!D16</f>
        <v>I. Vanags</v>
      </c>
      <c r="D10" s="75" t="str">
        <f>Plantilla!G16</f>
        <v>CAB</v>
      </c>
      <c r="E10" s="75">
        <f>Plantilla!E16</f>
        <v>22</v>
      </c>
      <c r="F10" s="145">
        <f>Plantilla!F16</f>
        <v>17</v>
      </c>
      <c r="G10" s="91">
        <f>Plantilla!X16</f>
        <v>0</v>
      </c>
      <c r="H10" s="91">
        <f>Plantilla!Y16</f>
        <v>4</v>
      </c>
      <c r="I10" s="91">
        <f>Plantilla!Z16</f>
        <v>13</v>
      </c>
      <c r="J10" s="91">
        <f>Plantilla!AA16</f>
        <v>3</v>
      </c>
      <c r="K10" s="91">
        <f>Plantilla!AB16</f>
        <v>4</v>
      </c>
      <c r="L10" s="91">
        <f>Plantilla!AC16</f>
        <v>7</v>
      </c>
      <c r="M10" s="91">
        <f>Plantilla!AD16</f>
        <v>16.3333333333333002</v>
      </c>
      <c r="N10" s="102">
        <f>Plantilla!V16</f>
        <v>19500</v>
      </c>
      <c r="O10" s="54"/>
      <c r="Q10" s="251" t="s">
        <v>368</v>
      </c>
      <c r="R10" s="74" t="str">
        <f>B10</f>
        <v>Inners</v>
      </c>
      <c r="S10" s="75" t="str">
        <f>D10</f>
        <v>CAB</v>
      </c>
      <c r="T10" s="75">
        <f>E10+1</f>
        <v>23</v>
      </c>
      <c r="U10" s="75">
        <f>F10+$AG$7*7-112</f>
        <v>17</v>
      </c>
      <c r="V10" s="91">
        <f>G10</f>
        <v>0</v>
      </c>
      <c r="W10" s="91">
        <f>H10</f>
        <v>4</v>
      </c>
      <c r="X10" s="91">
        <f>12+6/8</f>
        <v>12.75</v>
      </c>
      <c r="Y10" s="91">
        <f>J10</f>
        <v>3</v>
      </c>
      <c r="Z10" s="91">
        <f>K10</f>
        <v>4</v>
      </c>
      <c r="AA10" s="91">
        <f>L10</f>
        <v>7</v>
      </c>
      <c r="AB10" s="91">
        <f>M10</f>
        <v>16.3333333333333002</v>
      </c>
      <c r="AC10" s="102">
        <f>(13500+245+125+125)*1.02</f>
        <v>14274.8999999999996</v>
      </c>
      <c r="AD10" s="54">
        <f>AC10*1.2</f>
        <v>17129.880000000001</v>
      </c>
    </row>
    <row r="11" spans="1:30">
      <c r="A11" s="251" t="s">
        <v>172</v>
      </c>
      <c r="B11" s="74" t="s">
        <v>369</v>
      </c>
      <c r="C11" s="233" t="str">
        <f>Plantilla!D17</f>
        <v>I. Stone</v>
      </c>
      <c r="D11" s="75" t="str">
        <f>Plantilla!G17</f>
        <v>RAP</v>
      </c>
      <c r="E11" s="75">
        <f>Plantilla!E17</f>
        <v>21</v>
      </c>
      <c r="F11" s="145">
        <f>Plantilla!F17</f>
        <v>72</v>
      </c>
      <c r="G11" s="91">
        <f>Plantilla!X17</f>
        <v>0</v>
      </c>
      <c r="H11" s="91">
        <f>Plantilla!Y17</f>
        <v>3</v>
      </c>
      <c r="I11" s="91">
        <f>Plantilla!Z17</f>
        <v>12</v>
      </c>
      <c r="J11" s="91">
        <f>Plantilla!AA17</f>
        <v>2</v>
      </c>
      <c r="K11" s="91">
        <f>Plantilla!AB17</f>
        <v>6</v>
      </c>
      <c r="L11" s="91">
        <f>Plantilla!AC17</f>
        <v>9</v>
      </c>
      <c r="M11" s="91">
        <f>Plantilla!AD17</f>
        <v>15.3333333333333002</v>
      </c>
      <c r="N11" s="102">
        <f>Plantilla!V17</f>
        <v>9910</v>
      </c>
      <c r="O11" s="54"/>
      <c r="Q11" s="251" t="s">
        <v>172</v>
      </c>
      <c r="R11" s="74" t="str">
        <f>B11</f>
        <v>Inners</v>
      </c>
      <c r="S11" s="75" t="str">
        <f>D11</f>
        <v>RAP</v>
      </c>
      <c r="T11" s="75">
        <f>E11+1</f>
        <v>22</v>
      </c>
      <c r="U11" s="75">
        <f>F11+$AG$7*7-112</f>
        <v>72</v>
      </c>
      <c r="V11" s="91">
        <f>G11</f>
        <v>0</v>
      </c>
      <c r="W11" s="91">
        <f>H11</f>
        <v>3</v>
      </c>
      <c r="X11" s="91" t="n">
        <v>12</v>
      </c>
      <c r="Y11" s="91">
        <f>J11</f>
        <v>2</v>
      </c>
      <c r="Z11" s="91">
        <f>K11</f>
        <v>6</v>
      </c>
      <c r="AA11" s="91">
        <f>L11</f>
        <v>9</v>
      </c>
      <c r="AB11" s="91">
        <f>M11</f>
        <v>15.3333333333333002</v>
      </c>
      <c r="AC11" s="102">
        <f>(8670+750+145)*1.008</f>
        <v>9641.52000000000044</v>
      </c>
      <c r="AD11" s="54">
        <f>AC11*1.2</f>
        <v>11569.8240000000005</v>
      </c>
    </row>
    <row r="12" spans="1:30">
      <c r="A12" s="251" t="s">
        <v>176</v>
      </c>
      <c r="B12" s="74" t="s">
        <v>369</v>
      </c>
      <c r="C12" s="233" t="str">
        <f>Plantilla!D18</f>
        <v>G. Piscaer</v>
      </c>
      <c r="D12" s="75" t="str">
        <f>Plantilla!G18</f>
        <v>IMP</v>
      </c>
      <c r="E12" s="75">
        <f>Plantilla!E18</f>
        <v>22</v>
      </c>
      <c r="F12" s="145">
        <f>Plantilla!F18</f>
        <v>33</v>
      </c>
      <c r="G12" s="91">
        <f>Plantilla!X18</f>
        <v>0</v>
      </c>
      <c r="H12" s="91">
        <f>Plantilla!Y18</f>
        <v>4</v>
      </c>
      <c r="I12" s="91">
        <f>Plantilla!Z18</f>
        <v>13</v>
      </c>
      <c r="J12" s="91">
        <f>Plantilla!AA18</f>
        <v>3</v>
      </c>
      <c r="K12" s="91">
        <f>Plantilla!AB18</f>
        <v>2</v>
      </c>
      <c r="L12" s="91">
        <f>Plantilla!AC18</f>
        <v>8</v>
      </c>
      <c r="M12" s="91">
        <f>Plantilla!AD18</f>
        <v>14.3333333333333002</v>
      </c>
      <c r="N12" s="102">
        <f>Plantilla!V18</f>
        <v>23508</v>
      </c>
      <c r="O12" s="54"/>
      <c r="Q12" s="251" t="s">
        <v>176</v>
      </c>
      <c r="R12" s="74" t="str">
        <f>B12</f>
        <v>Inners</v>
      </c>
      <c r="S12" s="75" t="str">
        <f>D12</f>
        <v>IMP</v>
      </c>
      <c r="T12" s="75">
        <f>E12+1</f>
        <v>23</v>
      </c>
      <c r="U12" s="75">
        <f>F12+$AG$7*7-112</f>
        <v>33</v>
      </c>
      <c r="V12" s="91">
        <f>G12</f>
        <v>0</v>
      </c>
      <c r="W12" s="91">
        <f>H12</f>
        <v>4</v>
      </c>
      <c r="X12" s="91">
        <f>13+1/9</f>
        <v>13.1111111111111001</v>
      </c>
      <c r="Y12" s="91">
        <f>J12</f>
        <v>3</v>
      </c>
      <c r="Z12" s="91">
        <f>K12</f>
        <v>2</v>
      </c>
      <c r="AA12" s="91">
        <f>L12</f>
        <v>8</v>
      </c>
      <c r="AB12" s="91">
        <f>M12</f>
        <v>14.3333333333333002</v>
      </c>
      <c r="AC12" s="102">
        <f>(14490+405+125+125)*1</f>
        <v>15145</v>
      </c>
      <c r="AD12" s="54">
        <f>AC12*1.2</f>
        <v>18174</v>
      </c>
    </row>
    <row r="13" spans="1:30">
      <c r="A13" s="251" t="s">
        <v>180</v>
      </c>
      <c r="B13" s="74" t="s">
        <v>369</v>
      </c>
      <c r="C13" s="233" t="str">
        <f>Plantilla!D19</f>
        <v>M. Bondarewski</v>
      </c>
      <c r="D13" s="75" t="str">
        <f>Plantilla!G19</f>
        <v>RAP</v>
      </c>
      <c r="E13" s="75">
        <f>Plantilla!E19</f>
        <v>22</v>
      </c>
      <c r="F13" s="145">
        <f>Plantilla!F19</f>
        <v>33</v>
      </c>
      <c r="G13" s="91">
        <f>Plantilla!X19</f>
        <v>0</v>
      </c>
      <c r="H13" s="91">
        <f>Plantilla!Y19</f>
        <v>2</v>
      </c>
      <c r="I13" s="91">
        <f>Plantilla!Z19</f>
        <v>13</v>
      </c>
      <c r="J13" s="91">
        <f>Plantilla!AA19</f>
        <v>5</v>
      </c>
      <c r="K13" s="91">
        <f>Plantilla!AB19</f>
        <v>4</v>
      </c>
      <c r="L13" s="91">
        <f>Plantilla!AC19</f>
        <v>8</v>
      </c>
      <c r="M13" s="91">
        <f>Plantilla!AD19</f>
        <v>17</v>
      </c>
      <c r="N13" s="102">
        <f>Plantilla!V19</f>
        <v>24084</v>
      </c>
      <c r="O13" s="54"/>
      <c r="Q13" s="251" t="s">
        <v>180</v>
      </c>
      <c r="R13" s="74" t="str">
        <f>B13</f>
        <v>Inners</v>
      </c>
      <c r="S13" s="75" t="str">
        <f>D13</f>
        <v>RAP</v>
      </c>
      <c r="T13" s="75">
        <f>E13+1</f>
        <v>23</v>
      </c>
      <c r="U13" s="75">
        <f>F13+$AG$7*7-112</f>
        <v>33</v>
      </c>
      <c r="V13" s="91">
        <f>G13</f>
        <v>0</v>
      </c>
      <c r="W13" s="91">
        <f>H13</f>
        <v>2</v>
      </c>
      <c r="X13" s="91">
        <f>13+2/10</f>
        <v>13.1999999999999993</v>
      </c>
      <c r="Y13" s="91">
        <f>J13</f>
        <v>5</v>
      </c>
      <c r="Z13" s="91">
        <f>K13</f>
        <v>4</v>
      </c>
      <c r="AA13" s="91">
        <f>L13</f>
        <v>8</v>
      </c>
      <c r="AB13" s="91">
        <f>M13</f>
        <v>17</v>
      </c>
      <c r="AC13" s="102">
        <f>(14550+405+125+155)*1.02</f>
        <v>15539.7000000000007</v>
      </c>
      <c r="AD13" s="54">
        <f>AC13*1.2</f>
        <v>18647.6399999999994</v>
      </c>
    </row>
    <row r="14" spans="1:30">
      <c r="A14" s="251" t="s">
        <v>183</v>
      </c>
      <c r="B14" s="74" t="s">
        <v>369</v>
      </c>
      <c r="C14" s="233" t="str">
        <f>Plantilla!D20</f>
        <v>P. Tuderek</v>
      </c>
      <c r="D14" s="75" t="str">
        <f>Plantilla!G20</f>
        <v>CAB</v>
      </c>
      <c r="E14" s="75">
        <f>Plantilla!E20</f>
        <v>22</v>
      </c>
      <c r="F14" s="145">
        <f>Plantilla!F20</f>
        <v>19</v>
      </c>
      <c r="G14" s="91">
        <f>Plantilla!X20</f>
        <v>0</v>
      </c>
      <c r="H14" s="91">
        <f>Plantilla!Y20</f>
        <v>6</v>
      </c>
      <c r="I14" s="91">
        <f>Plantilla!Z20</f>
        <v>12</v>
      </c>
      <c r="J14" s="91">
        <f>Plantilla!AA20</f>
        <v>2</v>
      </c>
      <c r="K14" s="91">
        <f>Plantilla!AB20</f>
        <v>3</v>
      </c>
      <c r="L14" s="91">
        <f>Plantilla!AC20</f>
        <v>6</v>
      </c>
      <c r="M14" s="91">
        <f>Plantilla!AD20</f>
        <v>17.25</v>
      </c>
      <c r="N14" s="102">
        <f>Plantilla!V20</f>
        <v>12948</v>
      </c>
      <c r="O14" s="54"/>
      <c r="Q14" s="251" t="s">
        <v>183</v>
      </c>
      <c r="R14" s="74" t="str">
        <f>B14</f>
        <v>Inners</v>
      </c>
      <c r="S14" s="75" t="str">
        <f>D14</f>
        <v>CAB</v>
      </c>
      <c r="T14" s="75">
        <f>E14+1</f>
        <v>23</v>
      </c>
      <c r="U14" s="75">
        <f>F14+$AG$7*7-112</f>
        <v>19</v>
      </c>
      <c r="V14" s="91">
        <f>G14</f>
        <v>0</v>
      </c>
      <c r="W14" s="91">
        <f>H14</f>
        <v>6</v>
      </c>
      <c r="X14" s="91" t="n">
        <v>12</v>
      </c>
      <c r="Y14" s="91">
        <f>J14</f>
        <v>2</v>
      </c>
      <c r="Z14" s="91">
        <f>K14</f>
        <v>3</v>
      </c>
      <c r="AA14" s="91">
        <f>L14</f>
        <v>6</v>
      </c>
      <c r="AB14" s="91">
        <f>M14</f>
        <v>17.25</v>
      </c>
      <c r="AC14" s="102">
        <f>(8670+165+165)*1.023</f>
        <v>9207</v>
      </c>
      <c r="AD14" s="54">
        <f>AC14*1.2</f>
        <v>11048.3999999999996</v>
      </c>
    </row>
    <row r="15" spans="1:30">
      <c r="A15" s="251" t="s">
        <v>178</v>
      </c>
      <c r="B15" s="74" t="s">
        <v>369</v>
      </c>
      <c r="C15" s="233" t="str">
        <f>Plantilla!D21</f>
        <v>R. Forsyth</v>
      </c>
      <c r="D15" s="75" t="str">
        <f>Plantilla!G21</f>
        <v>POT</v>
      </c>
      <c r="E15" s="75">
        <f>Plantilla!E21</f>
        <v>22</v>
      </c>
      <c r="F15" s="145">
        <f>Plantilla!F21</f>
        <v>74</v>
      </c>
      <c r="G15" s="91">
        <f>Plantilla!X21</f>
        <v>0</v>
      </c>
      <c r="H15" s="91">
        <f>Plantilla!Y21</f>
        <v>7</v>
      </c>
      <c r="I15" s="91">
        <f>Plantilla!Z21</f>
        <v>13</v>
      </c>
      <c r="J15" s="91">
        <f>Plantilla!AA21</f>
        <v>3</v>
      </c>
      <c r="K15" s="91">
        <f>Plantilla!AB21</f>
        <v>4</v>
      </c>
      <c r="L15" s="91">
        <f>Plantilla!AC21</f>
        <v>6</v>
      </c>
      <c r="M15" s="91">
        <f>Plantilla!AD21</f>
        <v>15</v>
      </c>
      <c r="N15" s="102">
        <f>Plantilla!V21</f>
        <v>16050</v>
      </c>
      <c r="O15" s="54"/>
      <c r="Q15" s="251" t="s">
        <v>178</v>
      </c>
      <c r="R15" s="74" t="str">
        <f>B15</f>
        <v>Inners</v>
      </c>
      <c r="S15" s="75" t="str">
        <f>D15</f>
        <v>POT</v>
      </c>
      <c r="T15" s="75">
        <f>E15+1</f>
        <v>23</v>
      </c>
      <c r="U15" s="75">
        <f>F15+$AG$7*7-112</f>
        <v>74</v>
      </c>
      <c r="V15" s="91">
        <f>G15</f>
        <v>0</v>
      </c>
      <c r="W15" s="91">
        <f>H15</f>
        <v>7</v>
      </c>
      <c r="X15" s="91">
        <f>12+2/9</f>
        <v>12.2222222222222001</v>
      </c>
      <c r="Y15" s="91">
        <f>J15</f>
        <v>3</v>
      </c>
      <c r="Z15" s="91">
        <f>K15</f>
        <v>4</v>
      </c>
      <c r="AA15" s="91">
        <f>L15</f>
        <v>6</v>
      </c>
      <c r="AB15" s="91">
        <f>M15</f>
        <v>15</v>
      </c>
      <c r="AC15" s="102">
        <f>(10000+225+125+165)*1.008</f>
        <v>10599.1200000000008</v>
      </c>
      <c r="AD15" s="54">
        <f>AC15*1.2</f>
        <v>12718.9439999999995</v>
      </c>
    </row>
    <row r="16" spans="1:30">
      <c r="A16" s="251" t="s">
        <v>370</v>
      </c>
      <c r="B16" s="74" t="s">
        <v>140</v>
      </c>
      <c r="C16" s="75"/>
      <c r="D16" s="75"/>
      <c r="E16" s="75"/>
      <c r="F16" s="75"/>
      <c r="G16" s="91" t="n">
        <v>0</v>
      </c>
      <c r="H16" s="83" t="n">
        <v>2</v>
      </c>
      <c r="I16" s="83" t="n">
        <v>2</v>
      </c>
      <c r="J16" s="83" t="n">
        <v>2</v>
      </c>
      <c r="K16" s="91" t="n">
        <v>2</v>
      </c>
      <c r="L16" s="83" t="n">
        <v>2</v>
      </c>
      <c r="M16" s="91" t="n">
        <v>2</v>
      </c>
      <c r="N16" s="102"/>
      <c r="O16" s="54"/>
      <c r="Q16" s="251" t="s">
        <v>370</v>
      </c>
      <c r="R16" s="74" t="str">
        <f>B16</f>
        <v>DD</v>
      </c>
      <c r="S16" s="75"/>
      <c r="T16" s="75"/>
      <c r="U16" s="75"/>
      <c r="V16" s="91">
        <f>G16</f>
        <v>0</v>
      </c>
      <c r="W16" s="91">
        <f>H16</f>
        <v>2</v>
      </c>
      <c r="X16" s="91">
        <f>I16</f>
        <v>2</v>
      </c>
      <c r="Y16" s="91">
        <f>J16</f>
        <v>2</v>
      </c>
      <c r="Z16" s="91">
        <f>K16</f>
        <v>2</v>
      </c>
      <c r="AA16" s="91">
        <f>L16</f>
        <v>2</v>
      </c>
      <c r="AB16" s="91">
        <f>M16</f>
        <v>2</v>
      </c>
      <c r="AC16" s="102">
        <f>N16</f>
        <v>0</v>
      </c>
      <c r="AD16" s="54">
        <f>AC16*1.2</f>
        <v>0</v>
      </c>
    </row>
    <row r="17" spans="1:30">
      <c r="A17" s="251" t="s">
        <v>174</v>
      </c>
      <c r="B17" s="74" t="s">
        <v>140</v>
      </c>
      <c r="C17" s="75"/>
      <c r="D17" s="75"/>
      <c r="E17" s="75"/>
      <c r="F17" s="75"/>
      <c r="G17" s="91" t="n">
        <v>0</v>
      </c>
      <c r="H17" s="83" t="n">
        <v>2</v>
      </c>
      <c r="I17" s="83" t="n">
        <v>2</v>
      </c>
      <c r="J17" s="83" t="n">
        <v>2</v>
      </c>
      <c r="K17" s="91" t="n">
        <v>2</v>
      </c>
      <c r="L17" s="83" t="n">
        <v>2</v>
      </c>
      <c r="M17" s="91" t="n">
        <v>2</v>
      </c>
      <c r="N17" s="102"/>
      <c r="O17" s="54"/>
      <c r="Q17" s="251" t="s">
        <v>174</v>
      </c>
      <c r="R17" s="74" t="str">
        <f>B17</f>
        <v>DD</v>
      </c>
      <c r="S17" s="75"/>
      <c r="T17" s="75"/>
      <c r="U17" s="75"/>
      <c r="V17" s="91">
        <f>G17</f>
        <v>0</v>
      </c>
      <c r="W17" s="91">
        <f>H17</f>
        <v>2</v>
      </c>
      <c r="X17" s="91">
        <f>I17</f>
        <v>2</v>
      </c>
      <c r="Y17" s="91">
        <f>J17</f>
        <v>2</v>
      </c>
      <c r="Z17" s="91">
        <f>K17</f>
        <v>2</v>
      </c>
      <c r="AA17" s="91">
        <f>L17</f>
        <v>2</v>
      </c>
      <c r="AB17" s="91">
        <f>M17</f>
        <v>2</v>
      </c>
      <c r="AC17" s="102">
        <f>N17</f>
        <v>0</v>
      </c>
      <c r="AD17" s="54">
        <f>AC17*1.2</f>
        <v>0</v>
      </c>
    </row>
    <row r="19" spans="2:30">
      <c r="B19" s="62"/>
      <c r="N19" s="54">
        <f>SUM(N21:N34)</f>
        <v>140620.920000000013</v>
      </c>
      <c r="O19" s="54">
        <f>SUM(O21:O34)</f>
        <v>168745.103999999992</v>
      </c>
      <c r="R19" s="62"/>
      <c r="AC19" s="54">
        <f>SUM(AC21:AC34)</f>
        <v>317525.375</v>
      </c>
      <c r="AD19" s="54">
        <f>SUM(AD21:AD34)</f>
        <v>381030.450000000012</v>
      </c>
    </row>
    <row r="20" spans="1:33">
      <c r="A20" s="87" t="s">
        <v>350</v>
      </c>
      <c r="B20" s="85" t="s">
        <v>85</v>
      </c>
      <c r="C20" s="85" t="s">
        <v>351</v>
      </c>
      <c r="D20" s="85" t="s">
        <v>352</v>
      </c>
      <c r="E20" s="85" t="s">
        <v>353</v>
      </c>
      <c r="F20" s="85" t="s">
        <v>89</v>
      </c>
      <c r="G20" s="85" t="s">
        <v>107</v>
      </c>
      <c r="H20" s="85" t="s">
        <v>108</v>
      </c>
      <c r="I20" s="85" t="s">
        <v>109</v>
      </c>
      <c r="J20" s="85" t="s">
        <v>110</v>
      </c>
      <c r="K20" s="85" t="s">
        <v>111</v>
      </c>
      <c r="L20" s="85" t="s">
        <v>112</v>
      </c>
      <c r="M20" s="85" t="s">
        <v>90</v>
      </c>
      <c r="N20" s="85" t="s">
        <v>354</v>
      </c>
      <c r="O20" s="128" t="s">
        <v>355</v>
      </c>
      <c r="Q20" s="87" t="s">
        <v>350</v>
      </c>
      <c r="R20" s="85" t="s">
        <v>85</v>
      </c>
      <c r="S20" s="85" t="s">
        <v>352</v>
      </c>
      <c r="T20" s="85" t="s">
        <v>353</v>
      </c>
      <c r="U20" s="85" t="s">
        <v>89</v>
      </c>
      <c r="V20" s="85" t="s">
        <v>107</v>
      </c>
      <c r="W20" s="85" t="s">
        <v>108</v>
      </c>
      <c r="X20" s="85" t="s">
        <v>109</v>
      </c>
      <c r="Y20" s="85" t="s">
        <v>110</v>
      </c>
      <c r="Z20" s="85" t="s">
        <v>111</v>
      </c>
      <c r="AA20" s="85" t="s">
        <v>112</v>
      </c>
      <c r="AB20" s="85" t="s">
        <v>90</v>
      </c>
      <c r="AC20" s="85" t="s">
        <v>354</v>
      </c>
      <c r="AD20" s="128" t="s">
        <v>355</v>
      </c>
      <c r="AF20" s="62" t="s">
        <v>356</v>
      </c>
      <c r="AG20" t="n">
        <v>24</v>
      </c>
    </row>
    <row r="21" spans="1:33">
      <c r="A21" s="251" t="str">
        <f>A4</f>
        <v>#1</v>
      </c>
      <c r="B21" s="74" t="str">
        <f>B4</f>
        <v>POR</v>
      </c>
      <c r="C21" s="75" t="s">
        <v>372</v>
      </c>
      <c r="D21" s="75"/>
      <c r="E21" s="75" t="n">
        <v>20</v>
      </c>
      <c r="F21" s="75" t="n">
        <v>50</v>
      </c>
      <c r="G21" s="91" t="n">
        <v>15</v>
      </c>
      <c r="H21" s="91" t="n">
        <v>4</v>
      </c>
      <c r="I21" s="91" t="n">
        <v>0</v>
      </c>
      <c r="J21" s="91">
        <f>Y4</f>
        <v>0</v>
      </c>
      <c r="K21" s="91">
        <f>Z4</f>
        <v>0</v>
      </c>
      <c r="L21" s="91">
        <f>AA4</f>
        <v>0</v>
      </c>
      <c r="M21" s="91" t="n">
        <v>4</v>
      </c>
      <c r="N21" s="102">
        <f>(24270+125)*1.012</f>
        <v>24687.7400000000016</v>
      </c>
      <c r="O21" s="102">
        <f>N21*1.2</f>
        <v>29625.2880000000005</v>
      </c>
      <c r="Q21" s="251" t="s">
        <v>145</v>
      </c>
      <c r="R21" s="74" t="str">
        <f>B21</f>
        <v>POR</v>
      </c>
      <c r="S21" s="75"/>
      <c r="T21" s="75">
        <f>E21+3</f>
        <v>23</v>
      </c>
      <c r="U21" s="75">
        <f>F21+$AG$24*7-112-112-112</f>
        <v>106</v>
      </c>
      <c r="V21" s="91">
        <f>G21</f>
        <v>15</v>
      </c>
      <c r="W21" s="91" t="n">
        <v>9</v>
      </c>
      <c r="X21" s="91">
        <f>I21</f>
        <v>0</v>
      </c>
      <c r="Y21" s="91">
        <f>J21</f>
        <v>0</v>
      </c>
      <c r="Z21" s="91">
        <f>K21</f>
        <v>0</v>
      </c>
      <c r="AA21" s="91">
        <f>L21</f>
        <v>0</v>
      </c>
      <c r="AB21" s="91" t="n">
        <v>17</v>
      </c>
      <c r="AC21" s="102">
        <f>(24270+125)*1.047</f>
        <v>25541.5649999999987</v>
      </c>
      <c r="AD21" s="54">
        <f>AC21*1.2</f>
        <v>30649.8780000000006</v>
      </c>
      <c r="AF21" s="62" t="s">
        <v>358</v>
      </c>
      <c r="AG21" t="n">
        <v>0</v>
      </c>
    </row>
    <row r="22" spans="1:33">
      <c r="A22" s="251" t="str">
        <f>A5</f>
        <v>#2</v>
      </c>
      <c r="B22" s="74" t="str">
        <f>B5</f>
        <v>DEF</v>
      </c>
      <c r="C22" s="75" t="s">
        <v>373</v>
      </c>
      <c r="D22" s="75" t="s">
        <v>375</v>
      </c>
      <c r="E22" s="75" t="n">
        <v>20</v>
      </c>
      <c r="F22" s="75" t="n">
        <v>50</v>
      </c>
      <c r="G22" s="91">
        <f>V5</f>
        <v>0</v>
      </c>
      <c r="H22" s="91" t="n">
        <v>12</v>
      </c>
      <c r="I22" s="91" t="n">
        <v>7</v>
      </c>
      <c r="J22" s="91">
        <f>Y5</f>
        <v>2</v>
      </c>
      <c r="K22" s="91">
        <f>Z5</f>
        <v>2</v>
      </c>
      <c r="L22" s="91" t="n">
        <v>7</v>
      </c>
      <c r="M22" s="91" t="n">
        <v>3</v>
      </c>
      <c r="N22" s="102">
        <f>(7010+255+150)*1.012</f>
        <v>7503.97999999999956</v>
      </c>
      <c r="O22" s="102">
        <f>N22*1.2</f>
        <v>9004.77599999999984</v>
      </c>
      <c r="Q22" s="251" t="s">
        <v>157</v>
      </c>
      <c r="R22" s="74" t="str">
        <f>B22</f>
        <v>DEF</v>
      </c>
      <c r="S22" s="75" t="str">
        <f>D22</f>
        <v>CAB/IMP</v>
      </c>
      <c r="T22" s="75">
        <f>E22+3</f>
        <v>23</v>
      </c>
      <c r="U22" s="75">
        <f>F22+$AG$24*7-112-112-112</f>
        <v>106</v>
      </c>
      <c r="V22" s="91">
        <f>G22</f>
        <v>0</v>
      </c>
      <c r="W22" s="91">
        <f>14+1/16</f>
        <v>14.0625</v>
      </c>
      <c r="X22" s="91">
        <f>I22</f>
        <v>7</v>
      </c>
      <c r="Y22" s="91">
        <f>J22</f>
        <v>2</v>
      </c>
      <c r="Z22" s="91">
        <f>K22</f>
        <v>2</v>
      </c>
      <c r="AA22" s="91">
        <f>L22</f>
        <v>7</v>
      </c>
      <c r="AB22" s="91" t="n">
        <v>15</v>
      </c>
      <c r="AC22" s="102">
        <f>(18370+135+245)*1.04</f>
        <v>19500</v>
      </c>
      <c r="AD22" s="54">
        <f>AC22*1.2</f>
        <v>23400</v>
      </c>
      <c r="AF22" s="62" t="s">
        <v>200</v>
      </c>
      <c r="AG22" t="n">
        <v>23</v>
      </c>
    </row>
    <row r="23" spans="1:33">
      <c r="A23" s="251" t="str">
        <f>A6</f>
        <v>#3</v>
      </c>
      <c r="B23" s="74" t="str">
        <f>B6</f>
        <v>DEF</v>
      </c>
      <c r="C23" s="75" t="s">
        <v>373</v>
      </c>
      <c r="D23" s="75" t="s">
        <v>375</v>
      </c>
      <c r="E23" s="75" t="n">
        <v>20</v>
      </c>
      <c r="F23" s="75" t="n">
        <v>50</v>
      </c>
      <c r="G23" s="91">
        <f>V6</f>
        <v>0</v>
      </c>
      <c r="H23" s="91" t="n">
        <v>12</v>
      </c>
      <c r="I23" s="91" t="n">
        <v>7</v>
      </c>
      <c r="J23" s="91">
        <f>Y6</f>
        <v>2</v>
      </c>
      <c r="K23" s="91">
        <f>Z6</f>
        <v>2</v>
      </c>
      <c r="L23" s="91" t="n">
        <v>7</v>
      </c>
      <c r="M23" s="91" t="n">
        <v>3</v>
      </c>
      <c r="N23" s="102">
        <f>(7010+255+150)*1.012</f>
        <v>7503.97999999999956</v>
      </c>
      <c r="O23" s="102">
        <f>N23*1.2</f>
        <v>9004.77599999999984</v>
      </c>
      <c r="Q23" s="251" t="s">
        <v>166</v>
      </c>
      <c r="R23" s="74" t="str">
        <f>B23</f>
        <v>DEF</v>
      </c>
      <c r="S23" s="75" t="str">
        <f>D23</f>
        <v>CAB/IMP</v>
      </c>
      <c r="T23" s="75">
        <f>E23+3</f>
        <v>23</v>
      </c>
      <c r="U23" s="75">
        <f>F23+$AG$24*7-112-112-112</f>
        <v>106</v>
      </c>
      <c r="V23" s="91">
        <f>G23</f>
        <v>0</v>
      </c>
      <c r="W23" s="91">
        <f>14+1/16</f>
        <v>14.0625</v>
      </c>
      <c r="X23" s="91">
        <f>I23</f>
        <v>7</v>
      </c>
      <c r="Y23" s="91">
        <f>J23</f>
        <v>2</v>
      </c>
      <c r="Z23" s="91">
        <f>K23</f>
        <v>2</v>
      </c>
      <c r="AA23" s="91">
        <f>L23</f>
        <v>7</v>
      </c>
      <c r="AB23" s="91" t="n">
        <v>15</v>
      </c>
      <c r="AC23" s="102">
        <f>(18370+135+245)*1.04</f>
        <v>19500</v>
      </c>
      <c r="AD23" s="54">
        <f>AC23*1.2</f>
        <v>23400</v>
      </c>
      <c r="AF23" s="62" t="s">
        <v>199</v>
      </c>
      <c r="AG23" t="n">
        <v>9</v>
      </c>
    </row>
    <row r="24" spans="1:33">
      <c r="A24" s="251" t="str">
        <f>A7</f>
        <v>#4</v>
      </c>
      <c r="B24" s="74" t="str">
        <f>B7</f>
        <v>DEF</v>
      </c>
      <c r="C24" s="75" t="s">
        <v>373</v>
      </c>
      <c r="D24" s="75" t="s">
        <v>375</v>
      </c>
      <c r="E24" s="75" t="n">
        <v>20</v>
      </c>
      <c r="F24" s="75" t="n">
        <v>50</v>
      </c>
      <c r="G24" s="91">
        <f>V7</f>
        <v>0</v>
      </c>
      <c r="H24" s="91" t="n">
        <v>12</v>
      </c>
      <c r="I24" s="91" t="n">
        <v>7</v>
      </c>
      <c r="J24" s="91">
        <f>Y7</f>
        <v>2</v>
      </c>
      <c r="K24" s="91">
        <f>Z7</f>
        <v>2</v>
      </c>
      <c r="L24" s="91" t="n">
        <v>7</v>
      </c>
      <c r="M24" s="91" t="n">
        <v>3</v>
      </c>
      <c r="N24" s="102">
        <f>(7010+255+150)*1.012</f>
        <v>7503.97999999999956</v>
      </c>
      <c r="O24" s="102">
        <f>N24*1.2</f>
        <v>9004.77599999999984</v>
      </c>
      <c r="Q24" s="251" t="s">
        <v>168</v>
      </c>
      <c r="R24" s="74" t="str">
        <f>B24</f>
        <v>DEF</v>
      </c>
      <c r="S24" s="75" t="str">
        <f>D24</f>
        <v>CAB/IMP</v>
      </c>
      <c r="T24" s="75">
        <f>E24+3</f>
        <v>23</v>
      </c>
      <c r="U24" s="75">
        <f>F24+$AG$24*7-112-112-112</f>
        <v>106</v>
      </c>
      <c r="V24" s="91">
        <f>G24</f>
        <v>0</v>
      </c>
      <c r="W24" s="91">
        <f>14+1/16</f>
        <v>14.0625</v>
      </c>
      <c r="X24" s="91">
        <f>I24</f>
        <v>7</v>
      </c>
      <c r="Y24" s="91">
        <f>J24</f>
        <v>2</v>
      </c>
      <c r="Z24" s="91">
        <f>K24</f>
        <v>2</v>
      </c>
      <c r="AA24" s="91">
        <f>L24</f>
        <v>7</v>
      </c>
      <c r="AB24" s="91" t="n">
        <v>15</v>
      </c>
      <c r="AC24" s="102">
        <f>(18370+135+245)*1.04</f>
        <v>19500</v>
      </c>
      <c r="AD24" s="54">
        <f>AC24*1.2</f>
        <v>23400</v>
      </c>
      <c r="AF24" s="62" t="s">
        <v>363</v>
      </c>
      <c r="AG24">
        <f>AG22+AG21+AG20+AG23</f>
        <v>56</v>
      </c>
    </row>
    <row r="25" spans="1:33">
      <c r="A25" s="251" t="str">
        <f>A8</f>
        <v>#5</v>
      </c>
      <c r="B25" s="74" t="str">
        <f>B8</f>
        <v>DEF</v>
      </c>
      <c r="C25" s="75" t="str">
        <f>C8</f>
        <v>V. Gardner</v>
      </c>
      <c r="D25" s="75"/>
      <c r="E25" s="75">
        <f>T8</f>
        <v>23</v>
      </c>
      <c r="F25" s="75">
        <f>U8</f>
        <v>30</v>
      </c>
      <c r="G25" s="91">
        <f>V8</f>
        <v>0</v>
      </c>
      <c r="H25" s="91">
        <f>W8</f>
        <v>12</v>
      </c>
      <c r="I25" s="91">
        <f>X8</f>
        <v>5.14285714285713969</v>
      </c>
      <c r="J25" s="91">
        <f>Y8</f>
        <v>3</v>
      </c>
      <c r="K25" s="91">
        <f>Z8</f>
        <v>5</v>
      </c>
      <c r="L25" s="91">
        <f>AA8</f>
        <v>6</v>
      </c>
      <c r="M25" s="91">
        <f>AB8</f>
        <v>16</v>
      </c>
      <c r="N25" s="102">
        <f>AC8</f>
        <v>9450</v>
      </c>
      <c r="O25" s="102">
        <f>N25*1.2</f>
        <v>11340</v>
      </c>
      <c r="Q25" s="251" t="s">
        <v>365</v>
      </c>
      <c r="R25" s="74" t="str">
        <f>B25</f>
        <v>DEF</v>
      </c>
      <c r="S25" s="75"/>
      <c r="T25" s="75">
        <f>E25+4</f>
        <v>27</v>
      </c>
      <c r="U25" s="75">
        <f>F25+$AG$24*7-112-112-112-112</f>
        <v>-26</v>
      </c>
      <c r="V25" s="91">
        <f>G25</f>
        <v>0</v>
      </c>
      <c r="W25" s="91">
        <f>14+3/13</f>
        <v>14.2307692307691998</v>
      </c>
      <c r="X25" s="91">
        <f>I25</f>
        <v>5.14285714285713969</v>
      </c>
      <c r="Y25" s="91">
        <f>J25</f>
        <v>3</v>
      </c>
      <c r="Z25" s="91">
        <f>K25</f>
        <v>5</v>
      </c>
      <c r="AA25" s="91">
        <f>L25+0.4</f>
        <v>6.40000000000000036</v>
      </c>
      <c r="AB25" s="91">
        <f>17+1/4</f>
        <v>17.25</v>
      </c>
      <c r="AC25" s="102">
        <f>(18370+135+245)*1.04</f>
        <v>19500</v>
      </c>
      <c r="AD25" s="54">
        <f>AC25*1.2</f>
        <v>23400</v>
      </c>
      <c r="AF25" s="62" t="s">
        <v>366</v>
      </c>
      <c r="AG25" s="76">
        <f>AG24/16</f>
        <v>3.5</v>
      </c>
    </row>
    <row r="26" spans="1:30">
      <c r="A26" s="251" t="str">
        <f>A9</f>
        <v>#6</v>
      </c>
      <c r="B26" s="74" t="str">
        <f>B9</f>
        <v>DEF</v>
      </c>
      <c r="C26" s="75" t="str">
        <f>C9</f>
        <v>A. Grimaud</v>
      </c>
      <c r="D26" s="75" t="str">
        <f>D9</f>
        <v>RAP</v>
      </c>
      <c r="E26" s="75">
        <f>T9</f>
        <v>23</v>
      </c>
      <c r="F26" s="75">
        <f>U9</f>
        <v>41</v>
      </c>
      <c r="G26" s="91">
        <f>V9</f>
        <v>0</v>
      </c>
      <c r="H26" s="91">
        <f>W9</f>
        <v>12</v>
      </c>
      <c r="I26" s="91">
        <f>X9</f>
        <v>6.125</v>
      </c>
      <c r="J26" s="91">
        <f>Y9</f>
        <v>3</v>
      </c>
      <c r="K26" s="91">
        <f>Z9</f>
        <v>3</v>
      </c>
      <c r="L26" s="91">
        <f>AA9</f>
        <v>5</v>
      </c>
      <c r="M26" s="91">
        <f>AB9</f>
        <v>14.3333333333333002</v>
      </c>
      <c r="N26" s="102">
        <f>AC9</f>
        <v>9564</v>
      </c>
      <c r="O26" s="102">
        <f>N26*1.2</f>
        <v>11476.7999999999993</v>
      </c>
      <c r="Q26" s="251" t="s">
        <v>367</v>
      </c>
      <c r="R26" s="74" t="str">
        <f>B26</f>
        <v>DEF</v>
      </c>
      <c r="S26" s="75" t="str">
        <f>D26</f>
        <v>RAP</v>
      </c>
      <c r="T26" s="75">
        <f>E26+4</f>
        <v>27</v>
      </c>
      <c r="U26" s="75">
        <f>F26+$AG$24*7-112-112-112-112</f>
        <v>-15</v>
      </c>
      <c r="V26" s="91">
        <f>G26</f>
        <v>0</v>
      </c>
      <c r="W26" s="91">
        <f>14+3/13</f>
        <v>14.2307692307691998</v>
      </c>
      <c r="X26" s="91">
        <f>I26</f>
        <v>6.125</v>
      </c>
      <c r="Y26" s="91">
        <f>J26</f>
        <v>3</v>
      </c>
      <c r="Z26" s="91">
        <f>K26</f>
        <v>3</v>
      </c>
      <c r="AA26" s="91">
        <f>L26+9/21</f>
        <v>5.42857142857142971</v>
      </c>
      <c r="AB26" s="91" t="n">
        <v>16</v>
      </c>
      <c r="AC26" s="102">
        <f>(20000+1500+125+125)*1.043</f>
        <v>22685.25</v>
      </c>
      <c r="AD26" s="54">
        <f>AC26*1.2</f>
        <v>27222.2999999999993</v>
      </c>
    </row>
    <row r="27" spans="1:30">
      <c r="A27" s="251" t="str">
        <f>A10</f>
        <v>#7</v>
      </c>
      <c r="B27" s="74" t="str">
        <f>B10</f>
        <v>Inners</v>
      </c>
      <c r="C27" s="75" t="str">
        <f>C10</f>
        <v>I. Vanags</v>
      </c>
      <c r="D27" s="75" t="str">
        <f>D10</f>
        <v>CAB</v>
      </c>
      <c r="E27" s="75">
        <f>T10</f>
        <v>23</v>
      </c>
      <c r="F27" s="75">
        <f>U10</f>
        <v>17</v>
      </c>
      <c r="G27" s="91">
        <f>V10</f>
        <v>0</v>
      </c>
      <c r="H27" s="91">
        <f>W10</f>
        <v>4</v>
      </c>
      <c r="I27" s="91">
        <f>X10</f>
        <v>12.75</v>
      </c>
      <c r="J27" s="91">
        <f>Y10</f>
        <v>3</v>
      </c>
      <c r="K27" s="91">
        <f>Z10</f>
        <v>4</v>
      </c>
      <c r="L27" s="91">
        <f>AA10</f>
        <v>7</v>
      </c>
      <c r="M27" s="91">
        <f>AB10</f>
        <v>16.3333333333333002</v>
      </c>
      <c r="N27" s="102">
        <f>AC10</f>
        <v>14274.8999999999996</v>
      </c>
      <c r="O27" s="102">
        <f>N27*1.2</f>
        <v>17129.880000000001</v>
      </c>
      <c r="Q27" s="251" t="s">
        <v>368</v>
      </c>
      <c r="R27" s="74" t="str">
        <f>B27</f>
        <v>Inners</v>
      </c>
      <c r="S27" s="75" t="str">
        <f>D27</f>
        <v>CAB</v>
      </c>
      <c r="T27" s="75">
        <f>E27+4</f>
        <v>27</v>
      </c>
      <c r="U27" s="75">
        <f>F27+$AG$24*7-112-112-112-112</f>
        <v>-39</v>
      </c>
      <c r="V27" s="91">
        <f>G27</f>
        <v>0</v>
      </c>
      <c r="W27" s="91" t="n">
        <v>9</v>
      </c>
      <c r="X27" s="91">
        <f>I27</f>
        <v>12.75</v>
      </c>
      <c r="Y27" s="91">
        <f>J27</f>
        <v>3</v>
      </c>
      <c r="Z27" s="91">
        <f>K27</f>
        <v>4</v>
      </c>
      <c r="AA27" s="91">
        <f>8+3/6</f>
        <v>8.5</v>
      </c>
      <c r="AB27" s="91" t="n">
        <v>16</v>
      </c>
      <c r="AC27" s="102">
        <f>(20000+1500+125+125)*1.043</f>
        <v>22685.25</v>
      </c>
      <c r="AD27" s="54">
        <f>AC27*1.2</f>
        <v>27222.2999999999993</v>
      </c>
    </row>
    <row r="28" spans="1:30">
      <c r="A28" s="251" t="str">
        <f>A11</f>
        <v>#8</v>
      </c>
      <c r="B28" s="74" t="str">
        <f>B11</f>
        <v>Inners</v>
      </c>
      <c r="C28" s="75" t="str">
        <f>C11</f>
        <v>I. Stone</v>
      </c>
      <c r="D28" s="75" t="str">
        <f>D11</f>
        <v>RAP</v>
      </c>
      <c r="E28" s="75">
        <f>T11</f>
        <v>22</v>
      </c>
      <c r="F28" s="75">
        <f>U11</f>
        <v>72</v>
      </c>
      <c r="G28" s="91">
        <f>V11</f>
        <v>0</v>
      </c>
      <c r="H28" s="91">
        <f>W11</f>
        <v>3</v>
      </c>
      <c r="I28" s="91">
        <f>X11</f>
        <v>12</v>
      </c>
      <c r="J28" s="91">
        <f>Y11</f>
        <v>2</v>
      </c>
      <c r="K28" s="91">
        <f>Z11</f>
        <v>6</v>
      </c>
      <c r="L28" s="91">
        <f>AA11</f>
        <v>9</v>
      </c>
      <c r="M28" s="91">
        <f>AB11</f>
        <v>15.3333333333333002</v>
      </c>
      <c r="N28" s="102">
        <f>AC11</f>
        <v>9641.52000000000044</v>
      </c>
      <c r="O28" s="102">
        <f>N28*1.2</f>
        <v>11569.8240000000005</v>
      </c>
      <c r="Q28" s="251" t="s">
        <v>172</v>
      </c>
      <c r="R28" s="74" t="str">
        <f>B28</f>
        <v>Inners</v>
      </c>
      <c r="S28" s="75" t="str">
        <f>D28</f>
        <v>RAP</v>
      </c>
      <c r="T28" s="75">
        <f>E28+3</f>
        <v>25</v>
      </c>
      <c r="U28" s="75">
        <f>F28+$AG$24*7-112-112-112</f>
        <v>128</v>
      </c>
      <c r="V28" s="91">
        <f>G28</f>
        <v>0</v>
      </c>
      <c r="W28" s="91">
        <f>8+3/6</f>
        <v>8.5</v>
      </c>
      <c r="X28" s="91">
        <f>I28</f>
        <v>12</v>
      </c>
      <c r="Y28" s="91">
        <f>J28</f>
        <v>2</v>
      </c>
      <c r="Z28" s="91">
        <f>K28</f>
        <v>6</v>
      </c>
      <c r="AA28" s="91">
        <f>10+2/9</f>
        <v>10.2222222222222001</v>
      </c>
      <c r="AB28" s="91" t="n">
        <v>15</v>
      </c>
      <c r="AC28" s="102">
        <f>(14490+3125+145)*1.038</f>
        <v>18434.880000000001</v>
      </c>
      <c r="AD28" s="54">
        <f>AC28*1.2</f>
        <v>22121.8559999999998</v>
      </c>
    </row>
    <row r="29" spans="1:30">
      <c r="A29" s="251" t="str">
        <f>A12</f>
        <v>#9</v>
      </c>
      <c r="B29" s="74" t="str">
        <f>B12</f>
        <v>Inners</v>
      </c>
      <c r="C29" s="75" t="str">
        <f>C12</f>
        <v>G. Piscaer</v>
      </c>
      <c r="D29" s="75" t="str">
        <f>D12</f>
        <v>IMP</v>
      </c>
      <c r="E29" s="75">
        <f>T12</f>
        <v>23</v>
      </c>
      <c r="F29" s="75">
        <f>U12</f>
        <v>33</v>
      </c>
      <c r="G29" s="91">
        <f>V12</f>
        <v>0</v>
      </c>
      <c r="H29" s="91">
        <f>W12</f>
        <v>4</v>
      </c>
      <c r="I29" s="91">
        <f>X12</f>
        <v>13.1111111111111001</v>
      </c>
      <c r="J29" s="91">
        <f>Y12</f>
        <v>3</v>
      </c>
      <c r="K29" s="91">
        <f>Z12</f>
        <v>2</v>
      </c>
      <c r="L29" s="91">
        <f>AA12</f>
        <v>8</v>
      </c>
      <c r="M29" s="91">
        <f>AB12</f>
        <v>14.3333333333333002</v>
      </c>
      <c r="N29" s="102">
        <f>AC12</f>
        <v>15145</v>
      </c>
      <c r="O29" s="102">
        <f>N29*1.2</f>
        <v>18174</v>
      </c>
      <c r="Q29" s="251" t="s">
        <v>176</v>
      </c>
      <c r="R29" s="74" t="str">
        <f>B29</f>
        <v>Inners</v>
      </c>
      <c r="S29" s="75" t="str">
        <f>D29</f>
        <v>IMP</v>
      </c>
      <c r="T29" s="75">
        <f>E29+4</f>
        <v>27</v>
      </c>
      <c r="U29" s="75">
        <f>F29+$AG$24*7-112-112-112-112</f>
        <v>-23</v>
      </c>
      <c r="V29" s="91">
        <f>G29</f>
        <v>0</v>
      </c>
      <c r="W29" s="91" t="n">
        <v>9</v>
      </c>
      <c r="X29" s="91">
        <f>I29</f>
        <v>13.1111111111111001</v>
      </c>
      <c r="Y29" s="91">
        <f>J29</f>
        <v>3</v>
      </c>
      <c r="Z29" s="91">
        <f>K29</f>
        <v>2</v>
      </c>
      <c r="AA29" s="91">
        <f>9+3/6</f>
        <v>9.5</v>
      </c>
      <c r="AB29" s="91" t="n">
        <v>14</v>
      </c>
      <c r="AC29" s="102">
        <f>(23500+2295+125)*1.035</f>
        <v>26827.2000000000007</v>
      </c>
      <c r="AD29" s="54">
        <f>AC29*1.2</f>
        <v>32192.6399999999994</v>
      </c>
    </row>
    <row r="30" spans="1:30">
      <c r="A30" s="251" t="str">
        <f>A13</f>
        <v>#10</v>
      </c>
      <c r="B30" s="74" t="str">
        <f>B13</f>
        <v>Inners</v>
      </c>
      <c r="C30" s="75" t="str">
        <f>C13</f>
        <v>M. Bondarewski</v>
      </c>
      <c r="D30" s="75" t="str">
        <f>D13</f>
        <v>RAP</v>
      </c>
      <c r="E30" s="75">
        <f>T13</f>
        <v>23</v>
      </c>
      <c r="F30" s="75">
        <f>U13</f>
        <v>33</v>
      </c>
      <c r="G30" s="91">
        <f>V13</f>
        <v>0</v>
      </c>
      <c r="H30" s="91">
        <f>W13</f>
        <v>2</v>
      </c>
      <c r="I30" s="91">
        <f>X13</f>
        <v>13.1999999999999993</v>
      </c>
      <c r="J30" s="91">
        <f>Y13</f>
        <v>5</v>
      </c>
      <c r="K30" s="91">
        <f>Z13</f>
        <v>4</v>
      </c>
      <c r="L30" s="91">
        <f>AA13</f>
        <v>8</v>
      </c>
      <c r="M30" s="91">
        <f>AB13</f>
        <v>17</v>
      </c>
      <c r="N30" s="102">
        <f>AC13</f>
        <v>15539.7000000000007</v>
      </c>
      <c r="O30" s="102">
        <f>N30*1.2</f>
        <v>18647.6399999999994</v>
      </c>
      <c r="Q30" s="251" t="s">
        <v>180</v>
      </c>
      <c r="R30" s="74" t="str">
        <f>B30</f>
        <v>Inners</v>
      </c>
      <c r="S30" s="75" t="str">
        <f>D30</f>
        <v>RAP</v>
      </c>
      <c r="T30" s="75">
        <f>E30+4</f>
        <v>27</v>
      </c>
      <c r="U30" s="75">
        <f>F30+$AG$24*7-112-112-112-112</f>
        <v>-23</v>
      </c>
      <c r="V30" s="91">
        <f>G30</f>
        <v>0</v>
      </c>
      <c r="W30" s="91" t="n">
        <v>8</v>
      </c>
      <c r="X30" s="91">
        <f>I30</f>
        <v>13.1999999999999993</v>
      </c>
      <c r="Y30" s="91">
        <f>J30</f>
        <v>5</v>
      </c>
      <c r="Z30" s="91">
        <f>K30</f>
        <v>4</v>
      </c>
      <c r="AA30" s="91">
        <f>9+3/6</f>
        <v>9.5</v>
      </c>
      <c r="AB30" s="91" t="n">
        <v>16</v>
      </c>
      <c r="AC30" s="102">
        <f>(23500+2295+125+125)*1.043</f>
        <v>27164.9350000000013</v>
      </c>
      <c r="AD30" s="54">
        <f>AC30*1.2</f>
        <v>32597.9219999999987</v>
      </c>
    </row>
    <row r="31" spans="1:30">
      <c r="A31" s="251" t="str">
        <f>A14</f>
        <v>#11</v>
      </c>
      <c r="B31" s="74" t="str">
        <f>B14</f>
        <v>Inners</v>
      </c>
      <c r="C31" s="75" t="str">
        <f>C14</f>
        <v>P. Tuderek</v>
      </c>
      <c r="D31" s="75" t="str">
        <f>D14</f>
        <v>CAB</v>
      </c>
      <c r="E31" s="75">
        <f>T14</f>
        <v>23</v>
      </c>
      <c r="F31" s="75">
        <f>U14</f>
        <v>19</v>
      </c>
      <c r="G31" s="91">
        <f>V14</f>
        <v>0</v>
      </c>
      <c r="H31" s="91">
        <f>W14</f>
        <v>6</v>
      </c>
      <c r="I31" s="91">
        <f>X14</f>
        <v>12</v>
      </c>
      <c r="J31" s="91">
        <f>Y14</f>
        <v>2</v>
      </c>
      <c r="K31" s="91">
        <f>Z14</f>
        <v>3</v>
      </c>
      <c r="L31" s="91">
        <f>AA14</f>
        <v>6</v>
      </c>
      <c r="M31" s="91">
        <f>AB14</f>
        <v>17.25</v>
      </c>
      <c r="N31" s="102">
        <f>AC14</f>
        <v>9207</v>
      </c>
      <c r="O31" s="102">
        <f>N31*1.2</f>
        <v>11048.3999999999996</v>
      </c>
      <c r="Q31" s="251" t="s">
        <v>183</v>
      </c>
      <c r="R31" s="74" t="str">
        <f>B31</f>
        <v>Inners</v>
      </c>
      <c r="S31" s="75" t="str">
        <f>D31</f>
        <v>CAB</v>
      </c>
      <c r="T31" s="75">
        <f>E31+4</f>
        <v>27</v>
      </c>
      <c r="U31" s="75">
        <f>F31+$AG$24*7-112-112-112-112</f>
        <v>-37</v>
      </c>
      <c r="V31" s="91">
        <f>G31</f>
        <v>0</v>
      </c>
      <c r="W31" s="91">
        <f>10+1/9</f>
        <v>10.1111111111111001</v>
      </c>
      <c r="X31" s="91">
        <f>I31</f>
        <v>12</v>
      </c>
      <c r="Y31" s="91">
        <f>J31</f>
        <v>2</v>
      </c>
      <c r="Z31" s="91">
        <f>K31</f>
        <v>3</v>
      </c>
      <c r="AA31" s="91" t="n">
        <v>8</v>
      </c>
      <c r="AB31" s="91" t="n">
        <v>16.5</v>
      </c>
      <c r="AC31" s="102">
        <f>(20000+1020+225)*1.047</f>
        <v>22243.5149999999994</v>
      </c>
      <c r="AD31" s="54">
        <f>AC31*1.2</f>
        <v>26692.2180000000008</v>
      </c>
    </row>
    <row r="32" spans="1:30">
      <c r="A32" s="251" t="str">
        <f>A15</f>
        <v>#12</v>
      </c>
      <c r="B32" s="74" t="str">
        <f>B15</f>
        <v>Inners</v>
      </c>
      <c r="C32" s="75" t="str">
        <f>C15</f>
        <v>R. Forsyth</v>
      </c>
      <c r="D32" s="75" t="str">
        <f>D15</f>
        <v>POT</v>
      </c>
      <c r="E32" s="75">
        <f>T15</f>
        <v>23</v>
      </c>
      <c r="F32" s="75">
        <f>U15</f>
        <v>74</v>
      </c>
      <c r="G32" s="91">
        <f>V15</f>
        <v>0</v>
      </c>
      <c r="H32" s="91">
        <f>W15</f>
        <v>7</v>
      </c>
      <c r="I32" s="91">
        <f>X15</f>
        <v>12.2222222222222001</v>
      </c>
      <c r="J32" s="91">
        <f>Y15</f>
        <v>3</v>
      </c>
      <c r="K32" s="91">
        <f>Z15</f>
        <v>4</v>
      </c>
      <c r="L32" s="91">
        <f>AA15</f>
        <v>6</v>
      </c>
      <c r="M32" s="91">
        <f>AB15</f>
        <v>15</v>
      </c>
      <c r="N32" s="102">
        <f>AC15</f>
        <v>10599.1200000000008</v>
      </c>
      <c r="O32" s="102">
        <f>N32*1.2</f>
        <v>12718.9439999999995</v>
      </c>
      <c r="Q32" s="251" t="s">
        <v>178</v>
      </c>
      <c r="R32" s="74" t="str">
        <f>B32</f>
        <v>Inners</v>
      </c>
      <c r="S32" s="75" t="str">
        <f>D32</f>
        <v>POT</v>
      </c>
      <c r="T32" s="75">
        <f>E32+3</f>
        <v>26</v>
      </c>
      <c r="U32" s="75">
        <f>F32+$AG$24*7-112-112-112</f>
        <v>130</v>
      </c>
      <c r="V32" s="91">
        <f>G32</f>
        <v>0</v>
      </c>
      <c r="W32" s="91">
        <f>10+4/9</f>
        <v>10.4444444444444002</v>
      </c>
      <c r="X32" s="91">
        <f>I32</f>
        <v>12.2222222222222001</v>
      </c>
      <c r="Y32" s="91">
        <f>J32</f>
        <v>3</v>
      </c>
      <c r="Z32" s="91">
        <f>K32</f>
        <v>4</v>
      </c>
      <c r="AA32" s="91" t="n">
        <v>8</v>
      </c>
      <c r="AB32" s="91" t="n">
        <v>15</v>
      </c>
      <c r="AC32" s="102">
        <f>(20000+1020+225+125)*1.038</f>
        <v>22182.0600000000013</v>
      </c>
      <c r="AD32" s="54">
        <f>AC32*1.2</f>
        <v>26618.4720000000016</v>
      </c>
    </row>
    <row r="33" spans="1:30">
      <c r="A33" s="251" t="str">
        <f>A16</f>
        <v>#13</v>
      </c>
      <c r="B33" s="74"/>
      <c r="C33" s="75"/>
      <c r="D33" s="75"/>
      <c r="E33" s="75"/>
      <c r="F33" s="75"/>
      <c r="G33" s="91">
        <f>V16</f>
        <v>0</v>
      </c>
      <c r="H33" s="91" t="n">
        <v>2</v>
      </c>
      <c r="I33" s="91" t="n">
        <v>2</v>
      </c>
      <c r="J33" s="91" t="n">
        <v>2</v>
      </c>
      <c r="K33" s="91">
        <f>Z16</f>
        <v>2</v>
      </c>
      <c r="L33" s="91">
        <f>AA16</f>
        <v>2</v>
      </c>
      <c r="M33" s="91">
        <f>AB16</f>
        <v>2</v>
      </c>
      <c r="N33" s="102"/>
      <c r="O33" s="102"/>
      <c r="Q33" s="251" t="s">
        <v>370</v>
      </c>
      <c r="R33" s="74"/>
      <c r="S33" s="75"/>
      <c r="T33" s="75"/>
      <c r="U33" s="75"/>
      <c r="V33" s="91">
        <f>G33</f>
        <v>0</v>
      </c>
      <c r="W33" s="91">
        <f>H33</f>
        <v>2</v>
      </c>
      <c r="X33" s="91">
        <f>I33</f>
        <v>2</v>
      </c>
      <c r="Y33" s="91">
        <f>J33</f>
        <v>2</v>
      </c>
      <c r="Z33" s="91">
        <f>K33</f>
        <v>2</v>
      </c>
      <c r="AA33" s="91">
        <f>L33</f>
        <v>2</v>
      </c>
      <c r="AB33" s="91" t="n">
        <v>2</v>
      </c>
      <c r="AC33" s="102">
        <f>(22400+2295)*1.048</f>
        <v>25880.3600000000006</v>
      </c>
      <c r="AD33" s="54">
        <f>AC33*1.2</f>
        <v>31056.4320000000007</v>
      </c>
    </row>
    <row r="34" spans="1:30">
      <c r="A34" s="251" t="str">
        <f>A17</f>
        <v>#14</v>
      </c>
      <c r="B34" s="74"/>
      <c r="C34" s="75"/>
      <c r="D34" s="75"/>
      <c r="E34" s="75"/>
      <c r="F34" s="75"/>
      <c r="G34" s="91">
        <f>V17</f>
        <v>0</v>
      </c>
      <c r="H34" s="91" t="n">
        <v>2</v>
      </c>
      <c r="I34" s="91" t="n">
        <v>2</v>
      </c>
      <c r="J34" s="91" t="n">
        <v>2</v>
      </c>
      <c r="K34" s="91">
        <f>Z17</f>
        <v>2</v>
      </c>
      <c r="L34" s="91">
        <f>AA17</f>
        <v>2</v>
      </c>
      <c r="M34" s="91">
        <f>AB17</f>
        <v>2</v>
      </c>
      <c r="N34" s="102"/>
      <c r="O34" s="102"/>
      <c r="Q34" s="251" t="s">
        <v>174</v>
      </c>
      <c r="R34" s="74"/>
      <c r="S34" s="75"/>
      <c r="T34" s="75"/>
      <c r="U34" s="75"/>
      <c r="V34" s="91">
        <f>G34</f>
        <v>0</v>
      </c>
      <c r="W34" s="91">
        <f>H34</f>
        <v>2</v>
      </c>
      <c r="X34" s="91">
        <f>I34</f>
        <v>2</v>
      </c>
      <c r="Y34" s="91">
        <f>J34</f>
        <v>2</v>
      </c>
      <c r="Z34" s="91">
        <f>K34</f>
        <v>2</v>
      </c>
      <c r="AA34" s="91">
        <f>L34</f>
        <v>2</v>
      </c>
      <c r="AB34" s="91" t="n">
        <v>2</v>
      </c>
      <c r="AC34" s="102">
        <f>(22400+2295)*1.048</f>
        <v>25880.3600000000006</v>
      </c>
      <c r="AD34" s="54">
        <f>AC34*1.2</f>
        <v>31056.4320000000007</v>
      </c>
    </row>
  </sheetData>
  <conditionalFormatting sqref="G8:M9">
    <cfRule type="colorScale" priority="1">
      <colorScale>
        <cfvo type="min"/>
        <cfvo type="max"/>
        <color rgb="FFFFEF9C"/>
        <color rgb="FF63BE7B"/>
      </colorScale>
    </cfRule>
  </conditionalFormatting>
  <conditionalFormatting sqref="G21:M34">
    <cfRule type="colorScale" priority="2">
      <colorScale>
        <cfvo type="min"/>
        <cfvo type="max"/>
        <color rgb="FFFFEF9C"/>
        <color rgb="FF63BE7B"/>
      </colorScale>
    </cfRule>
  </conditionalFormatting>
  <conditionalFormatting sqref="V21:AB34">
    <cfRule type="colorScale" priority="3">
      <colorScale>
        <cfvo type="min"/>
        <cfvo type="max"/>
        <color rgb="FFFFEF9C"/>
        <color rgb="FF63BE7B"/>
      </colorScale>
    </cfRule>
  </conditionalFormatting>
  <conditionalFormatting sqref="G4:M7 G10:M17">
    <cfRule type="colorScale" priority="4">
      <colorScale>
        <cfvo type="min"/>
        <cfvo type="max"/>
        <color rgb="FFFFEF9C"/>
        <color rgb="FF63BE7B"/>
      </colorScale>
    </cfRule>
  </conditionalFormatting>
  <conditionalFormatting sqref="V4:AB17">
    <cfRule type="colorScale" priority="5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5601780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5601780" l="56" r="56" t="56" b="56" borderId="0" fillId="0" vertical="0"/>
        <pm:footer xmlns:pm="smNativeData" id="1595601780" l="56" r="56" t="56" b="56" borderId="0" fillId="0" vertical="2"/>
      </ext>
    </extLst>
  </headerFooter>
  <extLst>
    <ext uri="smNativeData">
      <pm:sheetPrefs xmlns:pm="smNativeData" day="1595601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D5B4"/>
  </sheetPr>
  <dimension ref="A1:AG81"/>
  <sheetViews>
    <sheetView view="normal" zoomScale="80" workbookViewId="0">
      <pane xSplit="13" ySplit="3" topLeftCell="N4" activePane="bottomRight" state="frozen"/>
      <selection pane="bottomRight" activeCell="M11" sqref="M11"/>
    </sheetView>
  </sheetViews>
  <sheetFormatPr baseColWidth="10" defaultColWidth="10.714286" defaultRowHeight="15.40"/>
  <cols>
    <col min="1" max="1" width="15.428571" customWidth="1"/>
    <col min="2" max="2" width="9.714286" customWidth="1"/>
    <col min="3" max="3" width="6.000000" customWidth="1"/>
    <col min="4" max="4" width="16.571429" customWidth="1"/>
    <col min="5" max="5" width="18.000000" customWidth="1"/>
    <col min="6" max="6" width="7.285714" customWidth="1"/>
    <col min="7" max="7" width="17.857143" customWidth="1"/>
    <col min="8" max="8" width="16.571429" customWidth="1"/>
    <col min="9" max="9" width="6.571429" customWidth="1"/>
    <col min="10" max="10" width="7.428571" customWidth="1"/>
    <col min="11" max="11" width="22.571429" customWidth="1"/>
    <col min="12" max="12" width="17.428571" customWidth="1"/>
    <col min="13" max="30" width="18.000000" customWidth="1"/>
    <col min="32" max="32" width="11.000000" customWidth="1"/>
    <col min="33" max="33" width="13.857143" customWidth="1"/>
  </cols>
  <sheetData>
    <row r="1" spans="1:30">
      <c r="A1" s="348"/>
      <c r="B1" s="348"/>
      <c r="C1" s="348"/>
      <c r="D1" s="478" t="s">
        <v>376</v>
      </c>
      <c r="E1" s="479"/>
      <c r="F1" s="479"/>
      <c r="G1" s="479"/>
      <c r="H1" s="479"/>
      <c r="I1" s="480"/>
      <c r="K1" s="348"/>
      <c r="L1" s="348"/>
      <c r="M1" s="348"/>
      <c r="N1" s="349" t="n">
        <v>43637</v>
      </c>
      <c r="O1" s="349">
        <f>N1+7</f>
        <v>43644</v>
      </c>
      <c r="P1" s="349">
        <f>O1+7</f>
        <v>43651</v>
      </c>
      <c r="Q1" s="349">
        <f>P1+7</f>
        <v>43658</v>
      </c>
      <c r="R1" s="349">
        <f>Q1+7</f>
        <v>43665</v>
      </c>
      <c r="S1" s="349">
        <f>R1+7</f>
        <v>43672</v>
      </c>
      <c r="T1" s="349">
        <f>S1+7</f>
        <v>43679</v>
      </c>
      <c r="U1" s="349">
        <f>T1+7</f>
        <v>43686</v>
      </c>
      <c r="V1" s="349">
        <f>U1+7</f>
        <v>43693</v>
      </c>
      <c r="W1" s="349">
        <f>V1+7</f>
        <v>43700</v>
      </c>
      <c r="X1" s="349">
        <f>W1+7</f>
        <v>43707</v>
      </c>
      <c r="Y1" s="349">
        <f>X1+7</f>
        <v>43714</v>
      </c>
      <c r="Z1" s="349">
        <f>Y1+7</f>
        <v>43721</v>
      </c>
      <c r="AA1" s="349">
        <f>Z1+7</f>
        <v>43728</v>
      </c>
      <c r="AB1" s="349">
        <f>AA1+7</f>
        <v>43735</v>
      </c>
      <c r="AC1" s="349">
        <f>AB1+7</f>
        <v>43742</v>
      </c>
      <c r="AD1" s="412">
        <f>AC1+7</f>
        <v>43749</v>
      </c>
    </row>
    <row r="2" spans="1:30">
      <c r="A2" s="7"/>
      <c r="B2" s="7"/>
      <c r="C2" s="7"/>
      <c r="D2" s="481" t="s">
        <v>377</v>
      </c>
      <c r="E2" s="482"/>
      <c r="F2" s="483"/>
      <c r="G2" s="483"/>
      <c r="H2" s="483"/>
      <c r="I2" s="484"/>
      <c r="K2" s="7"/>
      <c r="L2" s="7"/>
      <c r="M2" s="7" t="s">
        <v>378</v>
      </c>
      <c r="N2" s="350" t="s">
        <v>379</v>
      </c>
      <c r="O2" s="350" t="s">
        <v>380</v>
      </c>
      <c r="P2" s="350" t="s">
        <v>381</v>
      </c>
      <c r="Q2" s="350" t="s">
        <v>382</v>
      </c>
      <c r="R2" s="350" t="s">
        <v>383</v>
      </c>
      <c r="S2" s="350" t="s">
        <v>384</v>
      </c>
      <c r="T2" s="350" t="s">
        <v>385</v>
      </c>
      <c r="U2" s="350" t="s">
        <v>386</v>
      </c>
      <c r="V2" s="350" t="s">
        <v>387</v>
      </c>
      <c r="W2" s="350" t="s">
        <v>388</v>
      </c>
      <c r="X2" s="350" t="s">
        <v>389</v>
      </c>
      <c r="Y2" s="350" t="s">
        <v>390</v>
      </c>
      <c r="Z2" s="350" t="s">
        <v>391</v>
      </c>
      <c r="AA2" s="350" t="s">
        <v>392</v>
      </c>
      <c r="AB2" s="350" t="s">
        <v>393</v>
      </c>
      <c r="AC2" s="350" t="s">
        <v>394</v>
      </c>
      <c r="AD2" s="428" t="s">
        <v>379</v>
      </c>
    </row>
    <row r="3" spans="1:30">
      <c r="A3" s="8"/>
      <c r="B3" s="8"/>
      <c r="C3" s="8"/>
      <c r="D3" s="485" t="s">
        <v>395</v>
      </c>
      <c r="E3" s="486"/>
      <c r="F3" s="449"/>
      <c r="G3" s="487" t="s">
        <v>396</v>
      </c>
      <c r="H3" s="488"/>
      <c r="I3" s="353"/>
      <c r="K3" s="8"/>
      <c r="L3" s="351"/>
      <c r="M3" s="351" t="s">
        <v>397</v>
      </c>
      <c r="N3" s="352">
        <f>3345+6</f>
        <v>3351</v>
      </c>
      <c r="O3" s="352" t="n">
        <v>3345</v>
      </c>
      <c r="P3" s="352">
        <f>O3+O11</f>
        <v>3345</v>
      </c>
      <c r="Q3" s="352">
        <f>P3+P11</f>
        <v>3435</v>
      </c>
      <c r="R3" s="352">
        <f>Q3+Q11-2</f>
        <v>3433</v>
      </c>
      <c r="S3" s="352">
        <f>R3+R11</f>
        <v>3433</v>
      </c>
      <c r="T3" s="352">
        <f>U3+10+11</f>
        <v>3288</v>
      </c>
      <c r="U3" s="352">
        <f>V3+11+11</f>
        <v>3267</v>
      </c>
      <c r="V3" s="352">
        <f>W3+13</f>
        <v>3245</v>
      </c>
      <c r="W3" s="352">
        <f>X3+10+10</f>
        <v>3232</v>
      </c>
      <c r="X3" s="352">
        <f>Y3+16</f>
        <v>3212</v>
      </c>
      <c r="Y3" s="352">
        <f>3196</f>
        <v>3196</v>
      </c>
      <c r="Z3" s="352">
        <f>Y3+Y11</f>
        <v>3196</v>
      </c>
      <c r="AA3" s="352">
        <f>Z3+Z11</f>
        <v>3196</v>
      </c>
      <c r="AB3" s="352">
        <f>AA3+AA11</f>
        <v>3196</v>
      </c>
      <c r="AC3" s="352">
        <f>AB3+AB11</f>
        <v>3196</v>
      </c>
      <c r="AD3" s="413">
        <f>AC3+AC11</f>
        <v>3196</v>
      </c>
    </row>
    <row r="4" spans="1:30">
      <c r="A4" s="8"/>
      <c r="B4" s="8"/>
      <c r="C4" s="8"/>
      <c r="D4" s="361"/>
      <c r="E4" s="371"/>
      <c r="F4" s="399"/>
      <c r="G4" s="357"/>
      <c r="H4" s="399"/>
      <c r="I4" s="358"/>
      <c r="K4" s="429" t="s">
        <v>398</v>
      </c>
      <c r="L4" s="429"/>
      <c r="M4" s="430">
        <f>10164100+500000</f>
        <v>10664100</v>
      </c>
      <c r="N4" s="431">
        <f>M4</f>
        <v>10664100</v>
      </c>
      <c r="O4" s="431">
        <f>N4-N13+N23</f>
        <v>10164100</v>
      </c>
      <c r="P4" s="431">
        <f>O4-O13+O23</f>
        <v>9664100</v>
      </c>
      <c r="Q4" s="431">
        <f>P4-P13+P23</f>
        <v>9164100</v>
      </c>
      <c r="R4" s="431">
        <f>Q4-Q13+Q23</f>
        <v>8664100</v>
      </c>
      <c r="S4" s="431">
        <f>R4-R13+R23</f>
        <v>8164100</v>
      </c>
      <c r="T4" s="431">
        <f>S4-S13+S23</f>
        <v>7664100</v>
      </c>
      <c r="U4" s="431">
        <f>T4-T13+T23</f>
        <v>7164100</v>
      </c>
      <c r="V4" s="431">
        <f>U4-U13+U23</f>
        <v>6664100</v>
      </c>
      <c r="W4" s="431">
        <f>V4-V13+V23</f>
        <v>6164100</v>
      </c>
      <c r="X4" s="431">
        <f>W4-W13+W23</f>
        <v>5664100</v>
      </c>
      <c r="Y4" s="431">
        <f>X4-X13+X23</f>
        <v>5164100</v>
      </c>
      <c r="Z4" s="431">
        <f>Y4-Y13+Y23</f>
        <v>4664100</v>
      </c>
      <c r="AA4" s="431">
        <f>Z4-Z13+Z23</f>
        <v>4164100</v>
      </c>
      <c r="AB4" s="431">
        <f>AA4-AA13+AA23</f>
        <v>3664100</v>
      </c>
      <c r="AC4" s="431">
        <f>AB4-AB13+AB23</f>
        <v>4177693</v>
      </c>
      <c r="AD4" s="431">
        <f>AC4-AC13+AC23</f>
        <v>3677693</v>
      </c>
    </row>
    <row r="5" spans="1:30">
      <c r="A5" s="79"/>
      <c r="B5" s="79"/>
      <c r="C5" s="79"/>
      <c r="D5" s="361" t="s">
        <v>399</v>
      </c>
      <c r="E5" s="362">
        <f>SUM(E6:E8)</f>
        <v>8627340</v>
      </c>
      <c r="F5" s="432">
        <f>E5/E35</f>
        <v>0.0916796333809319997</v>
      </c>
      <c r="G5" s="361" t="s">
        <v>400</v>
      </c>
      <c r="H5" s="405">
        <f>H6+H7</f>
        <v>63454367</v>
      </c>
      <c r="I5" s="363">
        <f>H5/$H$35</f>
        <v>0.674306692790489048</v>
      </c>
      <c r="K5" s="354" t="s">
        <v>401</v>
      </c>
      <c r="L5" s="354"/>
      <c r="M5" s="355">
        <f>16859431-5919847+1711665-500000</f>
        <v>12151249</v>
      </c>
      <c r="N5" s="356">
        <f>M5</f>
        <v>12151249</v>
      </c>
      <c r="O5" s="356">
        <f>N26</f>
        <v>16853431</v>
      </c>
      <c r="P5" s="356">
        <f>O26</f>
        <v>11755916</v>
      </c>
      <c r="Q5" s="356">
        <f>P26</f>
        <v>12415332</v>
      </c>
      <c r="R5" s="356">
        <f>Q26</f>
        <v>13710711</v>
      </c>
      <c r="S5" s="356">
        <f>R26</f>
        <v>14306291</v>
      </c>
      <c r="T5" s="356">
        <f>S26</f>
        <v>16625519</v>
      </c>
      <c r="U5" s="356">
        <f>T26</f>
        <v>17494225</v>
      </c>
      <c r="V5" s="356">
        <f>U26</f>
        <v>18095097</v>
      </c>
      <c r="W5" s="356">
        <f>V26</f>
        <v>19111395</v>
      </c>
      <c r="X5" s="356">
        <f>W26</f>
        <v>19795165</v>
      </c>
      <c r="Y5" s="356">
        <f>X26</f>
        <v>22086424</v>
      </c>
      <c r="Z5" s="356">
        <f>Y26</f>
        <v>19890687</v>
      </c>
      <c r="AA5" s="356">
        <f>Z26</f>
        <v>24708589</v>
      </c>
      <c r="AB5" s="356">
        <f>AA26</f>
        <v>25679641</v>
      </c>
      <c r="AC5" s="356">
        <f>AB26</f>
        <v>21403306</v>
      </c>
      <c r="AD5" s="356">
        <f>AC26</f>
        <v>20568388</v>
      </c>
    </row>
    <row r="6" spans="1:30">
      <c r="A6" s="359" t="str">
        <f>L6</f>
        <v>Taquillas</v>
      </c>
      <c r="B6" s="360">
        <f>M6/$M$14</f>
        <v>0.113396202670265001</v>
      </c>
      <c r="D6" s="364" t="s">
        <v>402</v>
      </c>
      <c r="E6" s="365" t="n">
        <v>4158040</v>
      </c>
      <c r="F6" s="49">
        <f>E6/E35</f>
        <v>0.0441859927606019998</v>
      </c>
      <c r="G6" s="366" t="s">
        <v>403</v>
      </c>
      <c r="H6" s="438" t="n">
        <v>300000</v>
      </c>
      <c r="I6" s="367">
        <f>H6/$H$35</f>
        <v>0.00318799189718700049</v>
      </c>
      <c r="K6" s="409" t="s">
        <v>404</v>
      </c>
      <c r="L6" s="409" t="s">
        <v>404</v>
      </c>
      <c r="M6" s="426">
        <f>SUM(N6:AD6)</f>
        <v>3664610</v>
      </c>
      <c r="N6" s="464" t="n">
        <v>27384</v>
      </c>
      <c r="O6" s="464">
        <f>2819+34650</f>
        <v>37469</v>
      </c>
      <c r="P6" s="464" t="n">
        <v>34650</v>
      </c>
      <c r="Q6" s="464">
        <f>734316+34267</f>
        <v>768583</v>
      </c>
      <c r="R6" s="464">
        <f>60291</f>
        <v>60291</v>
      </c>
      <c r="S6" s="464" t="n">
        <v>664612</v>
      </c>
      <c r="T6" s="464">
        <f>38789+287090</f>
        <v>325879</v>
      </c>
      <c r="U6" s="464" t="n">
        <v>57945</v>
      </c>
      <c r="V6" s="464">
        <f>72861+289034</f>
        <v>361895</v>
      </c>
      <c r="W6" s="464" t="n">
        <v>99719</v>
      </c>
      <c r="X6" s="464" t="n">
        <v>430656</v>
      </c>
      <c r="Y6" s="464" t="n">
        <v>8684</v>
      </c>
      <c r="Z6" s="464" t="n">
        <v>9434</v>
      </c>
      <c r="AA6" s="464" t="n">
        <v>360602</v>
      </c>
      <c r="AB6" s="464" t="n">
        <v>23483</v>
      </c>
      <c r="AC6" s="464" t="n">
        <v>369426</v>
      </c>
      <c r="AD6" s="410" t="n">
        <v>23898</v>
      </c>
    </row>
    <row r="7" spans="1:30">
      <c r="A7" s="359" t="str">
        <f>L7</f>
        <v>Patrocinadores</v>
      </c>
      <c r="B7" s="360">
        <f>M7/$M$14</f>
        <v>0.133025859220820997</v>
      </c>
      <c r="D7" s="364" t="s">
        <v>405</v>
      </c>
      <c r="E7" s="365">
        <f>1916000+300+2553000</f>
        <v>4469300</v>
      </c>
      <c r="F7" s="49">
        <f>E7/E35</f>
        <v>0.0474936406203299999</v>
      </c>
      <c r="G7" s="366" t="s">
        <v>406</v>
      </c>
      <c r="H7" s="438">
        <f>63609618-455251</f>
        <v>63154367</v>
      </c>
      <c r="I7" s="367">
        <f>H7/$H$35</f>
        <v>0.671118700893301945</v>
      </c>
      <c r="K7" s="409" t="s">
        <v>407</v>
      </c>
      <c r="L7" s="409" t="s">
        <v>407</v>
      </c>
      <c r="M7" s="426">
        <f>SUM(N7:AD7)</f>
        <v>4298979</v>
      </c>
      <c r="N7" s="465" t="n">
        <v>270844</v>
      </c>
      <c r="O7" s="465" t="n">
        <v>187040</v>
      </c>
      <c r="P7" s="465" t="n">
        <v>224225</v>
      </c>
      <c r="Q7" s="465" t="n">
        <v>246055</v>
      </c>
      <c r="R7" s="465" t="n">
        <v>257710</v>
      </c>
      <c r="S7" s="465" t="n">
        <v>263630</v>
      </c>
      <c r="T7" s="465">
        <f>S7-1000</f>
        <v>262630</v>
      </c>
      <c r="U7" s="465">
        <f>T7-1000</f>
        <v>261630</v>
      </c>
      <c r="V7" s="465">
        <f>U7-1000</f>
        <v>260630</v>
      </c>
      <c r="W7" s="465">
        <f>V7-1000</f>
        <v>259630</v>
      </c>
      <c r="X7" s="465" t="n">
        <v>261780</v>
      </c>
      <c r="Y7" s="465" t="n">
        <v>260670</v>
      </c>
      <c r="Z7" s="465" t="n">
        <v>257000</v>
      </c>
      <c r="AA7" s="465" t="n">
        <v>257000</v>
      </c>
      <c r="AB7" s="465" t="n">
        <v>257155</v>
      </c>
      <c r="AC7" s="465" t="n">
        <v>256230</v>
      </c>
      <c r="AD7" s="411" t="n">
        <v>255120</v>
      </c>
    </row>
    <row r="8" spans="1:33">
      <c r="A8" s="359" t="str">
        <f>L8</f>
        <v>Ventas</v>
      </c>
      <c r="B8" s="360">
        <f>M8/$M$14</f>
        <v>0.39328079049247</v>
      </c>
      <c r="D8" s="368" t="s">
        <v>408</v>
      </c>
      <c r="E8" s="369" t="n">
        <v>0</v>
      </c>
      <c r="F8" s="49">
        <f>E8/E35</f>
        <v>0</v>
      </c>
      <c r="G8" s="372"/>
      <c r="H8" s="347"/>
      <c r="I8" s="363"/>
      <c r="K8" s="409" t="s">
        <v>409</v>
      </c>
      <c r="L8" s="409" t="s">
        <v>410</v>
      </c>
      <c r="M8" s="426">
        <f>SUM(N8:AD8)</f>
        <v>12709603</v>
      </c>
      <c r="N8" s="464">
        <f>959086+1751596+1184557</f>
        <v>3895239</v>
      </c>
      <c r="O8" s="464" t="n">
        <v>0</v>
      </c>
      <c r="P8" s="464" t="n">
        <v>0</v>
      </c>
      <c r="Q8" s="464" t="n">
        <v>0</v>
      </c>
      <c r="R8" s="464" t="n">
        <v>0</v>
      </c>
      <c r="S8" s="464" t="n">
        <v>0</v>
      </c>
      <c r="T8" s="464" t="n">
        <v>0</v>
      </c>
      <c r="U8" s="464" t="n">
        <v>0</v>
      </c>
      <c r="V8" s="464" t="n">
        <v>0</v>
      </c>
      <c r="W8" s="464" t="n">
        <v>0</v>
      </c>
      <c r="X8" s="464" t="n">
        <v>1192436</v>
      </c>
      <c r="Y8" s="464" t="n">
        <v>0</v>
      </c>
      <c r="Z8" s="464">
        <f>3201800+1057885</f>
        <v>4259685</v>
      </c>
      <c r="AA8" s="464" t="n">
        <v>0</v>
      </c>
      <c r="AB8" s="464" t="n">
        <v>0</v>
      </c>
      <c r="AC8" s="464" t="n">
        <v>3362243</v>
      </c>
      <c r="AD8" s="410" t="n">
        <v>0</v>
      </c>
      <c r="AF8" s="347"/>
      <c r="AG8" s="347"/>
    </row>
    <row r="9" spans="1:30">
      <c r="A9" s="359" t="str">
        <f>L9</f>
        <v>VentasCantera</v>
      </c>
      <c r="B9" s="360">
        <f>M9/$M$14</f>
        <v>0.0499151418359949961</v>
      </c>
      <c r="D9" s="370"/>
      <c r="E9" s="371"/>
      <c r="F9" s="432"/>
      <c r="G9" s="372"/>
      <c r="H9" s="347"/>
      <c r="I9" s="363"/>
      <c r="K9" s="409"/>
      <c r="L9" s="409" t="s">
        <v>411</v>
      </c>
      <c r="M9" s="426">
        <f>SUM(N9:AD9)</f>
        <v>1613101</v>
      </c>
      <c r="N9" s="464">
        <f>515850</f>
        <v>515850</v>
      </c>
      <c r="O9" s="464" t="n">
        <v>0</v>
      </c>
      <c r="P9" s="464" t="n">
        <v>0</v>
      </c>
      <c r="Q9" s="464" t="n">
        <v>0</v>
      </c>
      <c r="R9" s="464" t="n">
        <v>950</v>
      </c>
      <c r="S9" s="464" t="n">
        <v>970900</v>
      </c>
      <c r="T9" s="464" t="n">
        <v>0</v>
      </c>
      <c r="U9" s="464" t="n">
        <v>0</v>
      </c>
      <c r="V9" s="464">
        <f>950+13300+52250</f>
        <v>66500</v>
      </c>
      <c r="W9" s="464" t="n">
        <v>36100</v>
      </c>
      <c r="X9" s="464" t="n">
        <v>950</v>
      </c>
      <c r="Y9" s="464" t="n">
        <v>0</v>
      </c>
      <c r="Z9" s="464" t="n">
        <v>0</v>
      </c>
      <c r="AA9" s="464" t="n">
        <v>0</v>
      </c>
      <c r="AB9" s="464" t="n">
        <v>0</v>
      </c>
      <c r="AC9" s="464" t="n">
        <v>0</v>
      </c>
      <c r="AD9" s="410" t="n">
        <v>21851</v>
      </c>
    </row>
    <row r="10" spans="1:30">
      <c r="A10" s="359" t="str">
        <f>L10</f>
        <v>Comisiones</v>
      </c>
      <c r="B10" s="360">
        <f>M10/$M$14</f>
        <v>0.0192120727544539989</v>
      </c>
      <c r="D10" s="361" t="s">
        <v>412</v>
      </c>
      <c r="E10" s="362">
        <f>E11+E12+E13</f>
        <v>3177693</v>
      </c>
      <c r="F10" s="432">
        <f>E10/E35</f>
        <v>0.0337681984524960033</v>
      </c>
      <c r="G10" s="361" t="s">
        <v>413</v>
      </c>
      <c r="H10" s="405">
        <f>SUM(H11:H16)</f>
        <v>8084727</v>
      </c>
      <c r="I10" s="363">
        <f>H10/$H$35</f>
        <v>0.0859134805565700077</v>
      </c>
      <c r="K10" s="409" t="s">
        <v>414</v>
      </c>
      <c r="L10" s="409" t="s">
        <v>414</v>
      </c>
      <c r="M10" s="426">
        <f>SUM(N10:AD10)</f>
        <v>620874</v>
      </c>
      <c r="N10" s="465" t="n">
        <v>60000</v>
      </c>
      <c r="O10" s="465">
        <f>15320+1915</f>
        <v>17235</v>
      </c>
      <c r="P10" s="465" t="n">
        <v>120000</v>
      </c>
      <c r="Q10" s="465" t="n">
        <v>0</v>
      </c>
      <c r="R10" s="465" t="n">
        <v>0</v>
      </c>
      <c r="S10" s="465" t="n">
        <v>3889</v>
      </c>
      <c r="T10" s="465" t="n">
        <v>0</v>
      </c>
      <c r="U10" s="465" t="n">
        <v>100</v>
      </c>
      <c r="V10" s="465">
        <f>20400+3250+26000</f>
        <v>49650</v>
      </c>
      <c r="W10" s="465" t="n">
        <v>0</v>
      </c>
      <c r="X10" s="465" t="n">
        <v>93040</v>
      </c>
      <c r="Y10" s="465" t="n">
        <v>0</v>
      </c>
      <c r="Z10" s="465" t="n">
        <v>0</v>
      </c>
      <c r="AA10" s="465" t="n">
        <v>59960</v>
      </c>
      <c r="AB10" s="465" t="n">
        <v>70000</v>
      </c>
      <c r="AC10" s="465" t="n">
        <v>0</v>
      </c>
      <c r="AD10" s="411" t="n">
        <v>147000</v>
      </c>
    </row>
    <row r="11" spans="1:30">
      <c r="A11" s="359" t="str">
        <f>L11</f>
        <v>Nuevos Socios</v>
      </c>
      <c r="B11" s="360">
        <f>M11/$M$14</f>
        <v>0.00602471768070800096</v>
      </c>
      <c r="D11" s="373" t="s">
        <v>415</v>
      </c>
      <c r="E11" s="374">
        <f>N4</f>
        <v>10664100</v>
      </c>
      <c r="F11" s="49">
        <f>E11/E35</f>
        <v>0.113323547969316007</v>
      </c>
      <c r="G11" s="392" t="s">
        <v>416</v>
      </c>
      <c r="H11" s="448" t="n">
        <v>0</v>
      </c>
      <c r="I11" s="367">
        <f>H11/$H$35</f>
        <v>0</v>
      </c>
      <c r="K11" s="489" t="s">
        <v>417</v>
      </c>
      <c r="L11" s="409" t="s">
        <v>418</v>
      </c>
      <c r="M11" s="426">
        <f>SUM(N11:AD11)</f>
        <v>194700</v>
      </c>
      <c r="N11" s="465" t="n">
        <v>100530</v>
      </c>
      <c r="O11" s="465" t="n">
        <v>0</v>
      </c>
      <c r="P11" s="465">
        <f>30+60</f>
        <v>90</v>
      </c>
      <c r="Q11" s="465" t="n">
        <v>0</v>
      </c>
      <c r="R11" s="465">
        <f>Q11</f>
        <v>0</v>
      </c>
      <c r="S11" s="465">
        <f>R11</f>
        <v>0</v>
      </c>
      <c r="T11" s="465">
        <f>S11</f>
        <v>0</v>
      </c>
      <c r="U11" s="465">
        <f>T11</f>
        <v>0</v>
      </c>
      <c r="V11" s="465">
        <f>U11</f>
        <v>0</v>
      </c>
      <c r="W11" s="465">
        <f>V11</f>
        <v>0</v>
      </c>
      <c r="X11" s="465">
        <f>W11</f>
        <v>0</v>
      </c>
      <c r="Y11" s="465">
        <f>X11</f>
        <v>0</v>
      </c>
      <c r="Z11" s="465">
        <f>Y11</f>
        <v>0</v>
      </c>
      <c r="AA11" s="465">
        <f>Z11</f>
        <v>0</v>
      </c>
      <c r="AB11" s="465">
        <f>AA11</f>
        <v>0</v>
      </c>
      <c r="AC11" s="465">
        <f>AB11</f>
        <v>0</v>
      </c>
      <c r="AD11" s="411" t="n">
        <v>94080</v>
      </c>
    </row>
    <row r="12" spans="1:30">
      <c r="A12" s="359" t="str">
        <f>L12</f>
        <v>Premios</v>
      </c>
      <c r="B12" s="360">
        <f>M12/$M$14</f>
        <v>0.0375964662663619942</v>
      </c>
      <c r="D12" s="373" t="str">
        <f>L13</f>
        <v>Ing Reservas</v>
      </c>
      <c r="E12" s="374">
        <f>M13*-1</f>
        <v>-8000000</v>
      </c>
      <c r="F12" s="49">
        <f>E12/E35</f>
        <v>-0.0850131172583270001</v>
      </c>
      <c r="G12" s="392" t="s">
        <v>419</v>
      </c>
      <c r="H12" s="448" t="n">
        <v>0</v>
      </c>
      <c r="I12" s="367">
        <f>H12/$H$35</f>
        <v>0</v>
      </c>
      <c r="K12" s="490"/>
      <c r="L12" s="409" t="s">
        <v>420</v>
      </c>
      <c r="M12" s="426">
        <f>SUM(N12:AD12)</f>
        <v>1215000</v>
      </c>
      <c r="N12" s="465" t="n">
        <v>1050000</v>
      </c>
      <c r="O12" s="465" t="n">
        <v>0</v>
      </c>
      <c r="P12" s="465" t="n">
        <v>0</v>
      </c>
      <c r="Q12" s="465" t="n">
        <v>0</v>
      </c>
      <c r="R12" s="465" t="n">
        <v>0</v>
      </c>
      <c r="S12" s="465" t="n">
        <v>140000</v>
      </c>
      <c r="T12" s="465" t="n">
        <v>0</v>
      </c>
      <c r="U12" s="465" t="n">
        <v>0</v>
      </c>
      <c r="V12" s="465" t="n">
        <v>0</v>
      </c>
      <c r="W12" s="465" t="n">
        <v>0</v>
      </c>
      <c r="X12" s="465" t="n">
        <v>25000</v>
      </c>
      <c r="Y12" s="465" t="n">
        <v>0</v>
      </c>
      <c r="Z12" s="465" t="n">
        <v>0</v>
      </c>
      <c r="AA12" s="465" t="n">
        <v>0</v>
      </c>
      <c r="AB12" s="465" t="n">
        <v>0</v>
      </c>
      <c r="AC12" s="465" t="n">
        <v>0</v>
      </c>
      <c r="AD12" s="411" t="n">
        <v>0</v>
      </c>
    </row>
    <row r="13" spans="1:30" s="425" customFormat="1">
      <c r="A13" s="359" t="str">
        <f>L13</f>
        <v>Ing Reservas</v>
      </c>
      <c r="B13" s="360">
        <f>M13/$M$14</f>
        <v>0.24754874907892499</v>
      </c>
      <c r="C13" s="423"/>
      <c r="D13" s="373" t="str">
        <f>L23</f>
        <v>Pago Reservas</v>
      </c>
      <c r="E13" s="374">
        <f>M23</f>
        <v>513593</v>
      </c>
      <c r="F13" s="49">
        <f>E13/E35</f>
        <v>0.00545776774150700028</v>
      </c>
      <c r="G13" s="392" t="s">
        <v>421</v>
      </c>
      <c r="H13" s="448">
        <f>515850+950+970900+950+36100+950+13300+52250+21851</f>
        <v>1613101</v>
      </c>
      <c r="I13" s="367">
        <f>H13/$H$35</f>
        <v>0.017141843057815997</v>
      </c>
      <c r="K13" s="491"/>
      <c r="L13" s="409" t="s">
        <v>422</v>
      </c>
      <c r="M13" s="426">
        <f>SUM(N13:AD13)</f>
        <v>8000000</v>
      </c>
      <c r="N13" s="465" t="n">
        <v>500000</v>
      </c>
      <c r="O13" s="465">
        <f>N13</f>
        <v>500000</v>
      </c>
      <c r="P13" s="465">
        <f>O13</f>
        <v>500000</v>
      </c>
      <c r="Q13" s="465">
        <f>P13</f>
        <v>500000</v>
      </c>
      <c r="R13" s="465">
        <f>Q13</f>
        <v>500000</v>
      </c>
      <c r="S13" s="465">
        <f>R13</f>
        <v>500000</v>
      </c>
      <c r="T13" s="465">
        <f>S13</f>
        <v>500000</v>
      </c>
      <c r="U13" s="465">
        <f>T13</f>
        <v>500000</v>
      </c>
      <c r="V13" s="465">
        <f>U13</f>
        <v>500000</v>
      </c>
      <c r="W13" s="465">
        <f>V13</f>
        <v>500000</v>
      </c>
      <c r="X13" s="465">
        <f>W13</f>
        <v>500000</v>
      </c>
      <c r="Y13" s="465">
        <f>X13</f>
        <v>500000</v>
      </c>
      <c r="Z13" s="465">
        <f>Y13</f>
        <v>500000</v>
      </c>
      <c r="AA13" s="465">
        <f>Z13</f>
        <v>500000</v>
      </c>
      <c r="AB13" s="465" t="n">
        <v>0</v>
      </c>
      <c r="AC13" s="465" t="n">
        <v>500000</v>
      </c>
      <c r="AD13" s="411">
        <f>AC13</f>
        <v>500000</v>
      </c>
    </row>
    <row r="14" spans="1:30">
      <c r="A14" s="423"/>
      <c r="B14" s="424">
        <f>SUM(B6:B13)</f>
        <v>1</v>
      </c>
      <c r="D14" s="370"/>
      <c r="E14" s="433"/>
      <c r="G14" s="392" t="s">
        <v>423</v>
      </c>
      <c r="H14" s="448">
        <f>959086-941000-910+1751596-1140-1841100+1184557-1900-1169788+451488+3362243-2752436</f>
        <v>1000696</v>
      </c>
      <c r="I14" s="367">
        <f>H14/$H$35</f>
        <v>0.0106340357984920009</v>
      </c>
      <c r="K14" s="420" t="s">
        <v>424</v>
      </c>
      <c r="L14" s="421"/>
      <c r="M14" s="427">
        <f>SUM(N14:AD14)</f>
        <v>32316867</v>
      </c>
      <c r="N14" s="422">
        <f>SUM(N6:N13)</f>
        <v>6419847</v>
      </c>
      <c r="O14" s="422">
        <f>SUM(O6:O13)</f>
        <v>741744</v>
      </c>
      <c r="P14" s="422">
        <f>SUM(P6:P13)</f>
        <v>878965</v>
      </c>
      <c r="Q14" s="422">
        <f>SUM(Q6:Q13)</f>
        <v>1514638</v>
      </c>
      <c r="R14" s="422">
        <f>SUM(R6:R13)</f>
        <v>818951</v>
      </c>
      <c r="S14" s="422">
        <f>SUM(S6:S13)</f>
        <v>2543031</v>
      </c>
      <c r="T14" s="422">
        <f>SUM(T6:T13)</f>
        <v>1088509</v>
      </c>
      <c r="U14" s="422">
        <f>SUM(U6:U13)</f>
        <v>819675</v>
      </c>
      <c r="V14" s="422">
        <f>SUM(V6:V13)</f>
        <v>1238675</v>
      </c>
      <c r="W14" s="422">
        <f>SUM(W6:W13)</f>
        <v>895449</v>
      </c>
      <c r="X14" s="422">
        <f>SUM(X6:X13)</f>
        <v>2503862</v>
      </c>
      <c r="Y14" s="422">
        <f>SUM(Y6:Y13)</f>
        <v>769354</v>
      </c>
      <c r="Z14" s="422">
        <f>SUM(Z6:Z13)</f>
        <v>5026119</v>
      </c>
      <c r="AA14" s="422">
        <f>SUM(AA6:AA13)</f>
        <v>1177562</v>
      </c>
      <c r="AB14" s="422">
        <f>SUM(AB6:AB13)</f>
        <v>350638</v>
      </c>
      <c r="AC14" s="422">
        <f>SUM(AC6:AC13)</f>
        <v>4487899</v>
      </c>
      <c r="AD14" s="422">
        <f>SUM(AD6:AD13)</f>
        <v>1041949</v>
      </c>
    </row>
    <row r="15" spans="1:30">
      <c r="A15" s="492">
        <f>M14</f>
        <v>32316867</v>
      </c>
      <c r="B15" s="492"/>
      <c r="D15" s="361" t="s">
        <v>425</v>
      </c>
      <c r="E15" s="362">
        <f>SUM(E16:E19)</f>
        <v>38343569</v>
      </c>
      <c r="F15" s="432">
        <f>E15/E35</f>
        <v>0.407463290937469047</v>
      </c>
      <c r="G15" s="392" t="s">
        <v>426</v>
      </c>
      <c r="H15" s="448">
        <f>-832071</f>
        <v>-832071</v>
      </c>
      <c r="I15" s="367">
        <f>H15/$H$35</f>
        <v>-0.00884211868628199937</v>
      </c>
      <c r="K15" s="416" t="s">
        <v>427</v>
      </c>
      <c r="L15" s="417" t="str">
        <f>K15</f>
        <v>Sueldos</v>
      </c>
      <c r="M15" s="375">
        <f>SUM(N15:AD15)</f>
        <v>1317753</v>
      </c>
      <c r="N15" s="466" t="n">
        <v>82664</v>
      </c>
      <c r="O15" s="466" t="n">
        <v>79866</v>
      </c>
      <c r="P15" s="466" t="n">
        <v>85172</v>
      </c>
      <c r="Q15" s="466" t="n">
        <v>84882</v>
      </c>
      <c r="R15" s="466" t="n">
        <v>85994</v>
      </c>
      <c r="S15" s="466" t="n">
        <v>86426</v>
      </c>
      <c r="T15" s="466">
        <f>S15-1000</f>
        <v>85426</v>
      </c>
      <c r="U15" s="466">
        <f>T15-1000</f>
        <v>84426</v>
      </c>
      <c r="V15" s="466" t="n">
        <v>82000</v>
      </c>
      <c r="W15" s="466" t="n">
        <v>73302</v>
      </c>
      <c r="X15" s="466" t="n">
        <v>71226</v>
      </c>
      <c r="Y15" s="466" t="n">
        <v>70278</v>
      </c>
      <c r="Z15" s="466">
        <f>66000+1840</f>
        <v>67840</v>
      </c>
      <c r="AA15" s="466">
        <f>64518+615</f>
        <v>65133</v>
      </c>
      <c r="AB15" s="466" t="n">
        <v>64238</v>
      </c>
      <c r="AC15" s="466" t="n">
        <v>74412</v>
      </c>
      <c r="AD15" s="414" t="n">
        <v>74468</v>
      </c>
    </row>
    <row r="16" spans="4:30">
      <c r="D16" s="373" t="s">
        <v>428</v>
      </c>
      <c r="E16" s="374" t="n">
        <v>0</v>
      </c>
      <c r="F16" s="49">
        <f>E16/E35</f>
        <v>0</v>
      </c>
      <c r="G16" s="443" t="s">
        <v>429</v>
      </c>
      <c r="H16" s="439">
        <f>E29-H26</f>
        <v>6303001</v>
      </c>
      <c r="I16" s="367">
        <f>H16/$H$35</f>
        <v>0.0669797203865439972</v>
      </c>
      <c r="K16" s="416" t="s">
        <v>430</v>
      </c>
      <c r="L16" s="417" t="str">
        <f>K16</f>
        <v>Mantenimiento </v>
      </c>
      <c r="M16" s="375">
        <f>SUM(N16:AD16)</f>
        <v>834649</v>
      </c>
      <c r="N16" s="466" t="n">
        <v>49097</v>
      </c>
      <c r="O16" s="466">
        <f>N16</f>
        <v>49097</v>
      </c>
      <c r="P16" s="466">
        <f>O16</f>
        <v>49097</v>
      </c>
      <c r="Q16" s="466">
        <f>P16</f>
        <v>49097</v>
      </c>
      <c r="R16" s="466">
        <f>Q16</f>
        <v>49097</v>
      </c>
      <c r="S16" s="466">
        <f>R16</f>
        <v>49097</v>
      </c>
      <c r="T16" s="466">
        <f>S16</f>
        <v>49097</v>
      </c>
      <c r="U16" s="466">
        <f>T16</f>
        <v>49097</v>
      </c>
      <c r="V16" s="466">
        <f>U16</f>
        <v>49097</v>
      </c>
      <c r="W16" s="466">
        <f>V16</f>
        <v>49097</v>
      </c>
      <c r="X16" s="466">
        <f>W16</f>
        <v>49097</v>
      </c>
      <c r="Y16" s="466">
        <f>X16</f>
        <v>49097</v>
      </c>
      <c r="Z16" s="466">
        <f>Y16</f>
        <v>49097</v>
      </c>
      <c r="AA16" s="466">
        <f>Z16</f>
        <v>49097</v>
      </c>
      <c r="AB16" s="466">
        <f>AA16</f>
        <v>49097</v>
      </c>
      <c r="AC16" s="466">
        <f>AB16</f>
        <v>49097</v>
      </c>
      <c r="AD16" s="414">
        <f>AC16</f>
        <v>49097</v>
      </c>
    </row>
    <row r="17" spans="4:30" ht="15.75" customHeight="1">
      <c r="D17" s="373" t="s">
        <v>425</v>
      </c>
      <c r="E17" s="374">
        <f>11662680+35000</f>
        <v>11697680</v>
      </c>
      <c r="F17" s="49">
        <f>E17/E35</f>
        <v>0.124307030186298006</v>
      </c>
      <c r="G17" s="370"/>
      <c r="H17" s="347"/>
      <c r="I17" s="378"/>
      <c r="K17" s="416" t="s">
        <v>431</v>
      </c>
      <c r="L17" s="417" t="s">
        <v>402</v>
      </c>
      <c r="M17" s="375">
        <f>SUM(N17:AD17)</f>
        <v>0</v>
      </c>
      <c r="N17" s="466" t="n">
        <v>0</v>
      </c>
      <c r="O17" s="466" t="n">
        <v>0</v>
      </c>
      <c r="P17" s="466" t="n">
        <v>0</v>
      </c>
      <c r="Q17" s="466" t="n">
        <v>0</v>
      </c>
      <c r="R17" s="466" t="n">
        <v>0</v>
      </c>
      <c r="S17" s="466" t="n">
        <v>0</v>
      </c>
      <c r="T17" s="466" t="n">
        <v>0</v>
      </c>
      <c r="U17" s="466" t="n">
        <v>0</v>
      </c>
      <c r="V17" s="466" t="n">
        <v>0</v>
      </c>
      <c r="W17" s="466" t="n">
        <v>0</v>
      </c>
      <c r="X17" s="466" t="n">
        <v>0</v>
      </c>
      <c r="Y17" s="466" t="n">
        <v>0</v>
      </c>
      <c r="Z17" s="466" t="n">
        <v>0</v>
      </c>
      <c r="AA17" s="466" t="n">
        <v>0</v>
      </c>
      <c r="AB17" s="466" t="n">
        <v>0</v>
      </c>
      <c r="AC17" s="466" t="n">
        <v>0</v>
      </c>
      <c r="AD17" s="414" t="n">
        <v>0</v>
      </c>
    </row>
    <row r="18" spans="4:30">
      <c r="D18" s="373" t="s">
        <v>432</v>
      </c>
      <c r="E18" s="374">
        <f>3852540+924+1308000+870+4689000+1490+1887000+1044+2327000+684+2040000+5268+1859461+3036+5093880+8148</f>
        <v>23078345</v>
      </c>
      <c r="F18" s="49">
        <f>E18/E35</f>
        <v>0.245245256201640993</v>
      </c>
      <c r="G18" s="361" t="s">
        <v>433</v>
      </c>
      <c r="H18" s="440">
        <f>H19</f>
        <v>18872869</v>
      </c>
      <c r="I18" s="363">
        <f>H18/$H$35</f>
        <v>0.200555178162256009</v>
      </c>
      <c r="K18" s="416" t="s">
        <v>434</v>
      </c>
      <c r="L18" s="417" t="str">
        <f>K18</f>
        <v>Empleados</v>
      </c>
      <c r="M18" s="375">
        <f>SUM(N18:AD18)</f>
        <v>1109760</v>
      </c>
      <c r="N18" s="466" t="n">
        <v>65280</v>
      </c>
      <c r="O18" s="466">
        <f>N18</f>
        <v>65280</v>
      </c>
      <c r="P18" s="466">
        <f>O18</f>
        <v>65280</v>
      </c>
      <c r="Q18" s="466">
        <f>P18</f>
        <v>65280</v>
      </c>
      <c r="R18" s="466">
        <f>Q18</f>
        <v>65280</v>
      </c>
      <c r="S18" s="466">
        <f>R18</f>
        <v>65280</v>
      </c>
      <c r="T18" s="466">
        <f>S18</f>
        <v>65280</v>
      </c>
      <c r="U18" s="466">
        <f>T18</f>
        <v>65280</v>
      </c>
      <c r="V18" s="466">
        <f>U18</f>
        <v>65280</v>
      </c>
      <c r="W18" s="466">
        <f>V18</f>
        <v>65280</v>
      </c>
      <c r="X18" s="466">
        <f>W18</f>
        <v>65280</v>
      </c>
      <c r="Y18" s="466">
        <f>X18</f>
        <v>65280</v>
      </c>
      <c r="Z18" s="466">
        <f>Y18</f>
        <v>65280</v>
      </c>
      <c r="AA18" s="466">
        <f>Z18</f>
        <v>65280</v>
      </c>
      <c r="AB18" s="466">
        <f>AA18</f>
        <v>65280</v>
      </c>
      <c r="AC18" s="466">
        <f>AB18</f>
        <v>65280</v>
      </c>
      <c r="AD18" s="414">
        <f>AC18</f>
        <v>65280</v>
      </c>
    </row>
    <row r="19" spans="4:30">
      <c r="D19" s="373" t="s">
        <v>435</v>
      </c>
      <c r="E19" s="374">
        <f>1548000+660+2017000+1884</f>
        <v>3567544</v>
      </c>
      <c r="F19" s="49">
        <f>E19/E35</f>
        <v>0.037911004549530003</v>
      </c>
      <c r="G19" s="379" t="s">
        <v>436</v>
      </c>
      <c r="H19" s="441">
        <f>M20</f>
        <v>18872869</v>
      </c>
      <c r="I19" s="367">
        <f>H19/$H$35</f>
        <v>0.200555178162256009</v>
      </c>
      <c r="K19" s="416" t="s">
        <v>437</v>
      </c>
      <c r="L19" s="417" t="str">
        <f>K19</f>
        <v>Juveniles</v>
      </c>
      <c r="M19" s="375">
        <f>SUM(N19:AD19)</f>
        <v>340000</v>
      </c>
      <c r="N19" s="466" t="n">
        <v>20000</v>
      </c>
      <c r="O19" s="466">
        <f>N19</f>
        <v>20000</v>
      </c>
      <c r="P19" s="466">
        <f>O19</f>
        <v>20000</v>
      </c>
      <c r="Q19" s="466">
        <f>P19</f>
        <v>20000</v>
      </c>
      <c r="R19" s="466">
        <f>Q19</f>
        <v>20000</v>
      </c>
      <c r="S19" s="466">
        <f>R19</f>
        <v>20000</v>
      </c>
      <c r="T19" s="466">
        <f>S19</f>
        <v>20000</v>
      </c>
      <c r="U19" s="466">
        <f>T19</f>
        <v>20000</v>
      </c>
      <c r="V19" s="466">
        <f>U19</f>
        <v>20000</v>
      </c>
      <c r="W19" s="466">
        <f>V19</f>
        <v>20000</v>
      </c>
      <c r="X19" s="466">
        <f>W19</f>
        <v>20000</v>
      </c>
      <c r="Y19" s="466">
        <f>X19</f>
        <v>20000</v>
      </c>
      <c r="Z19" s="466">
        <f>Y19</f>
        <v>20000</v>
      </c>
      <c r="AA19" s="466">
        <f>Z19</f>
        <v>20000</v>
      </c>
      <c r="AB19" s="466">
        <f>AA19</f>
        <v>20000</v>
      </c>
      <c r="AC19" s="466">
        <f>AB19</f>
        <v>20000</v>
      </c>
      <c r="AD19" s="414">
        <f>AC19</f>
        <v>20000</v>
      </c>
    </row>
    <row r="20" spans="4:30">
      <c r="D20" s="370"/>
      <c r="E20" s="433"/>
      <c r="F20"/>
      <c r="G20" s="372"/>
      <c r="H20" s="347"/>
      <c r="I20" s="367"/>
      <c r="K20" s="416" t="s">
        <v>438</v>
      </c>
      <c r="L20" s="417" t="s">
        <v>436</v>
      </c>
      <c r="M20" s="375">
        <f>SUM(N20:AD20)</f>
        <v>18872869</v>
      </c>
      <c r="N20" s="466">
        <f>1486140+2484</f>
        <v>1488624</v>
      </c>
      <c r="O20" s="466">
        <f>3600000+3132+2017000+1884</f>
        <v>5622016</v>
      </c>
      <c r="P20" s="466" t="n">
        <v>0</v>
      </c>
      <c r="Q20" s="466">
        <f>P20</f>
        <v>0</v>
      </c>
      <c r="R20" s="466">
        <f>Q20</f>
        <v>0</v>
      </c>
      <c r="S20" s="466">
        <f>R20</f>
        <v>0</v>
      </c>
      <c r="T20" s="466">
        <f>S20</f>
        <v>0</v>
      </c>
      <c r="U20" s="466">
        <f>T20</f>
        <v>0</v>
      </c>
      <c r="V20" s="466">
        <f>U20</f>
        <v>0</v>
      </c>
      <c r="W20" s="466">
        <f>V20</f>
        <v>0</v>
      </c>
      <c r="X20" s="466">
        <f>W20</f>
        <v>0</v>
      </c>
      <c r="Y20" s="466">
        <f>2750000+2436</f>
        <v>2752436</v>
      </c>
      <c r="Z20" s="466" t="n">
        <v>0</v>
      </c>
      <c r="AA20" s="466">
        <f>Z20</f>
        <v>0</v>
      </c>
      <c r="AB20" s="466" t="n">
        <v>3907765</v>
      </c>
      <c r="AC20" s="466" t="n">
        <v>5102028</v>
      </c>
      <c r="AD20" s="414" t="n">
        <v>0</v>
      </c>
    </row>
    <row r="21" spans="4:30">
      <c r="D21" s="361" t="s">
        <v>410</v>
      </c>
      <c r="E21" s="377">
        <f>E22</f>
        <v>14322704</v>
      </c>
      <c r="F21" s="432">
        <f>E21/E35</f>
        <v>0.152202214326038998</v>
      </c>
      <c r="G21" s="372"/>
      <c r="H21" s="347"/>
      <c r="I21" s="367"/>
      <c r="K21" s="493" t="s">
        <v>417</v>
      </c>
      <c r="L21" s="417" t="s">
        <v>405</v>
      </c>
      <c r="M21" s="375">
        <f>SUM(N21:AD21)</f>
        <v>0</v>
      </c>
      <c r="N21" s="466" t="n">
        <v>0</v>
      </c>
      <c r="O21" s="466">
        <f>N21</f>
        <v>0</v>
      </c>
      <c r="P21" s="466">
        <f>O21</f>
        <v>0</v>
      </c>
      <c r="Q21" s="466">
        <f>P21</f>
        <v>0</v>
      </c>
      <c r="R21" s="466">
        <f>Q21</f>
        <v>0</v>
      </c>
      <c r="S21" s="466">
        <f>R21</f>
        <v>0</v>
      </c>
      <c r="T21" s="466">
        <f>S21</f>
        <v>0</v>
      </c>
      <c r="U21" s="466">
        <f>T21</f>
        <v>0</v>
      </c>
      <c r="V21" s="466">
        <f>U21</f>
        <v>0</v>
      </c>
      <c r="W21" s="466">
        <f>V21</f>
        <v>0</v>
      </c>
      <c r="X21" s="466">
        <f>W21</f>
        <v>0</v>
      </c>
      <c r="Y21" s="466">
        <f>X21</f>
        <v>0</v>
      </c>
      <c r="Z21" s="466">
        <f>Y21</f>
        <v>0</v>
      </c>
      <c r="AA21" s="466">
        <f>Z21</f>
        <v>0</v>
      </c>
      <c r="AB21" s="466">
        <f>AA21</f>
        <v>0</v>
      </c>
      <c r="AC21" s="466">
        <f>AB21</f>
        <v>0</v>
      </c>
      <c r="AD21" s="414">
        <f>AC21</f>
        <v>0</v>
      </c>
    </row>
    <row r="22" spans="4:30">
      <c r="D22" s="373" t="s">
        <v>410</v>
      </c>
      <c r="E22" s="374">
        <f>M8+M9</f>
        <v>14322704</v>
      </c>
      <c r="F22" s="49">
        <f>E22/E35</f>
        <v>0.152202214326038998</v>
      </c>
      <c r="G22" s="361" t="s">
        <v>439</v>
      </c>
      <c r="H22" s="405">
        <f>SUM(H23:H24)</f>
        <v>0</v>
      </c>
      <c r="I22" s="363">
        <f>H22/$H$35</f>
        <v>0</v>
      </c>
      <c r="K22" s="494"/>
      <c r="L22" s="417" t="s">
        <v>440</v>
      </c>
      <c r="M22" s="375">
        <f>SUM(N22:AD22)</f>
        <v>89000</v>
      </c>
      <c r="N22" s="466" t="n">
        <v>12000</v>
      </c>
      <c r="O22" s="466" t="n">
        <v>3000</v>
      </c>
      <c r="P22" s="466" t="n">
        <v>0</v>
      </c>
      <c r="Q22" s="466" t="n">
        <v>0</v>
      </c>
      <c r="R22" s="466" t="n">
        <v>3000</v>
      </c>
      <c r="S22" s="466">
        <f>R22</f>
        <v>3000</v>
      </c>
      <c r="T22" s="466" t="n">
        <v>0</v>
      </c>
      <c r="U22" s="466" t="n">
        <v>0</v>
      </c>
      <c r="V22" s="466" t="n">
        <v>6000</v>
      </c>
      <c r="W22" s="466" t="n">
        <v>4000</v>
      </c>
      <c r="X22" s="466" t="n">
        <v>7000</v>
      </c>
      <c r="Y22" s="466" t="n">
        <v>8000</v>
      </c>
      <c r="Z22" s="466" t="n">
        <v>6000</v>
      </c>
      <c r="AA22" s="466" t="n">
        <v>7000</v>
      </c>
      <c r="AB22" s="466" t="n">
        <v>7000</v>
      </c>
      <c r="AC22" s="466" t="n">
        <v>12000</v>
      </c>
      <c r="AD22" s="414" t="n">
        <v>11000</v>
      </c>
    </row>
    <row r="23" spans="3:30">
      <c r="C23" s="381"/>
      <c r="D23" s="370"/>
      <c r="E23" s="433"/>
      <c r="F23"/>
      <c r="G23" s="379" t="s">
        <v>402</v>
      </c>
      <c r="H23" s="442">
        <f>M17</f>
        <v>0</v>
      </c>
      <c r="I23" s="367">
        <f>H23/$H$35</f>
        <v>0</v>
      </c>
      <c r="K23" s="495"/>
      <c r="L23" s="417" t="s">
        <v>441</v>
      </c>
      <c r="M23" s="375">
        <f>SUM(N23:AD23)</f>
        <v>513593</v>
      </c>
      <c r="N23" s="466" t="n">
        <v>0</v>
      </c>
      <c r="O23" s="466">
        <f>N23</f>
        <v>0</v>
      </c>
      <c r="P23" s="466">
        <f>O23</f>
        <v>0</v>
      </c>
      <c r="Q23" s="466">
        <f>P23</f>
        <v>0</v>
      </c>
      <c r="R23" s="466">
        <f>Q23</f>
        <v>0</v>
      </c>
      <c r="S23" s="466">
        <f>R23</f>
        <v>0</v>
      </c>
      <c r="T23" s="466">
        <f>S23</f>
        <v>0</v>
      </c>
      <c r="U23" s="466">
        <f>T23</f>
        <v>0</v>
      </c>
      <c r="V23" s="466">
        <f>U23</f>
        <v>0</v>
      </c>
      <c r="W23" s="466">
        <f>V23</f>
        <v>0</v>
      </c>
      <c r="X23" s="466">
        <f>W23</f>
        <v>0</v>
      </c>
      <c r="Y23" s="466">
        <f>X23</f>
        <v>0</v>
      </c>
      <c r="Z23" s="466">
        <f>Y23</f>
        <v>0</v>
      </c>
      <c r="AA23" s="466">
        <f>Z23</f>
        <v>0</v>
      </c>
      <c r="AB23" s="466" t="n">
        <v>513593</v>
      </c>
      <c r="AC23" s="466" t="n">
        <v>0</v>
      </c>
      <c r="AD23" s="414" t="n">
        <v>0</v>
      </c>
    </row>
    <row r="24" spans="1:30">
      <c r="A24" s="382" t="str">
        <f>L15</f>
        <v>Sueldos</v>
      </c>
      <c r="B24" s="383">
        <f>M15/$M$25</f>
        <v>0.0571008956554630043</v>
      </c>
      <c r="C24" s="79"/>
      <c r="D24" s="361" t="s">
        <v>442</v>
      </c>
      <c r="E24" s="362">
        <f>E25+E26+E27</f>
        <v>19637656</v>
      </c>
      <c r="F24" s="432">
        <f>E24/E35</f>
        <v>0.208682294025835979</v>
      </c>
      <c r="G24" s="379" t="s">
        <v>405</v>
      </c>
      <c r="H24" s="442">
        <f>M21</f>
        <v>0</v>
      </c>
      <c r="I24" s="367">
        <f>H24/$H$35</f>
        <v>0</v>
      </c>
      <c r="K24" s="416" t="s">
        <v>443</v>
      </c>
      <c r="L24" s="417" t="str">
        <f>K24</f>
        <v>Intereses</v>
      </c>
      <c r="M24" s="375">
        <f>SUM(N24:AD24)</f>
        <v>0</v>
      </c>
      <c r="N24" s="466" t="n">
        <v>0</v>
      </c>
      <c r="O24" s="466">
        <f>N24</f>
        <v>0</v>
      </c>
      <c r="P24" s="466">
        <f>O24</f>
        <v>0</v>
      </c>
      <c r="Q24" s="466">
        <f>P24</f>
        <v>0</v>
      </c>
      <c r="R24" s="466">
        <f>Q24</f>
        <v>0</v>
      </c>
      <c r="S24" s="466">
        <f>R24</f>
        <v>0</v>
      </c>
      <c r="T24" s="414">
        <f>S24</f>
        <v>0</v>
      </c>
      <c r="U24" s="414">
        <f>T24</f>
        <v>0</v>
      </c>
      <c r="V24" s="414">
        <f>U24</f>
        <v>0</v>
      </c>
      <c r="W24" s="414">
        <f>V24</f>
        <v>0</v>
      </c>
      <c r="X24" s="466">
        <f>W24</f>
        <v>0</v>
      </c>
      <c r="Y24" s="466">
        <f>X24</f>
        <v>0</v>
      </c>
      <c r="Z24" s="466">
        <f>Y24</f>
        <v>0</v>
      </c>
      <c r="AA24" s="466">
        <f>Z24</f>
        <v>0</v>
      </c>
      <c r="AB24" s="466">
        <f>AA24</f>
        <v>0</v>
      </c>
      <c r="AC24" s="466">
        <f>AB24</f>
        <v>0</v>
      </c>
      <c r="AD24" s="414">
        <f>AC24</f>
        <v>0</v>
      </c>
    </row>
    <row r="25" spans="1:30">
      <c r="A25" s="382" t="str">
        <f>L16</f>
        <v>Mantenimiento </v>
      </c>
      <c r="B25" s="383">
        <f>M16/$M$25</f>
        <v>0.0361670248202329958</v>
      </c>
      <c r="C25" s="348"/>
      <c r="D25" s="392" t="s">
        <v>444</v>
      </c>
      <c r="E25" s="393">
        <f>N5</f>
        <v>12151249</v>
      </c>
      <c r="F25" s="49">
        <f>E25/E35</f>
        <v>0.129126944509015985</v>
      </c>
      <c r="G25" s="372"/>
      <c r="H25" s="347"/>
      <c r="I25" s="367"/>
      <c r="K25" s="418" t="s">
        <v>445</v>
      </c>
      <c r="L25" s="419"/>
      <c r="M25" s="380">
        <f>SUM(N25:AD25)</f>
        <v>23077624</v>
      </c>
      <c r="N25" s="415">
        <f>SUM(N15:N24)</f>
        <v>1717665</v>
      </c>
      <c r="O25" s="415">
        <f>SUM(O15:O24)</f>
        <v>5839259</v>
      </c>
      <c r="P25" s="415">
        <f>SUM(P15:P24)</f>
        <v>219549</v>
      </c>
      <c r="Q25" s="415">
        <f>SUM(Q15:Q24)</f>
        <v>219259</v>
      </c>
      <c r="R25" s="415">
        <f>SUM(R15:R24)</f>
        <v>223371</v>
      </c>
      <c r="S25" s="415">
        <f>SUM(S15:S24)</f>
        <v>223803</v>
      </c>
      <c r="T25" s="415">
        <f>SUM(T15:T24)</f>
        <v>219803</v>
      </c>
      <c r="U25" s="415">
        <f>SUM(U15:U24)</f>
        <v>218803</v>
      </c>
      <c r="V25" s="415">
        <f>SUM(V15:V24)</f>
        <v>222377</v>
      </c>
      <c r="W25" s="415">
        <f>SUM(W15:W24)</f>
        <v>211679</v>
      </c>
      <c r="X25" s="415">
        <f>SUM(X15:X24)</f>
        <v>212603</v>
      </c>
      <c r="Y25" s="415">
        <f>SUM(Y15:Y24)</f>
        <v>2965091</v>
      </c>
      <c r="Z25" s="415">
        <f>SUM(Z15:Z24)</f>
        <v>208217</v>
      </c>
      <c r="AA25" s="415">
        <f>SUM(AA15:AA24)</f>
        <v>206510</v>
      </c>
      <c r="AB25" s="415">
        <f>SUM(AB15:AB24)</f>
        <v>4626973</v>
      </c>
      <c r="AC25" s="415">
        <f>SUM(AC15:AC24)</f>
        <v>5322817</v>
      </c>
      <c r="AD25" s="415">
        <f>SUM(AD15:AD24)</f>
        <v>219845</v>
      </c>
    </row>
    <row r="26" spans="1:30">
      <c r="A26" s="382" t="str">
        <f>L17</f>
        <v>Estadio</v>
      </c>
      <c r="B26" s="383">
        <f>M17/$M$25</f>
        <v>0</v>
      </c>
      <c r="C26" s="8"/>
      <c r="D26" s="392" t="str">
        <f>D12</f>
        <v>Ing Reservas</v>
      </c>
      <c r="E26" s="393">
        <f>M13</f>
        <v>8000000</v>
      </c>
      <c r="F26" s="49">
        <f>E26/E35</f>
        <v>0.0850131172583270001</v>
      </c>
      <c r="G26" s="361" t="s">
        <v>446</v>
      </c>
      <c r="H26" s="405">
        <f>SUM(H27:H32)</f>
        <v>3691162</v>
      </c>
      <c r="I26" s="363">
        <f>H26/$H$35</f>
        <v>0.0392246484906849968</v>
      </c>
      <c r="K26" s="384" t="s">
        <v>447</v>
      </c>
      <c r="L26" s="384"/>
      <c r="M26" s="356">
        <f>M5+M14-M25</f>
        <v>21390492</v>
      </c>
      <c r="N26" s="356">
        <f>N5+N14-N25</f>
        <v>16853431</v>
      </c>
      <c r="O26" s="356">
        <f>O5+O14-O25</f>
        <v>11755916</v>
      </c>
      <c r="P26" s="356">
        <f>P5+P14-P25</f>
        <v>12415332</v>
      </c>
      <c r="Q26" s="356">
        <f>Q5+Q14-Q25</f>
        <v>13710711</v>
      </c>
      <c r="R26" s="356">
        <f>R5+R14-R25</f>
        <v>14306291</v>
      </c>
      <c r="S26" s="356">
        <f>S5+S14-S25</f>
        <v>16625519</v>
      </c>
      <c r="T26" s="356">
        <f>T5+T14-T25</f>
        <v>17494225</v>
      </c>
      <c r="U26" s="356">
        <f>U5+U14-U25</f>
        <v>18095097</v>
      </c>
      <c r="V26" s="356">
        <f>V5+V14-V25</f>
        <v>19111395</v>
      </c>
      <c r="W26" s="356">
        <f>W5+W14-W25</f>
        <v>19795165</v>
      </c>
      <c r="X26" s="356">
        <f>X5+X14-X25</f>
        <v>22086424</v>
      </c>
      <c r="Y26" s="356">
        <f>Y5+Y14-Y25</f>
        <v>19890687</v>
      </c>
      <c r="Z26" s="356">
        <f>Z5+Z14-Z25</f>
        <v>24708589</v>
      </c>
      <c r="AA26" s="356">
        <f>AA5+AA14-AA25</f>
        <v>25679641</v>
      </c>
      <c r="AB26" s="356">
        <f>AB5+AB14-AB25</f>
        <v>21403306</v>
      </c>
      <c r="AC26" s="356">
        <f>AC5+AC14-AC25</f>
        <v>20568388</v>
      </c>
      <c r="AD26" s="356">
        <f>AD5+AD14-AD25</f>
        <v>21390492</v>
      </c>
    </row>
    <row r="27" spans="1:30">
      <c r="A27" s="382" t="str">
        <f>L18</f>
        <v>Empleados</v>
      </c>
      <c r="B27" s="383">
        <f>M18/$M$25</f>
        <v>0.0480881394029129972</v>
      </c>
      <c r="C27" s="7"/>
      <c r="D27" s="392" t="str">
        <f>D13</f>
        <v>Pago Reservas</v>
      </c>
      <c r="E27" s="393">
        <f>M23*-1</f>
        <v>-513593</v>
      </c>
      <c r="F27" s="49">
        <f>E27/E35</f>
        <v>-0.00545776774150700028</v>
      </c>
      <c r="G27" s="379" t="s">
        <v>448</v>
      </c>
      <c r="H27" s="442">
        <f>M15</f>
        <v>1317753</v>
      </c>
      <c r="I27" s="367">
        <f>H27/$H$35</f>
        <v>0.0140032862883139986</v>
      </c>
      <c r="K27" s="385"/>
      <c r="L27" s="385"/>
      <c r="M27" s="385"/>
      <c r="N27" s="386">
        <f>N1+7</f>
        <v>43644</v>
      </c>
      <c r="O27" s="386">
        <f>N27+7</f>
        <v>43651</v>
      </c>
      <c r="P27" s="386">
        <f>O27+7</f>
        <v>43658</v>
      </c>
      <c r="Q27" s="386">
        <f>P27+7</f>
        <v>43665</v>
      </c>
      <c r="R27" s="386">
        <f>Q27+7</f>
        <v>43672</v>
      </c>
      <c r="S27" s="386">
        <f>R27+7</f>
        <v>43679</v>
      </c>
      <c r="T27" s="386">
        <f>S27+7</f>
        <v>43686</v>
      </c>
      <c r="U27" s="386">
        <f>T27+7</f>
        <v>43693</v>
      </c>
      <c r="V27" s="386">
        <f>U27+7</f>
        <v>43700</v>
      </c>
      <c r="W27" s="386">
        <f>V27+7</f>
        <v>43707</v>
      </c>
      <c r="X27" s="386">
        <f>W27+7</f>
        <v>43714</v>
      </c>
      <c r="Y27" s="386">
        <f>X27+7</f>
        <v>43721</v>
      </c>
      <c r="Z27" s="386">
        <f>Y27+7</f>
        <v>43728</v>
      </c>
      <c r="AA27" s="386">
        <f>Z27+7</f>
        <v>43735</v>
      </c>
      <c r="AB27" s="386">
        <f>AA27+7</f>
        <v>43742</v>
      </c>
      <c r="AC27" s="386">
        <f>AB27+7</f>
        <v>43749</v>
      </c>
      <c r="AD27" s="386">
        <f>AC27+7</f>
        <v>43756</v>
      </c>
    </row>
    <row r="28" spans="1:30">
      <c r="A28" s="382" t="str">
        <f>L19</f>
        <v>Juveniles</v>
      </c>
      <c r="B28" s="383">
        <f>M19/$M$25</f>
        <v>0.0147328858464810004</v>
      </c>
      <c r="C28" s="8"/>
      <c r="D28" s="372"/>
      <c r="E28" s="376"/>
      <c r="F28" s="49"/>
      <c r="G28" s="379" t="s">
        <v>430</v>
      </c>
      <c r="H28" s="442">
        <f>M16</f>
        <v>834649</v>
      </c>
      <c r="I28" s="367">
        <f>H28/$H$35</f>
        <v>0.00886951416331799969</v>
      </c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  <c r="AA28" s="387"/>
      <c r="AB28" s="387"/>
      <c r="AC28" s="387"/>
      <c r="AD28" s="387"/>
    </row>
    <row r="29" spans="1:30">
      <c r="A29" s="382" t="str">
        <f>L20</f>
        <v>Compra</v>
      </c>
      <c r="B29" s="383">
        <f>M20/$M$25</f>
        <v>0.817799484037004909</v>
      </c>
      <c r="D29" s="361" t="s">
        <v>449</v>
      </c>
      <c r="E29" s="362">
        <f>SUM(E30:E34)</f>
        <v>9994163</v>
      </c>
      <c r="F29" s="432">
        <f>E29/E35</f>
        <v>0.106204368877228994</v>
      </c>
      <c r="G29" s="379" t="s">
        <v>434</v>
      </c>
      <c r="H29" s="442">
        <f>M18</f>
        <v>1109760</v>
      </c>
      <c r="I29" s="367">
        <f>H29/$H$35</f>
        <v>0.0117930196260749987</v>
      </c>
      <c r="K29" s="388"/>
      <c r="L29" s="388"/>
      <c r="M29" s="389" t="s">
        <v>425</v>
      </c>
      <c r="N29" s="390"/>
      <c r="O29" s="390" t="n">
        <v>22</v>
      </c>
      <c r="P29" s="390" t="n">
        <v>25</v>
      </c>
      <c r="Q29" s="390" t="n">
        <v>24</v>
      </c>
      <c r="R29" s="390" t="n">
        <v>25</v>
      </c>
      <c r="S29" s="390" t="n">
        <v>24</v>
      </c>
      <c r="T29" s="390"/>
      <c r="U29" s="390"/>
      <c r="V29" s="390"/>
      <c r="W29" s="390"/>
      <c r="X29" s="390"/>
      <c r="Y29" s="390" t="n">
        <v>22</v>
      </c>
      <c r="Z29" s="390"/>
      <c r="AA29" s="390"/>
      <c r="AB29" s="390"/>
      <c r="AC29" s="390"/>
      <c r="AD29" s="390" t="n">
        <v>21</v>
      </c>
    </row>
    <row r="30" spans="1:30">
      <c r="A30" s="382" t="str">
        <f>L21</f>
        <v>Entrenador</v>
      </c>
      <c r="B30" s="383">
        <f>M21/$M$25</f>
        <v>0</v>
      </c>
      <c r="D30" s="392" t="s">
        <v>397</v>
      </c>
      <c r="E30" s="393">
        <f>M11</f>
        <v>194700</v>
      </c>
      <c r="F30" s="49">
        <f>E30/E35</f>
        <v>0.00206900674127500039</v>
      </c>
      <c r="G30" s="379" t="s">
        <v>437</v>
      </c>
      <c r="H30" s="442">
        <f>M19</f>
        <v>340000</v>
      </c>
      <c r="I30" s="367">
        <f>H30/$H$35</f>
        <v>0.00361305748347899947</v>
      </c>
      <c r="K30" s="8"/>
      <c r="L30" s="496" t="s">
        <v>450</v>
      </c>
      <c r="M30" s="391" t="s">
        <v>103</v>
      </c>
      <c r="N30" s="390"/>
      <c r="O30" s="390" t="n">
        <v>345970</v>
      </c>
      <c r="P30" s="390" t="n">
        <v>414040</v>
      </c>
      <c r="Q30" s="390" t="n">
        <v>409350</v>
      </c>
      <c r="R30" s="390" t="n">
        <v>405290</v>
      </c>
      <c r="S30" s="390" t="n">
        <v>401840</v>
      </c>
      <c r="T30" s="390"/>
      <c r="U30" s="390"/>
      <c r="V30" s="390"/>
      <c r="W30" s="390"/>
      <c r="X30" s="390"/>
      <c r="Y30" s="390" t="n">
        <v>384850</v>
      </c>
      <c r="Z30" s="390"/>
      <c r="AA30" s="390"/>
      <c r="AB30" s="390"/>
      <c r="AC30" s="390"/>
      <c r="AD30" s="390" t="n">
        <v>430160</v>
      </c>
    </row>
    <row r="31" spans="1:30">
      <c r="A31" s="382" t="str">
        <f>L22</f>
        <v>Viajes+Venta</v>
      </c>
      <c r="B31" s="383">
        <f>M22/$M$25</f>
        <v>0.00385654953040200041</v>
      </c>
      <c r="D31" s="392" t="s">
        <v>420</v>
      </c>
      <c r="E31" s="393">
        <f>M12</f>
        <v>1215000</v>
      </c>
      <c r="F31" s="49">
        <f>E31/E35</f>
        <v>0.0129113671836080002</v>
      </c>
      <c r="G31" s="379" t="s">
        <v>440</v>
      </c>
      <c r="H31" s="442">
        <f>M22</f>
        <v>89000</v>
      </c>
      <c r="I31" s="367">
        <f>H31/$H$35</f>
        <v>0.00094577092949899999</v>
      </c>
      <c r="K31" s="8"/>
      <c r="L31" s="496"/>
      <c r="M31" s="391" t="s">
        <v>354</v>
      </c>
      <c r="N31" s="390"/>
      <c r="O31" s="390" t="n">
        <v>79566</v>
      </c>
      <c r="P31" s="390" t="n">
        <v>84872</v>
      </c>
      <c r="Q31" s="390" t="n">
        <v>85038</v>
      </c>
      <c r="R31" s="390" t="n">
        <v>86476</v>
      </c>
      <c r="S31" s="390" t="n">
        <v>86476</v>
      </c>
      <c r="T31" s="390"/>
      <c r="U31" s="390"/>
      <c r="V31" s="390"/>
      <c r="W31" s="390"/>
      <c r="X31" s="390"/>
      <c r="Y31" s="390" t="n">
        <v>70794</v>
      </c>
      <c r="Z31" s="390"/>
      <c r="AA31" s="390"/>
      <c r="AB31" s="390"/>
      <c r="AC31" s="390"/>
      <c r="AD31" s="390" t="n">
        <v>73878</v>
      </c>
    </row>
    <row r="32" spans="1:30">
      <c r="A32" s="382" t="str">
        <f>L24</f>
        <v>Intereses</v>
      </c>
      <c r="B32" s="383">
        <f>M24/$M$25</f>
        <v>0</v>
      </c>
      <c r="D32" s="392" t="s">
        <v>404</v>
      </c>
      <c r="E32" s="393">
        <f>M6</f>
        <v>3664610</v>
      </c>
      <c r="F32" s="49">
        <f>E32/E35</f>
        <v>0.0389424899545049996</v>
      </c>
      <c r="G32" s="379" t="s">
        <v>443</v>
      </c>
      <c r="H32" s="442">
        <f>M24</f>
        <v>0</v>
      </c>
      <c r="I32" s="367">
        <f>H32/$H$35</f>
        <v>0</v>
      </c>
      <c r="K32" s="8"/>
      <c r="L32" s="496"/>
      <c r="M32" s="391" t="s">
        <v>451</v>
      </c>
      <c r="N32" s="390"/>
      <c r="O32" s="390" t="n">
        <v>280250</v>
      </c>
      <c r="P32" s="390" t="n">
        <v>325260</v>
      </c>
      <c r="Q32" s="390" t="n">
        <v>321450</v>
      </c>
      <c r="R32" s="390" t="n">
        <v>315120</v>
      </c>
      <c r="S32" s="390" t="n">
        <v>307290</v>
      </c>
      <c r="T32" s="390"/>
      <c r="U32" s="390"/>
      <c r="V32" s="390"/>
      <c r="W32" s="390"/>
      <c r="X32" s="390"/>
      <c r="Y32" s="390" t="n">
        <v>304820</v>
      </c>
      <c r="Z32" s="390"/>
      <c r="AA32" s="390"/>
      <c r="AB32" s="390"/>
      <c r="AC32" s="390"/>
      <c r="AD32" s="390" t="n">
        <v>348580</v>
      </c>
    </row>
    <row r="33" spans="1:30">
      <c r="A33" s="8"/>
      <c r="B33" s="395">
        <f>SUM(B24:B32)</f>
        <v>0.977744979292497085</v>
      </c>
      <c r="D33" s="392" t="s">
        <v>407</v>
      </c>
      <c r="E33" s="393">
        <f>M7</f>
        <v>4298979</v>
      </c>
      <c r="F33" s="49">
        <f>E33/E35</f>
        <v>0.0456837007272610052</v>
      </c>
      <c r="G33" s="372"/>
      <c r="H33" s="347"/>
      <c r="I33" s="367"/>
      <c r="K33" s="8"/>
      <c r="L33" s="496"/>
      <c r="M33" s="391" t="s">
        <v>452</v>
      </c>
      <c r="N33" s="390"/>
      <c r="O33" s="390" t="n">
        <v>65410</v>
      </c>
      <c r="P33" s="390" t="n">
        <v>60046</v>
      </c>
      <c r="Q33" s="390" t="n">
        <v>58040</v>
      </c>
      <c r="R33" s="390" t="n">
        <v>59634</v>
      </c>
      <c r="S33" s="390" t="n">
        <v>58794</v>
      </c>
      <c r="T33" s="390"/>
      <c r="U33" s="390"/>
      <c r="V33" s="390"/>
      <c r="W33" s="390"/>
      <c r="X33" s="390"/>
      <c r="Y33" s="390" t="n">
        <v>52440</v>
      </c>
      <c r="Z33" s="390"/>
      <c r="AA33" s="390"/>
      <c r="AB33" s="390"/>
      <c r="AC33" s="390"/>
      <c r="AD33" s="390" t="n">
        <v>50018</v>
      </c>
    </row>
    <row r="34" spans="1:30">
      <c r="A34" s="7"/>
      <c r="B34" s="397"/>
      <c r="D34" s="434" t="s">
        <v>414</v>
      </c>
      <c r="E34" s="435">
        <f>M10</f>
        <v>620874</v>
      </c>
      <c r="F34" s="49">
        <f>E34/E35</f>
        <v>0.00659780427058099939</v>
      </c>
      <c r="G34" s="446"/>
      <c r="H34" s="447"/>
      <c r="I34" s="445"/>
      <c r="K34" s="8"/>
      <c r="L34" s="496"/>
      <c r="M34" s="391" t="s">
        <v>453</v>
      </c>
      <c r="N34" s="394"/>
      <c r="O34" s="394" t="s">
        <v>454</v>
      </c>
      <c r="P34" s="394" t="s">
        <v>455</v>
      </c>
      <c r="Q34" s="394" t="s">
        <v>456</v>
      </c>
      <c r="R34" s="394" t="s">
        <v>457</v>
      </c>
      <c r="S34" s="394" t="s">
        <v>458</v>
      </c>
      <c r="T34" s="394"/>
      <c r="U34" s="394"/>
      <c r="V34" s="394"/>
      <c r="W34" s="394"/>
      <c r="X34" s="394"/>
      <c r="Y34" s="394" t="s">
        <v>459</v>
      </c>
      <c r="Z34" s="394"/>
      <c r="AA34" s="394"/>
      <c r="AB34" s="394"/>
      <c r="AC34" s="394"/>
      <c r="AD34" s="394" t="s">
        <v>460</v>
      </c>
    </row>
    <row r="35" spans="1:30">
      <c r="A35" s="497">
        <f>M25</f>
        <v>23077624</v>
      </c>
      <c r="B35" s="497"/>
      <c r="D35" s="436" t="s">
        <v>461</v>
      </c>
      <c r="E35" s="437">
        <f>E29+E21+E15+E5+E10+E24</f>
        <v>94103125</v>
      </c>
      <c r="F35" s="398">
        <f>F29+F21+F15+F5+F10+F24</f>
        <v>1</v>
      </c>
      <c r="G35" s="436" t="s">
        <v>461</v>
      </c>
      <c r="H35" s="437">
        <f>H26+H18+H10+H5+H22</f>
        <v>94103125</v>
      </c>
      <c r="I35" s="444">
        <f>H35/$H$35</f>
        <v>1</v>
      </c>
      <c r="K35" s="8"/>
      <c r="L35" s="496"/>
      <c r="M35" s="391" t="s">
        <v>462</v>
      </c>
      <c r="N35" s="396"/>
      <c r="O35" s="396" t="n">
        <v>5.5</v>
      </c>
      <c r="P35" s="396" t="n">
        <v>5.75</v>
      </c>
      <c r="Q35" s="396" t="n">
        <v>5.5</v>
      </c>
      <c r="R35" s="396" t="n">
        <v>5.5</v>
      </c>
      <c r="S35" s="396" t="n">
        <v>5.25</v>
      </c>
      <c r="T35" s="396"/>
      <c r="U35" s="396"/>
      <c r="V35" s="396"/>
      <c r="W35" s="396"/>
      <c r="X35" s="396"/>
      <c r="Y35" s="396" t="n">
        <v>5</v>
      </c>
      <c r="Z35" s="396"/>
      <c r="AA35" s="396"/>
      <c r="AB35" s="396"/>
      <c r="AC35" s="396"/>
      <c r="AD35" s="396" t="n">
        <v>5.5</v>
      </c>
    </row>
    <row r="36" spans="5:30">
      <c r="E36" s="347"/>
      <c r="F36" s="399"/>
      <c r="G36" s="400"/>
      <c r="H36" s="401">
        <f>E35-H35</f>
        <v>0</v>
      </c>
      <c r="I36" s="347"/>
      <c r="K36" s="8"/>
      <c r="L36" s="496"/>
      <c r="M36" s="391" t="s">
        <v>463</v>
      </c>
      <c r="N36" s="396"/>
      <c r="O36" s="396" t="n">
        <v>5.5</v>
      </c>
      <c r="P36" s="396" t="n">
        <v>6</v>
      </c>
      <c r="Q36" s="396" t="n">
        <v>6.25</v>
      </c>
      <c r="R36" s="396" t="n">
        <v>6</v>
      </c>
      <c r="S36" s="396" t="n">
        <v>5.75</v>
      </c>
      <c r="T36" s="396"/>
      <c r="U36" s="396"/>
      <c r="V36" s="396"/>
      <c r="W36" s="396"/>
      <c r="X36" s="396"/>
      <c r="Y36" s="396" t="n">
        <v>5.5</v>
      </c>
      <c r="Z36" s="396"/>
      <c r="AA36" s="396"/>
      <c r="AB36" s="396"/>
      <c r="AC36" s="396"/>
      <c r="AD36" s="396" t="n">
        <v>6</v>
      </c>
    </row>
    <row r="37" spans="5:30">
      <c r="E37" s="347"/>
      <c r="F37" s="347"/>
      <c r="H37" s="347"/>
      <c r="I37" s="347"/>
      <c r="K37" s="8"/>
      <c r="L37" s="496"/>
      <c r="M37" s="391" t="s">
        <v>464</v>
      </c>
      <c r="N37" s="396"/>
      <c r="O37" s="396" t="n">
        <v>11.75</v>
      </c>
      <c r="P37" s="396" t="n">
        <v>10.75</v>
      </c>
      <c r="Q37" s="396" t="n">
        <v>9.5</v>
      </c>
      <c r="R37" s="396" t="n">
        <v>9.75</v>
      </c>
      <c r="S37" s="396" t="n">
        <v>9.25</v>
      </c>
      <c r="T37" s="396"/>
      <c r="U37" s="396"/>
      <c r="V37" s="396"/>
      <c r="W37" s="396"/>
      <c r="X37" s="396"/>
      <c r="Y37" s="396" t="n">
        <v>8.25</v>
      </c>
      <c r="Z37" s="396"/>
      <c r="AA37" s="396"/>
      <c r="AB37" s="396"/>
      <c r="AC37" s="396"/>
      <c r="AD37" s="396" t="n">
        <v>5.25</v>
      </c>
    </row>
    <row r="38" spans="4:30">
      <c r="D38" s="403"/>
      <c r="E38" s="404"/>
      <c r="F38" s="347"/>
      <c r="G38" s="8"/>
      <c r="H38" s="405"/>
      <c r="I38" s="405"/>
      <c r="K38" s="8"/>
      <c r="L38" s="8"/>
      <c r="M38" s="351" t="s">
        <v>465</v>
      </c>
      <c r="N38" s="402"/>
      <c r="O38" s="402">
        <f>O30/O31</f>
        <v>4.34821406128245957</v>
      </c>
      <c r="P38" s="402">
        <f>P30/P31</f>
        <v>4.87840512772175039</v>
      </c>
      <c r="Q38" s="402">
        <f>Q30/Q31</f>
        <v>4.81373033232202019</v>
      </c>
      <c r="R38" s="402">
        <f>R30/R31</f>
        <v>4.68673389148433994</v>
      </c>
      <c r="S38" s="402">
        <f>S30/S31</f>
        <v>4.64683842915953971</v>
      </c>
      <c r="T38" s="402" t="e">
        <f>T30/T31</f>
        <v>#DIV/0!</v>
      </c>
      <c r="U38" s="402" t="e">
        <f>U30/U31</f>
        <v>#DIV/0!</v>
      </c>
      <c r="V38" s="402" t="e">
        <f>V30/V31</f>
        <v>#DIV/0!</v>
      </c>
      <c r="W38" s="402" t="e">
        <f>W30/W31</f>
        <v>#DIV/0!</v>
      </c>
      <c r="X38" s="402" t="e">
        <f>X30/X31</f>
        <v>#DIV/0!</v>
      </c>
      <c r="Y38" s="402">
        <f>Y30/Y31</f>
        <v>5.43619515778172957</v>
      </c>
      <c r="Z38" s="402" t="e">
        <f>Z30/Z31</f>
        <v>#DIV/0!</v>
      </c>
      <c r="AA38" s="402" t="e">
        <f>AA30/AA31</f>
        <v>#DIV/0!</v>
      </c>
      <c r="AB38" s="402" t="e">
        <f>AB30/AB31</f>
        <v>#DIV/0!</v>
      </c>
      <c r="AC38" s="402" t="e">
        <f>AC30/AC31</f>
        <v>#DIV/0!</v>
      </c>
      <c r="AD38" s="402">
        <f>AD30/AD31</f>
        <v>5.82257234900782006</v>
      </c>
    </row>
    <row r="39" spans="5:19">
      <c r="E39" s="405"/>
      <c r="F39" s="347"/>
      <c r="H39" s="347"/>
      <c r="I39" s="347"/>
      <c r="K39" s="8"/>
      <c r="L39" s="8"/>
      <c r="M39" s="8"/>
      <c r="N39" s="62"/>
      <c r="O39" s="346"/>
      <c r="P39" s="105"/>
      <c r="Q39" s="105"/>
      <c r="R39" s="105"/>
      <c r="S39" s="105"/>
    </row>
    <row r="40" spans="5:28">
      <c r="E40" s="347"/>
      <c r="F40" s="347"/>
      <c r="H40" s="347"/>
      <c r="I40" s="347"/>
      <c r="K40" s="8"/>
      <c r="L40" s="8"/>
      <c r="M40" s="8"/>
      <c r="N40" s="406"/>
      <c r="O40" s="406"/>
      <c r="P40" s="406"/>
      <c r="Q40" s="406"/>
      <c r="R40" s="406"/>
      <c r="S40" s="406"/>
      <c r="T40" s="406"/>
      <c r="U40" s="406"/>
      <c r="V40" s="406"/>
      <c r="W40" s="406"/>
      <c r="X40" s="406"/>
      <c r="Y40" s="406"/>
      <c r="AB40" s="407"/>
    </row>
    <row r="41" spans="11:30">
      <c r="K41" s="8"/>
      <c r="L41" s="8"/>
      <c r="M41" s="8"/>
      <c r="O41" s="346"/>
      <c r="P41" s="346"/>
      <c r="Q41" s="346"/>
      <c r="R41" s="346"/>
      <c r="S41" s="346"/>
      <c r="T41" s="346"/>
      <c r="U41" s="346"/>
      <c r="V41" s="346"/>
      <c r="W41" s="346"/>
      <c r="X41" s="346"/>
      <c r="Y41" s="468"/>
      <c r="Z41" s="346"/>
      <c r="AA41" s="346"/>
      <c r="AB41" s="468"/>
      <c r="AC41" s="468"/>
      <c r="AD41" s="346"/>
    </row>
    <row r="42" spans="11:22">
      <c r="K42" s="8"/>
      <c r="L42" s="8"/>
      <c r="M42" s="8"/>
      <c r="O42" s="346"/>
      <c r="P42" s="32"/>
      <c r="Q42" s="32"/>
      <c r="R42" s="32"/>
      <c r="S42" s="32"/>
      <c r="V42" s="407"/>
    </row>
    <row r="43" spans="11:19">
      <c r="K43" s="8"/>
      <c r="L43" s="8"/>
      <c r="M43" s="8"/>
      <c r="N43" s="407"/>
      <c r="O43" s="346"/>
      <c r="P43" s="32"/>
      <c r="Q43" s="32"/>
      <c r="R43" s="32"/>
      <c r="S43" s="32"/>
    </row>
    <row r="44" spans="11:25">
      <c r="K44" s="8"/>
      <c r="L44" s="8"/>
      <c r="M44" s="8"/>
      <c r="O44" s="346"/>
      <c r="P44" s="32"/>
      <c r="Q44" s="32"/>
      <c r="R44" s="32"/>
      <c r="S44" s="32"/>
      <c r="Y44" s="407"/>
    </row>
    <row r="45" spans="11:19">
      <c r="K45" s="8"/>
      <c r="L45" s="8"/>
      <c r="M45" s="8"/>
      <c r="O45" s="346"/>
      <c r="P45" s="32"/>
      <c r="Q45" s="32"/>
      <c r="R45" s="32"/>
      <c r="S45" s="408"/>
    </row>
    <row r="46" spans="11:15">
      <c r="K46" s="8"/>
      <c r="L46" s="8"/>
      <c r="M46" s="8"/>
      <c r="O46" s="346"/>
    </row>
    <row r="47" spans="11:15">
      <c r="K47" s="8"/>
      <c r="L47" s="8"/>
      <c r="M47" s="8"/>
      <c r="O47" s="346"/>
    </row>
    <row r="48" spans="11:15">
      <c r="K48" s="8"/>
      <c r="L48" s="8"/>
      <c r="M48" s="8"/>
      <c r="O48" s="346"/>
    </row>
    <row r="49" spans="11:15">
      <c r="K49" s="8"/>
      <c r="L49" s="8"/>
      <c r="M49" s="8"/>
      <c r="O49" s="346"/>
    </row>
    <row r="50" spans="11:15">
      <c r="K50" s="8"/>
      <c r="L50" s="8"/>
      <c r="M50" s="8"/>
      <c r="O50" s="346"/>
    </row>
    <row r="51" spans="11:15">
      <c r="K51" s="8"/>
      <c r="L51" s="8"/>
      <c r="M51" s="8"/>
      <c r="O51" s="346"/>
    </row>
    <row r="52" spans="11:15">
      <c r="K52" s="8"/>
      <c r="L52" s="8"/>
      <c r="M52" s="8"/>
      <c r="O52" s="346"/>
    </row>
    <row r="53" spans="11:15">
      <c r="K53" s="8"/>
      <c r="L53" s="8"/>
      <c r="M53" s="8"/>
      <c r="O53" s="346"/>
    </row>
    <row r="54" spans="11:15">
      <c r="K54" s="8"/>
      <c r="L54" s="8"/>
      <c r="M54" s="8"/>
      <c r="O54" s="346"/>
    </row>
    <row r="55" spans="11:15">
      <c r="K55" s="8"/>
      <c r="L55" s="8"/>
      <c r="M55" s="8"/>
      <c r="O55" s="346"/>
    </row>
    <row r="56" spans="11:15">
      <c r="K56" s="8"/>
      <c r="L56" s="8"/>
      <c r="M56" s="8"/>
      <c r="O56" s="346"/>
    </row>
    <row r="57" spans="11:15">
      <c r="K57" s="8"/>
      <c r="L57" s="8"/>
      <c r="M57" s="8"/>
      <c r="O57" s="346"/>
    </row>
    <row r="58" spans="11:15">
      <c r="K58" s="8"/>
      <c r="L58" s="8"/>
      <c r="M58" s="8"/>
      <c r="O58" s="346"/>
    </row>
    <row r="59" spans="11:15">
      <c r="K59" s="8"/>
      <c r="L59" s="8"/>
      <c r="M59" s="8"/>
      <c r="O59" s="346"/>
    </row>
    <row r="60" spans="11:15">
      <c r="K60" s="8"/>
      <c r="L60" s="8"/>
      <c r="M60" s="8"/>
      <c r="O60" s="346"/>
    </row>
    <row r="61" spans="11:15">
      <c r="K61" s="8"/>
      <c r="L61" s="8"/>
      <c r="M61" s="8"/>
      <c r="O61" s="346"/>
    </row>
    <row r="62" spans="11:15">
      <c r="K62" s="8"/>
      <c r="L62" s="8"/>
      <c r="M62" s="8"/>
      <c r="O62" s="346"/>
    </row>
    <row r="63" spans="11:15">
      <c r="K63" s="8"/>
      <c r="L63" s="8"/>
      <c r="M63" s="8"/>
      <c r="O63" s="346"/>
    </row>
    <row r="64" spans="11:15">
      <c r="K64" s="8"/>
      <c r="L64" s="8"/>
      <c r="M64" s="8"/>
      <c r="O64" s="346"/>
    </row>
    <row r="65" spans="11:15">
      <c r="K65" s="8"/>
      <c r="L65" s="8"/>
      <c r="M65" s="8"/>
      <c r="O65" s="346"/>
    </row>
    <row r="66" spans="11:15">
      <c r="K66" s="8"/>
      <c r="L66" s="8"/>
      <c r="M66" s="8"/>
      <c r="O66" s="346"/>
    </row>
    <row r="67" spans="11:15">
      <c r="K67" s="8"/>
      <c r="L67" s="8"/>
      <c r="M67" s="8"/>
      <c r="O67" s="346"/>
    </row>
    <row r="68" spans="11:15">
      <c r="K68" s="8"/>
      <c r="L68" s="8"/>
      <c r="M68" s="8"/>
      <c r="O68" s="346"/>
    </row>
    <row r="69" spans="11:15">
      <c r="K69" s="8"/>
      <c r="L69" s="8"/>
      <c r="M69" s="8"/>
      <c r="O69" s="346"/>
    </row>
    <row r="70" spans="11:15">
      <c r="K70" s="8"/>
      <c r="L70" s="8"/>
      <c r="M70" s="8"/>
      <c r="O70" s="346"/>
    </row>
    <row r="71" spans="11:15">
      <c r="K71" s="8"/>
      <c r="L71" s="8"/>
      <c r="M71" s="8"/>
      <c r="O71" s="346"/>
    </row>
    <row r="72" spans="11:15">
      <c r="K72" s="8"/>
      <c r="L72" s="8"/>
      <c r="M72" s="8"/>
      <c r="O72" s="346"/>
    </row>
    <row r="73" spans="11:15">
      <c r="K73" s="8"/>
      <c r="L73" s="8"/>
      <c r="M73" s="8"/>
      <c r="O73" s="346"/>
    </row>
    <row r="74" spans="11:15">
      <c r="K74" s="8"/>
      <c r="L74" s="8"/>
      <c r="M74" s="8"/>
      <c r="O74" s="346"/>
    </row>
    <row r="75" spans="11:15">
      <c r="K75" s="8"/>
      <c r="L75" s="8"/>
      <c r="M75" s="8"/>
      <c r="O75" s="346"/>
    </row>
    <row r="76" spans="11:15">
      <c r="K76" s="8"/>
      <c r="L76" s="8"/>
      <c r="M76" s="8"/>
      <c r="O76" s="346"/>
    </row>
    <row r="77" spans="11:15">
      <c r="K77" s="8"/>
      <c r="L77" s="8"/>
      <c r="M77" s="8"/>
      <c r="O77" s="346"/>
    </row>
    <row r="78" spans="11:15">
      <c r="K78" s="8"/>
      <c r="L78" s="8"/>
      <c r="M78" s="8"/>
      <c r="O78" s="346"/>
    </row>
    <row r="79" spans="11:15">
      <c r="K79" s="8"/>
      <c r="L79" s="8"/>
      <c r="M79" s="8"/>
      <c r="O79" s="346"/>
    </row>
    <row r="80" spans="11:15">
      <c r="K80" s="8"/>
      <c r="L80" s="8"/>
      <c r="M80" s="8"/>
      <c r="O80" s="346"/>
    </row>
    <row r="81" spans="11:15">
      <c r="K81" s="8"/>
      <c r="L81" s="8"/>
      <c r="M81" s="8"/>
      <c r="O81" s="346"/>
    </row>
  </sheetData>
  <mergeCells count="14">
    <mergeCell ref="D1:I1"/>
    <mergeCell ref="D2:I2"/>
    <mergeCell ref="D3:E3"/>
    <mergeCell ref="G3:H3"/>
    <mergeCell ref="K11:K13"/>
    <mergeCell ref="A15:B15"/>
    <mergeCell ref="K21:K23"/>
    <mergeCell ref="L30:L37"/>
    <mergeCell ref="A35:B35"/>
    <mergeCell ref="P39:Q39"/>
    <mergeCell ref="R39:S39"/>
    <mergeCell ref="P42:S42"/>
    <mergeCell ref="P44:S44"/>
    <mergeCell ref="P45:R45"/>
  </mergeCells>
  <conditionalFormatting sqref="E39">
    <cfRule type="cellIs" dxfId="40" priority="1" operator="greaterThan">
      <formula>0</formula>
    </cfRule>
  </conditionalFormatting>
  <conditionalFormatting sqref="E39">
    <cfRule type="cellIs" dxfId="41" priority="2" operator="lessThan">
      <formula>0</formula>
    </cfRule>
  </conditionalFormatting>
  <conditionalFormatting sqref="H38">
    <cfRule type="cellIs" dxfId="42" priority="3" operator="lessThan">
      <formula>0</formula>
    </cfRule>
  </conditionalFormatting>
  <conditionalFormatting sqref="H11:H16">
    <cfRule type="cellIs" dxfId="43" priority="4" operator="lessThan">
      <formula>0</formula>
    </cfRule>
  </conditionalFormatting>
  <conditionalFormatting sqref="H11:H16">
    <cfRule type="cellIs" dxfId="44" priority="5" operator="greaterThan">
      <formula>0</formula>
    </cfRule>
  </conditionalFormatting>
  <printOptions>
    <extLst>
      <ext uri="smNativeData">
        <pm:pageFlags xmlns:pm="smNativeData" id="1595601780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601780" l="56" r="56" t="56" b="56" borderId="0" fillId="0" vertical="0"/>
        <pm:footer xmlns:pm="smNativeData" id="1595601780" l="56" r="56" t="56" b="56" borderId="0" fillId="0" vertical="2"/>
      </ext>
    </extLst>
  </headerFooter>
  <legacyDrawing r:id="rId2"/>
  <extLst>
    <ext uri="smNativeData">
      <pm:sheetPrefs xmlns:pm="smNativeData" day="1595601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92CDDC"/>
  </sheetPr>
  <dimension ref="A1:CK60"/>
  <sheetViews>
    <sheetView view="normal" zoomScale="90" workbookViewId="0">
      <pane xSplit="17" ySplit="2" topLeftCell="R3" activePane="bottomRight" state="frozen"/>
      <selection pane="bottomRight" activeCell="D43" sqref="D43"/>
    </sheetView>
  </sheetViews>
  <sheetFormatPr baseColWidth="10" defaultColWidth="11.428571" defaultRowHeight="15.40"/>
  <cols>
    <col min="1" max="1" width="15.142857" customWidth="1"/>
    <col min="2" max="2" width="5.857143" customWidth="1"/>
    <col min="3" max="4" width="5.428571" customWidth="1"/>
    <col min="5" max="5" width="13.000000" customWidth="1"/>
    <col min="6" max="6" width="7.714286" customWidth="1" style="62"/>
    <col min="7" max="7" width="5.857143" customWidth="1"/>
    <col min="8" max="8" width="6.000000" customWidth="1"/>
    <col min="9" max="9" width="7.714286" customWidth="1"/>
    <col min="10" max="15" width="6.000000" customWidth="1"/>
    <col min="16" max="16" width="5.285714" customWidth="1"/>
    <col min="17" max="18" width="6.142857" customWidth="1"/>
    <col min="19" max="19" width="6.857143" customWidth="1"/>
    <col min="20" max="20" width="7.428571" customWidth="1"/>
    <col min="21" max="21" width="7.857143" customWidth="1"/>
    <col min="22" max="23" width="9.428571" customWidth="1"/>
    <col min="24" max="25" width="7.857143" customWidth="1"/>
    <col min="26" max="26" width="7.428571" customWidth="1"/>
    <col min="27" max="27" width="10.000000" customWidth="1"/>
    <col min="28" max="28" width="7.857143" customWidth="1"/>
    <col min="29" max="29" width="7.428571" customWidth="1"/>
    <col min="30" max="30" width="5.142857" customWidth="1"/>
    <col min="31" max="31" width="7.428571" customWidth="1"/>
    <col min="32" max="32" width="7.857143" customWidth="1"/>
    <col min="33" max="33" width="7.428571" customWidth="1"/>
    <col min="34" max="34" width="6.428571" customWidth="1"/>
    <col min="35" max="35" width="9.714286" customWidth="1"/>
    <col min="36" max="36" width="7.857143" customWidth="1"/>
    <col min="37" max="37" width="5.142857" customWidth="1"/>
    <col min="38" max="38" width="6.428571" customWidth="1"/>
    <col min="39" max="39" width="7.428571" customWidth="1"/>
    <col min="40" max="40" width="7.857143" customWidth="1"/>
    <col min="41" max="41" width="7.428571" customWidth="1"/>
    <col min="42" max="42" width="6.428571" customWidth="1"/>
    <col min="43" max="43" width="7.428571" customWidth="1"/>
    <col min="44" max="44" width="7.857143" customWidth="1"/>
    <col min="45" max="46" width="7.428571" customWidth="1"/>
    <col min="47" max="47" width="7.857143" customWidth="1"/>
    <col min="48" max="48" width="7.428571" customWidth="1"/>
    <col min="49" max="49" width="6.428571" customWidth="1"/>
    <col min="50" max="50" width="7.428571" customWidth="1"/>
    <col min="51" max="51" width="7.857143" customWidth="1"/>
    <col min="52" max="53" width="7.428571" customWidth="1"/>
    <col min="54" max="54" width="7.857143" customWidth="1"/>
    <col min="55" max="55" width="6.857143" customWidth="1"/>
    <col min="56" max="56" width="6.428571" customWidth="1"/>
    <col min="57" max="57" width="7.428571" customWidth="1"/>
    <col min="58" max="59" width="7.857143" customWidth="1"/>
    <col min="60" max="60" width="6.428571" customWidth="1"/>
    <col min="61" max="61" width="6.857143" customWidth="1"/>
    <col min="62" max="62" width="7.428571" customWidth="1"/>
    <col min="63" max="64" width="7.857143" customWidth="1"/>
    <col min="65" max="65" width="6.428571" customWidth="1"/>
    <col min="66" max="66" width="6.857143" customWidth="1"/>
    <col min="67" max="67" width="7.428571" customWidth="1"/>
    <col min="68" max="69" width="7.857143" customWidth="1"/>
    <col min="70" max="70" width="6.428571" customWidth="1"/>
    <col min="71" max="71" width="6.857143" customWidth="1"/>
    <col min="72" max="72" width="7.428571" customWidth="1"/>
    <col min="73" max="74" width="7.857143" customWidth="1"/>
    <col min="75" max="75" width="6.428571" customWidth="1"/>
    <col min="76" max="76" width="6.857143" customWidth="1"/>
    <col min="77" max="77" width="7.428571" customWidth="1"/>
    <col min="78" max="78" width="7.857143" customWidth="1"/>
    <col min="79" max="79" width="6.428571" customWidth="1"/>
    <col min="80" max="81" width="6.857143" customWidth="1"/>
    <col min="82" max="82" width="6.428571" customWidth="1"/>
    <col min="83" max="84" width="6.857143" customWidth="1"/>
    <col min="85" max="86" width="6.428571" customWidth="1"/>
    <col min="87" max="87" width="6.857143" customWidth="1"/>
    <col min="88" max="88" width="6.428571" customWidth="1"/>
    <col min="89" max="89" width="5.142857" customWidth="1"/>
  </cols>
  <sheetData>
    <row r="1" spans="1:86">
      <c r="A1" s="498" t="s">
        <v>466</v>
      </c>
      <c r="B1" s="498"/>
      <c r="C1" s="498"/>
      <c r="D1" s="498"/>
      <c r="E1" s="498"/>
      <c r="X1" t="s">
        <v>372</v>
      </c>
      <c r="AA1" t="s">
        <v>467</v>
      </c>
      <c r="AE1" t="s">
        <v>468</v>
      </c>
      <c r="AI1" t="s">
        <v>469</v>
      </c>
      <c r="AM1" t="s">
        <v>470</v>
      </c>
      <c r="AQ1" t="s">
        <v>471</v>
      </c>
      <c r="AX1" t="s">
        <v>472</v>
      </c>
      <c r="BE1" t="s">
        <v>473</v>
      </c>
      <c r="BJ1" t="s">
        <v>474</v>
      </c>
      <c r="BO1" t="s">
        <v>475</v>
      </c>
      <c r="BT1" t="s">
        <v>476</v>
      </c>
      <c r="BY1" t="s">
        <v>477</v>
      </c>
      <c r="CD1" t="s">
        <v>140</v>
      </c>
      <c r="CH1" t="s">
        <v>21</v>
      </c>
    </row>
    <row r="2" spans="1:89">
      <c r="A2" s="149" t="s">
        <v>87</v>
      </c>
      <c r="B2" s="149" t="s">
        <v>353</v>
      </c>
      <c r="C2" s="149" t="s">
        <v>89</v>
      </c>
      <c r="D2" s="150" t="s">
        <v>352</v>
      </c>
      <c r="E2" s="149" t="s">
        <v>478</v>
      </c>
      <c r="F2" s="151" t="s">
        <v>479</v>
      </c>
      <c r="G2" s="151" t="s">
        <v>101</v>
      </c>
      <c r="H2" s="151" t="s">
        <v>102</v>
      </c>
      <c r="I2" s="152" t="s">
        <v>99</v>
      </c>
      <c r="J2" s="153" t="s">
        <v>480</v>
      </c>
      <c r="K2" s="153" t="s">
        <v>14</v>
      </c>
      <c r="L2" s="153" t="s">
        <v>37</v>
      </c>
      <c r="M2" s="153" t="s">
        <v>196</v>
      </c>
      <c r="N2" s="153" t="s">
        <v>30</v>
      </c>
      <c r="O2" s="153" t="s">
        <v>198</v>
      </c>
      <c r="P2" s="153" t="s">
        <v>199</v>
      </c>
      <c r="Q2" s="153" t="s">
        <v>200</v>
      </c>
      <c r="R2" s="154" t="s">
        <v>481</v>
      </c>
      <c r="S2" s="154" t="s">
        <v>117</v>
      </c>
      <c r="T2" s="154" t="s">
        <v>482</v>
      </c>
      <c r="U2" s="154" t="s">
        <v>483</v>
      </c>
      <c r="V2" s="154" t="s">
        <v>121</v>
      </c>
      <c r="W2" s="154" t="s">
        <v>122</v>
      </c>
      <c r="X2" s="155" t="s">
        <v>484</v>
      </c>
      <c r="Y2" s="155" t="s">
        <v>485</v>
      </c>
      <c r="Z2" s="155" t="s">
        <v>484</v>
      </c>
      <c r="AA2" s="156" t="s">
        <v>484</v>
      </c>
      <c r="AB2" s="156" t="s">
        <v>485</v>
      </c>
      <c r="AC2" s="156" t="s">
        <v>484</v>
      </c>
      <c r="AD2" s="156" t="s">
        <v>28</v>
      </c>
      <c r="AE2" s="156" t="s">
        <v>484</v>
      </c>
      <c r="AF2" s="156" t="s">
        <v>485</v>
      </c>
      <c r="AG2" s="156" t="s">
        <v>484</v>
      </c>
      <c r="AH2" s="156" t="s">
        <v>28</v>
      </c>
      <c r="AI2" s="155" t="s">
        <v>484</v>
      </c>
      <c r="AJ2" s="155" t="s">
        <v>485</v>
      </c>
      <c r="AK2" s="155" t="s">
        <v>28</v>
      </c>
      <c r="AL2" s="155" t="s">
        <v>486</v>
      </c>
      <c r="AM2" s="155" t="s">
        <v>484</v>
      </c>
      <c r="AN2" s="155" t="s">
        <v>485</v>
      </c>
      <c r="AO2" s="155" t="s">
        <v>28</v>
      </c>
      <c r="AP2" s="155" t="s">
        <v>486</v>
      </c>
      <c r="AQ2" s="155" t="s">
        <v>484</v>
      </c>
      <c r="AR2" s="155" t="s">
        <v>485</v>
      </c>
      <c r="AS2" s="155" t="s">
        <v>484</v>
      </c>
      <c r="AT2" s="155" t="s">
        <v>28</v>
      </c>
      <c r="AU2" s="155" t="s">
        <v>486</v>
      </c>
      <c r="AV2" s="155" t="s">
        <v>487</v>
      </c>
      <c r="AW2" s="155" t="s">
        <v>486</v>
      </c>
      <c r="AX2" s="155" t="s">
        <v>484</v>
      </c>
      <c r="AY2" s="155" t="s">
        <v>485</v>
      </c>
      <c r="AZ2" s="155" t="s">
        <v>484</v>
      </c>
      <c r="BA2" s="155" t="s">
        <v>28</v>
      </c>
      <c r="BB2" s="155" t="s">
        <v>486</v>
      </c>
      <c r="BC2" s="155" t="s">
        <v>487</v>
      </c>
      <c r="BD2" s="155" t="s">
        <v>486</v>
      </c>
      <c r="BE2" s="156" t="s">
        <v>484</v>
      </c>
      <c r="BF2" s="156" t="s">
        <v>485</v>
      </c>
      <c r="BG2" s="156" t="s">
        <v>28</v>
      </c>
      <c r="BH2" s="156" t="s">
        <v>486</v>
      </c>
      <c r="BI2" s="156" t="s">
        <v>487</v>
      </c>
      <c r="BJ2" s="156" t="s">
        <v>484</v>
      </c>
      <c r="BK2" s="156" t="s">
        <v>485</v>
      </c>
      <c r="BL2" s="156" t="s">
        <v>28</v>
      </c>
      <c r="BM2" s="156" t="s">
        <v>486</v>
      </c>
      <c r="BN2" s="156" t="s">
        <v>487</v>
      </c>
      <c r="BO2" s="155" t="s">
        <v>484</v>
      </c>
      <c r="BP2" s="155" t="s">
        <v>485</v>
      </c>
      <c r="BQ2" s="155" t="s">
        <v>28</v>
      </c>
      <c r="BR2" s="155" t="s">
        <v>486</v>
      </c>
      <c r="BS2" s="155" t="s">
        <v>487</v>
      </c>
      <c r="BT2" s="155" t="s">
        <v>484</v>
      </c>
      <c r="BU2" s="155" t="s">
        <v>485</v>
      </c>
      <c r="BV2" s="155" t="s">
        <v>28</v>
      </c>
      <c r="BW2" s="155" t="s">
        <v>486</v>
      </c>
      <c r="BX2" s="155" t="s">
        <v>487</v>
      </c>
      <c r="BY2" s="155" t="s">
        <v>484</v>
      </c>
      <c r="BZ2" s="155" t="s">
        <v>485</v>
      </c>
      <c r="CA2" s="155" t="s">
        <v>28</v>
      </c>
      <c r="CB2" s="155" t="s">
        <v>486</v>
      </c>
      <c r="CC2" s="155" t="s">
        <v>487</v>
      </c>
      <c r="CD2" s="156" t="s">
        <v>28</v>
      </c>
      <c r="CE2" s="156" t="s">
        <v>486</v>
      </c>
      <c r="CF2" s="156" t="s">
        <v>487</v>
      </c>
      <c r="CG2" s="156" t="s">
        <v>486</v>
      </c>
      <c r="CH2" s="155" t="s">
        <v>486</v>
      </c>
      <c r="CI2" s="155" t="s">
        <v>487</v>
      </c>
      <c r="CJ2" s="155" t="s">
        <v>486</v>
      </c>
      <c r="CK2" s="155" t="s">
        <v>28</v>
      </c>
    </row>
    <row r="3" spans="1:89">
      <c r="A3" t="str">
        <f>Plantilla!D4</f>
        <v>D. Gehmacher</v>
      </c>
      <c r="B3" s="62">
        <f>Plantilla!E4</f>
        <v>38</v>
      </c>
      <c r="C3" s="102">
        <f>Plantilla!F4</f>
        <v>62</v>
      </c>
      <c r="D3" s="62">
        <f>Plantilla!G4</f>
        <v>0</v>
      </c>
      <c r="E3" s="211">
        <f>Plantilla!O4</f>
        <v>42468</v>
      </c>
      <c r="F3" s="102">
        <f>Plantilla!Q4</f>
        <v>7</v>
      </c>
      <c r="G3" s="122">
        <f>(F3/7)^0.5</f>
        <v>1</v>
      </c>
      <c r="H3" s="122">
        <f>IF(F3=7,1,((F3+0.99)/7)^0.5)</f>
        <v>1</v>
      </c>
      <c r="I3" s="157">
        <f>Plantilla!P4</f>
        <v>1</v>
      </c>
      <c r="J3" s="158">
        <f>Plantilla!I4</f>
        <v>25.5</v>
      </c>
      <c r="K3" s="53">
        <f>Plantilla!X4</f>
        <v>14.9499999999999993</v>
      </c>
      <c r="L3" s="53">
        <f>Plantilla!Y4</f>
        <v>9.94999999999999929</v>
      </c>
      <c r="M3" s="53">
        <f>Plantilla!Z4</f>
        <v>0.95</v>
      </c>
      <c r="N3" s="53">
        <f>Plantilla!AA4</f>
        <v>0</v>
      </c>
      <c r="O3" s="53">
        <f>Plantilla!AB4</f>
        <v>0</v>
      </c>
      <c r="P3" s="53">
        <f>Plantilla!AC4</f>
        <v>0</v>
      </c>
      <c r="Q3" s="53">
        <f>Plantilla!AD4</f>
        <v>17.9499999999999993</v>
      </c>
      <c r="R3" s="158">
        <f>((2*(O3+1))+(L3+1))/8</f>
        <v>1.61874999999999991</v>
      </c>
      <c r="S3" s="158">
        <f>1.66*(P3+(LOG(J3)*4/3)+I3)+0.55*(Q3+(LOG(J3)*4/3)+I3)-7.6</f>
        <v>8.62710506501210084</v>
      </c>
      <c r="T3" s="53">
        <f>(0.5*P3+0.3*Q3)/10</f>
        <v>0.538499999999999979</v>
      </c>
      <c r="U3" s="53">
        <f>(0.4*L3+0.3*Q3)/10</f>
        <v>0.936500000000000021</v>
      </c>
      <c r="V3" s="158">
        <f aca="1">IF(TODAY()-E3&gt;335,(Q3+1+(LOG(J3)*4/3))*(F3/7)^0.5,(Q3+((TODAY()-E3)^0.5)/(336^0.5)+(LOG(J3)*4/3))*(F3/7)^0.5)</f>
        <v>20.8253869072452993</v>
      </c>
      <c r="W3" s="158">
        <f aca="1">IF(F3=7,V3,IF(TODAY()-E3&gt;335,(Q3+1+(LOG(J3)*4/3))*((F3+0.99)/7)^0.5,(Q3+((TODAY()-E3)^0.5)/(336^0.5)+(LOG(J3)*4/3))*((F3+0.99)/7)^0.5))</f>
        <v>20.8253869072452993</v>
      </c>
      <c r="X3" s="76">
        <f>((K3+I3+(LOG(J3)*4/3))*0.597)+((L3+I3+(LOG(J3)*4/3))*0.276)</f>
        <v>14.1815627700250992</v>
      </c>
      <c r="Y3" s="76">
        <f>((K3+I3+(LOG(J3)*4/3))*0.866)+((L3+I3+(LOG(J3)*4/3))*0.425)</f>
        <v>20.8875744972536985</v>
      </c>
      <c r="Z3" s="76">
        <f>X3</f>
        <v>14.1815627700250992</v>
      </c>
      <c r="AA3" s="76">
        <f>((L3+I3+(LOG(J3)*4/3))*0.516)</f>
        <v>6.61789964413858023</v>
      </c>
      <c r="AB3" s="76">
        <f>(L3+I3+(LOG(J3)*4/3))*1</f>
        <v>12.8253869072452993</v>
      </c>
      <c r="AC3" s="76">
        <f>AA3/2</f>
        <v>3.30894982206929011</v>
      </c>
      <c r="AD3" s="76">
        <f>(M3+I3+(LOG(J3)*4/3))*0.238</f>
        <v>0.910442083924376888</v>
      </c>
      <c r="AE3" s="76">
        <f>((L3+I3+(LOG(J3)*4/3))*0.378)</f>
        <v>4.84799625093871978</v>
      </c>
      <c r="AF3" s="76">
        <f>(L3+I3+(LOG(J3)*4/3))*0.723</f>
        <v>9.27275473393834915</v>
      </c>
      <c r="AG3" s="76">
        <f>AE3/2</f>
        <v>2.42399812546935989</v>
      </c>
      <c r="AH3" s="76">
        <f>(M3+I3+(LOG(J3)*4/3))*0.385</f>
        <v>1.47277395928943005</v>
      </c>
      <c r="AI3" s="76">
        <f>((L3+I3+(LOG(J3)*4/3))*0.92)</f>
        <v>11.7993559546656996</v>
      </c>
      <c r="AJ3" s="76">
        <f>(L3+I3+(LOG(J3)*4/3))*0.414</f>
        <v>5.30971017959955027</v>
      </c>
      <c r="AK3" s="76">
        <f>((M3+I3+(LOG(J3)*4/3))*0.167)</f>
        <v>0.638839613509961968</v>
      </c>
      <c r="AL3" s="76">
        <f>(N3+I3+(LOG(J3)*4/3))*0.588</f>
        <v>1.69072750146022006</v>
      </c>
      <c r="AM3" s="76">
        <f>((L3+I3+(LOG(J3)*4/3))*0.754)</f>
        <v>9.67034172806295977</v>
      </c>
      <c r="AN3" s="76">
        <f>((L3+I3+(LOG(J3)*4/3))*0.708)</f>
        <v>9.08037393032967088</v>
      </c>
      <c r="AO3" s="76">
        <f>((Q3+I3+(LOG(J3)*4/3))*0.167)</f>
        <v>3.47783961350996984</v>
      </c>
      <c r="AP3" s="76">
        <f>((R3+I3+(LOG(J3)*4/3))*0.288)</f>
        <v>1.29431142928664</v>
      </c>
      <c r="AQ3" s="76">
        <f>((L3+I3+(LOG(J3)*4/3))*0.27)</f>
        <v>3.46285446495623006</v>
      </c>
      <c r="AR3" s="76">
        <f>((L3+I3+(LOG(J3)*4/3))*0.594)</f>
        <v>7.61827982290370986</v>
      </c>
      <c r="AS3" s="76">
        <f>AQ3/2</f>
        <v>1.73142723247811992</v>
      </c>
      <c r="AT3" s="76">
        <f>((M3+I3+(LOG(J3)*4/3))*0.944)</f>
        <v>3.61116524043954001</v>
      </c>
      <c r="AU3" s="76">
        <f>((O3+I3+(LOG(J3)*4/3))*0.13)</f>
        <v>0.373800297941886006</v>
      </c>
      <c r="AV3" s="76">
        <f>((P3+I3+(LOG(J3)*4/3))*0.173)+((O3+I3+(LOG(J3)*4/3))*0.12)</f>
        <v>0.842488363822866937</v>
      </c>
      <c r="AW3" s="76">
        <f>AU3/2</f>
        <v>0.186900148970943007</v>
      </c>
      <c r="AX3" s="76">
        <f>((L3+I3+(LOG(J3)*4/3))*0.189)</f>
        <v>2.42399812546935989</v>
      </c>
      <c r="AY3" s="76">
        <f>((L3+I3+(LOG(J3)*4/3))*0.4)</f>
        <v>5.13015476289811989</v>
      </c>
      <c r="AZ3" s="76">
        <f>AX3/2</f>
        <v>1.21199906273467994</v>
      </c>
      <c r="BA3" s="76">
        <f>((M3+I3+(LOG(J3)*4/3))*1)</f>
        <v>3.8253869072452801</v>
      </c>
      <c r="BB3" s="76">
        <f>((O3+I3+(LOG(J3)*4/3))*0.253)</f>
        <v>0.727472887533055967</v>
      </c>
      <c r="BC3" s="76">
        <f>((P3+I3+(LOG(J3)*4/3))*0.21)+((O3+I3+(LOG(J3)*4/3))*0.341)</f>
        <v>1.58433818589214992</v>
      </c>
      <c r="BD3" s="76">
        <f>BB3/2</f>
        <v>0.363736443766527984</v>
      </c>
      <c r="BE3" s="76">
        <f>((L3+I3+(LOG(J3)*4/3))*0.291)</f>
        <v>3.73218759000838007</v>
      </c>
      <c r="BF3" s="76">
        <f>((L3+I3+(LOG(J3)*4/3))*0.348)</f>
        <v>4.46323464372137035</v>
      </c>
      <c r="BG3" s="76">
        <f>((M3+I3+(LOG(J3)*4/3))*0.881)</f>
        <v>3.37016586528309015</v>
      </c>
      <c r="BH3" s="76">
        <f>((N3+I3+(LOG(J3)*4/3))*0.574)+((O3+I3+(LOG(J3)*4/3))*0.315)</f>
        <v>2.55621896054105013</v>
      </c>
      <c r="BI3" s="76">
        <f>((O3+I3+(LOG(J3)*4/3))*0.241)</f>
        <v>0.692968244646112908</v>
      </c>
      <c r="BJ3" s="76">
        <f>((L3+I3+(LOG(J3)*4/3))*0.485)</f>
        <v>6.2203126500139696</v>
      </c>
      <c r="BK3" s="76">
        <f>((L3+I3+(LOG(J3)*4/3))*0.264)</f>
        <v>3.38590214351276009</v>
      </c>
      <c r="BL3" s="76">
        <f>((M3+I3+(LOG(J3)*4/3))*0.381)</f>
        <v>1.45747241166045001</v>
      </c>
      <c r="BM3" s="76">
        <f>((N3+I3+(LOG(J3)*4/3))*0.673)+((O3+I3+(LOG(J3)*4/3))*0.201)</f>
        <v>2.51308815693236998</v>
      </c>
      <c r="BN3" s="76">
        <f>((O3+I3+(LOG(J3)*4/3))*0.052)</f>
        <v>0.149520119176755006</v>
      </c>
      <c r="BO3" s="76">
        <f>((L3+I3+(LOG(J3)*4/3))*0.18)</f>
        <v>2.30856964330414982</v>
      </c>
      <c r="BP3" s="76">
        <f>(L3+I3+(LOG(J3)*4/3))*0.068</f>
        <v>0.872126309692679946</v>
      </c>
      <c r="BQ3" s="76">
        <f>((M3+I3+(LOG(J3)*4/3))*0.305)</f>
        <v>1.1667430067098099</v>
      </c>
      <c r="BR3" s="76">
        <f>((N3+I3+(LOG(J3)*4/3))*1)+((O3+I3+(LOG(J3)*4/3))*0.286)</f>
        <v>3.6977475627174301</v>
      </c>
      <c r="BS3" s="76">
        <f>((O3+I3+(LOG(J3)*4/3))*0.135)</f>
        <v>0.388177232478112977</v>
      </c>
      <c r="BT3" s="76">
        <f>((L3+I3+(LOG(J3)*4/3))*0.284)</f>
        <v>3.64240988165767021</v>
      </c>
      <c r="BU3" s="76">
        <f>(L3+I3+(LOG(J3)*4/3))*0.244</f>
        <v>3.12939440536784996</v>
      </c>
      <c r="BV3" s="76">
        <f>((M3+I3+(LOG(J3)*4/3))*0.455)</f>
        <v>1.7405510427966</v>
      </c>
      <c r="BW3" s="76">
        <f>((N3+I3+(LOG(J3)*4/3))*0.864)+((O3+I3+(LOG(J3)*4/3))*0.244)</f>
        <v>3.18592869322776995</v>
      </c>
      <c r="BX3" s="76">
        <f>((O3+I3+(LOG(J3)*4/3))*0.121)</f>
        <v>0.347921815776679022</v>
      </c>
      <c r="BY3" s="76">
        <f>((L3+I3+(LOG(J3)*4/3))*0.284)</f>
        <v>3.64240988165767021</v>
      </c>
      <c r="BZ3" s="76">
        <f>((L3+I3+(LOG(J3)*4/3))*0.244)</f>
        <v>3.12939440536784996</v>
      </c>
      <c r="CA3" s="76">
        <f>((M3+I3+(LOG(J3)*4/3))*0.631)</f>
        <v>2.41381913847177021</v>
      </c>
      <c r="CB3" s="76">
        <f>((N3+I3+(LOG(J3)*4/3))*0.702)+((O3+I3+(LOG(J3)*4/3))*0.193)</f>
        <v>2.57347128198453001</v>
      </c>
      <c r="CC3" s="76">
        <f>((O3+I3+(LOG(J3)*4/3))*0.148)</f>
        <v>0.425557262272300996</v>
      </c>
      <c r="CD3" s="76">
        <f>((M3+I3+(LOG(J3)*4/3))*0.406)</f>
        <v>1.55310708434157991</v>
      </c>
      <c r="CE3" s="76">
        <f>IF(D3="TEC",((N3+I3+(LOG(J3)*4/3))*0.15)+((O3+I3+(LOG(J3)*4/3))*0.324)+((P3+I3+(LOG(J3)*4/3))*0.127),(((N3+I3+(LOG(J3)*4/3))*0.144)+((O3+I3+(LOG(J3)*4/3))*0.25)+((P3+I3+(LOG(J3)*4/3))*0.127)))</f>
        <v>1.49807657867479005</v>
      </c>
      <c r="CF3" s="76">
        <f>((O3+I3+(LOG(J3)*4/3))*0.543)+((P3+I3+(LOG(J3)*4/3))*0.583)</f>
        <v>3.23768565755819004</v>
      </c>
      <c r="CG3" s="76">
        <f>CE3</f>
        <v>1.49807657867479005</v>
      </c>
      <c r="CH3" s="76">
        <f>((P3+1+(LOG(J3)*4/3))*0.26)+((N3+I3+(LOG(J3)*4/3))*0.221)+((O3+I3+(LOG(J3)*4/3))*0.142)</f>
        <v>1.79136604321381014</v>
      </c>
      <c r="CI3" s="76">
        <f>((P3+I3+(LOG(J3)*4/3))*1)+((O3+I3+(LOG(J3)*4/3))*0.369)</f>
        <v>3.93640467601878985</v>
      </c>
      <c r="CJ3" s="76">
        <f>CH3</f>
        <v>1.79136604321381014</v>
      </c>
      <c r="CK3" s="76">
        <f>((M3+I3+(LOG(J3)*4/3))*0.25)</f>
        <v>0.956346726811320025</v>
      </c>
    </row>
    <row r="4" spans="1:89">
      <c r="A4" t="str">
        <f>Plantilla!D5</f>
        <v>林 (Lin) 光维 (Guangwei)</v>
      </c>
      <c r="B4" s="62">
        <f>Plantilla!E5</f>
        <v>22</v>
      </c>
      <c r="C4" s="102">
        <f>Plantilla!F5</f>
        <v>101</v>
      </c>
      <c r="D4" s="62" t="str">
        <f>Plantilla!G5</f>
        <v>IMP</v>
      </c>
      <c r="E4" s="211">
        <f>Plantilla!O5</f>
        <v>43878</v>
      </c>
      <c r="F4" s="102">
        <f>Plantilla!Q5</f>
        <v>6</v>
      </c>
      <c r="G4" s="122">
        <f>(F4/7)^0.5</f>
        <v>0.925820099772552041</v>
      </c>
      <c r="H4" s="122">
        <f>IF(F4=7,1,((F4+0.99)/7)^0.5)</f>
        <v>0.999285459001294996</v>
      </c>
      <c r="I4" s="157">
        <f>Plantilla!P5</f>
        <v>0.61699749118287297</v>
      </c>
      <c r="J4" s="158">
        <f>Plantilla!I5</f>
        <v>3.5</v>
      </c>
      <c r="K4" s="53">
        <f>Plantilla!X5</f>
        <v>15</v>
      </c>
      <c r="L4" s="53">
        <f>Plantilla!Y5</f>
        <v>5</v>
      </c>
      <c r="M4" s="53">
        <f>Plantilla!Z5</f>
        <v>2</v>
      </c>
      <c r="N4" s="53">
        <f>Plantilla!AA5</f>
        <v>1</v>
      </c>
      <c r="O4" s="53">
        <f>Plantilla!AB5</f>
        <v>5</v>
      </c>
      <c r="P4" s="53">
        <f>Plantilla!AC5</f>
        <v>3</v>
      </c>
      <c r="Q4" s="53">
        <f>Plantilla!AD5</f>
        <v>19.25</v>
      </c>
      <c r="R4" s="158">
        <f>((2*(O4+1))+(L4+1))/8</f>
        <v>2.25</v>
      </c>
      <c r="S4" s="158">
        <f>1.66*(P4+(LOG(J4)*4/3)+I4)+0.55*(Q4+(LOG(J4)*4/3)+I4)-7.6</f>
        <v>10.9342516261996003</v>
      </c>
      <c r="T4" s="53">
        <f>(0.5*P4+0.3*Q4)/10</f>
        <v>0.727500000000000036</v>
      </c>
      <c r="U4" s="53">
        <f>(0.4*L4+0.3*Q4)/10</f>
        <v>0.777499999999999947</v>
      </c>
      <c r="V4" s="158">
        <f aca="1">IF(TODAY()-E4&gt;335,(Q4+1+(LOG(J4)*4/3))*(F4/7)^0.5,(Q4+((TODAY()-E4)^0.5)/(336^0.5)+(LOG(J4)*4/3))*(F4/7)^0.5)</f>
        <v>19.1285201252344983</v>
      </c>
      <c r="W4" s="158">
        <f aca="1">IF(F4=7,V4,IF(TODAY()-E4&gt;335,(Q4+1+(LOG(J4)*4/3))*((F4+0.99)/7)^0.5,(Q4+((TODAY()-E4)^0.5)/(336^0.5)+(LOG(J4)*4/3))*((F4+0.99)/7)^0.5))</f>
        <v>20.6463998978381014</v>
      </c>
      <c r="X4" s="76">
        <f>((K4+I4+(LOG(J4)*4/3))*0.597)+((L4+I4+(LOG(J4)*4/3))*0.276)</f>
        <v>11.5069340134264007</v>
      </c>
      <c r="Y4" s="76">
        <f>((K4+I4+(LOG(J4)*4/3))*0.866)+((L4+I4+(LOG(J4)*4/3))*0.425)</f>
        <v>16.8480662214587014</v>
      </c>
      <c r="Z4" s="76">
        <f>X4</f>
        <v>11.5069340134264007</v>
      </c>
      <c r="AA4" s="76">
        <f>((L4+I4+(LOG(J4)*4/3))*0.516)</f>
        <v>3.27268951996334989</v>
      </c>
      <c r="AB4" s="76">
        <f>(L4+I4+(LOG(J4)*4/3))*1</f>
        <v>6.34242155031656996</v>
      </c>
      <c r="AC4" s="76">
        <f>AA4/2</f>
        <v>1.63634475998168005</v>
      </c>
      <c r="AD4" s="76">
        <f>(M4+I4+(LOG(J4)*4/3))*0.238</f>
        <v>0.795496328975343925</v>
      </c>
      <c r="AE4" s="76">
        <f>((L4+I4+(LOG(J4)*4/3))*0.378)</f>
        <v>2.3974353460196598</v>
      </c>
      <c r="AF4" s="76">
        <f>(L4+I4+(LOG(J4)*4/3))*0.723</f>
        <v>4.58557078087888037</v>
      </c>
      <c r="AG4" s="76">
        <f>AE4/2</f>
        <v>1.1987176730098299</v>
      </c>
      <c r="AH4" s="76">
        <f>(M4+I4+(LOG(J4)*4/3))*0.385</f>
        <v>1.28683229687187994</v>
      </c>
      <c r="AI4" s="76">
        <f>((L4+I4+(LOG(J4)*4/3))*0.92)</f>
        <v>5.83502782629124983</v>
      </c>
      <c r="AJ4" s="76">
        <f>(L4+I4+(LOG(J4)*4/3))*0.414</f>
        <v>2.62576252183106007</v>
      </c>
      <c r="AK4" s="76">
        <f>((M4+I4+(LOG(J4)*4/3))*0.167)</f>
        <v>0.558184398902866974</v>
      </c>
      <c r="AL4" s="76">
        <f>(N4+I4+(LOG(J4)*4/3))*0.588</f>
        <v>1.37734387158613991</v>
      </c>
      <c r="AM4" s="76">
        <f>((L4+I4+(LOG(J4)*4/3))*0.754)</f>
        <v>4.78218584893869014</v>
      </c>
      <c r="AN4" s="76">
        <f>((L4+I4+(LOG(J4)*4/3))*0.708)</f>
        <v>4.49043445762413018</v>
      </c>
      <c r="AO4" s="76">
        <f>((Q4+I4+(LOG(J4)*4/3))*0.167)</f>
        <v>3.43893439890287</v>
      </c>
      <c r="AP4" s="76">
        <f>((R4+I4+(LOG(J4)*4/3))*0.288)</f>
        <v>1.03461740649116996</v>
      </c>
      <c r="AQ4" s="76">
        <f>((L4+I4+(LOG(J4)*4/3))*0.27)</f>
        <v>1.71245381858547008</v>
      </c>
      <c r="AR4" s="76">
        <f>((L4+I4+(LOG(J4)*4/3))*0.594)</f>
        <v>3.76739840088804012</v>
      </c>
      <c r="AS4" s="76">
        <f>AQ4/2</f>
        <v>0.856226909292734994</v>
      </c>
      <c r="AT4" s="76">
        <f>((M4+I4+(LOG(J4)*4/3))*0.944)</f>
        <v>3.1552459434988398</v>
      </c>
      <c r="AU4" s="76">
        <f>((O4+I4+(LOG(J4)*4/3))*0.13)</f>
        <v>0.824514801541153908</v>
      </c>
      <c r="AV4" s="76">
        <f>((P4+I4+(LOG(J4)*4/3))*0.173)+((O4+I4+(LOG(J4)*4/3))*0.12)</f>
        <v>1.51232951424275992</v>
      </c>
      <c r="AW4" s="76">
        <f>AU4/2</f>
        <v>0.412257400770576954</v>
      </c>
      <c r="AX4" s="76">
        <f>((L4+I4+(LOG(J4)*4/3))*0.189)</f>
        <v>1.1987176730098299</v>
      </c>
      <c r="AY4" s="76">
        <f>((L4+I4+(LOG(J4)*4/3))*0.4)</f>
        <v>2.53696862012662994</v>
      </c>
      <c r="AZ4" s="76">
        <f>AX4/2</f>
        <v>0.599358836504914905</v>
      </c>
      <c r="BA4" s="76">
        <f>((M4+I4+(LOG(J4)*4/3))*1)</f>
        <v>3.34242155031656996</v>
      </c>
      <c r="BB4" s="76">
        <f>((O4+I4+(LOG(J4)*4/3))*0.253)</f>
        <v>1.60463265223009</v>
      </c>
      <c r="BC4" s="76">
        <f>((P4+I4+(LOG(J4)*4/3))*0.21)+((O4+I4+(LOG(J4)*4/3))*0.341)</f>
        <v>3.07467427422443018</v>
      </c>
      <c r="BD4" s="76">
        <f>BB4/2</f>
        <v>0.802316326115045086</v>
      </c>
      <c r="BE4" s="76">
        <f>((L4+I4+(LOG(J4)*4/3))*0.291)</f>
        <v>1.8456446711421199</v>
      </c>
      <c r="BF4" s="76">
        <f>((L4+I4+(LOG(J4)*4/3))*0.348)</f>
        <v>2.20716269951017008</v>
      </c>
      <c r="BG4" s="76">
        <f>((M4+I4+(LOG(J4)*4/3))*0.881)</f>
        <v>2.94467338582889973</v>
      </c>
      <c r="BH4" s="76">
        <f>((N4+I4+(LOG(J4)*4/3))*0.574)+((O4+I4+(LOG(J4)*4/3))*0.315)</f>
        <v>3.34241275823143003</v>
      </c>
      <c r="BI4" s="76">
        <f>((O4+I4+(LOG(J4)*4/3))*0.241)</f>
        <v>1.52852359362629002</v>
      </c>
      <c r="BJ4" s="76">
        <f>((L4+I4+(LOG(J4)*4/3))*0.485)</f>
        <v>3.07607445190354012</v>
      </c>
      <c r="BK4" s="76">
        <f>((L4+I4+(LOG(J4)*4/3))*0.264)</f>
        <v>1.67439928928356991</v>
      </c>
      <c r="BL4" s="76">
        <f>((M4+I4+(LOG(J4)*4/3))*0.381)</f>
        <v>1.27346261067060995</v>
      </c>
      <c r="BM4" s="76">
        <f>((N4+I4+(LOG(J4)*4/3))*0.673)+((O4+I4+(LOG(J4)*4/3))*0.201)</f>
        <v>2.85127643497667993</v>
      </c>
      <c r="BN4" s="76">
        <f>((O4+I4+(LOG(J4)*4/3))*0.052)</f>
        <v>0.329805920616462034</v>
      </c>
      <c r="BO4" s="76">
        <f>((L4+I4+(LOG(J4)*4/3))*0.18)</f>
        <v>1.14163587905698005</v>
      </c>
      <c r="BP4" s="76">
        <f>(L4+I4+(LOG(J4)*4/3))*0.068</f>
        <v>0.431284665421526991</v>
      </c>
      <c r="BQ4" s="76">
        <f>((M4+I4+(LOG(J4)*4/3))*0.305)</f>
        <v>1.01943857284655004</v>
      </c>
      <c r="BR4" s="76">
        <f>((N4+I4+(LOG(J4)*4/3))*1)+((O4+I4+(LOG(J4)*4/3))*0.286)</f>
        <v>4.15635411370710983</v>
      </c>
      <c r="BS4" s="76">
        <f>((O4+I4+(LOG(J4)*4/3))*0.135)</f>
        <v>0.856226909292736948</v>
      </c>
      <c r="BT4" s="76">
        <f>((L4+I4+(LOG(J4)*4/3))*0.284)</f>
        <v>1.80124772028990989</v>
      </c>
      <c r="BU4" s="76">
        <f>(L4+I4+(LOG(J4)*4/3))*0.244</f>
        <v>1.54755085827723988</v>
      </c>
      <c r="BV4" s="76">
        <f>((M4+I4+(LOG(J4)*4/3))*0.455)</f>
        <v>1.52080180539403997</v>
      </c>
      <c r="BW4" s="76">
        <f>((N4+I4+(LOG(J4)*4/3))*0.864)+((O4+I4+(LOG(J4)*4/3))*0.244)</f>
        <v>3.57140307775076016</v>
      </c>
      <c r="BX4" s="76">
        <f>((O4+I4+(LOG(J4)*4/3))*0.121)</f>
        <v>0.767433007588305038</v>
      </c>
      <c r="BY4" s="76">
        <f>((L4+I4+(LOG(J4)*4/3))*0.284)</f>
        <v>1.80124772028990989</v>
      </c>
      <c r="BZ4" s="76">
        <f>((L4+I4+(LOG(J4)*4/3))*0.244)</f>
        <v>1.54755085827723988</v>
      </c>
      <c r="CA4" s="76">
        <f>((M4+I4+(LOG(J4)*4/3))*0.631)</f>
        <v>2.10906799824976021</v>
      </c>
      <c r="CB4" s="76">
        <f>((N4+I4+(LOG(J4)*4/3))*0.702)+((O4+I4+(LOG(J4)*4/3))*0.193)</f>
        <v>2.86846728753332982</v>
      </c>
      <c r="CC4" s="76">
        <f>((O4+I4+(LOG(J4)*4/3))*0.148)</f>
        <v>0.938678389446853068</v>
      </c>
      <c r="CD4" s="76">
        <f>((M4+I4+(LOG(J4)*4/3))*0.406)</f>
        <v>1.35702314942853008</v>
      </c>
      <c r="CE4" s="76">
        <f>IF(D4="TEC",((N4+I4+(LOG(J4)*4/3))*0.15)+((O4+I4+(LOG(J4)*4/3))*0.324)+((P4+I4+(LOG(J4)*4/3))*0.127),(((N4+I4+(LOG(J4)*4/3))*0.144)+((O4+I4+(LOG(J4)*4/3))*0.25)+((P4+I4+(LOG(J4)*4/3))*0.127)))</f>
        <v>2.47440162771493011</v>
      </c>
      <c r="CF4" s="76">
        <f>((O4+I4+(LOG(J4)*4/3))*0.543)+((P4+I4+(LOG(J4)*4/3))*0.583)</f>
        <v>5.97556666565646033</v>
      </c>
      <c r="CG4" s="76">
        <f>CE4</f>
        <v>2.47440162771493011</v>
      </c>
      <c r="CH4" s="76">
        <f>((P4+1+(LOG(J4)*4/3))*0.26)+((N4+I4+(LOG(J4)*4/3))*0.221)+((O4+I4+(LOG(J4)*4/3))*0.142)</f>
        <v>2.64690927813966992</v>
      </c>
      <c r="CI4" s="76">
        <f>((P4+I4+(LOG(J4)*4/3))*1)+((O4+I4+(LOG(J4)*4/3))*0.369)</f>
        <v>6.68277510238338035</v>
      </c>
      <c r="CJ4" s="76">
        <f>CH4</f>
        <v>2.64690927813966992</v>
      </c>
      <c r="CK4" s="76">
        <f>((M4+I4+(LOG(J4)*4/3))*0.25)</f>
        <v>0.835605387579142977</v>
      </c>
    </row>
    <row r="5" spans="1:89">
      <c r="A5" t="str">
        <f>Plantilla!D6</f>
        <v>E. Toney</v>
      </c>
      <c r="B5" s="62">
        <f>Plantilla!E6</f>
        <v>39</v>
      </c>
      <c r="C5" s="102">
        <f>Plantilla!F6</f>
        <v>73</v>
      </c>
      <c r="D5" s="62">
        <f>Plantilla!G6</f>
        <v>0</v>
      </c>
      <c r="E5" s="211" t="str">
        <f>Plantilla!O6</f>
        <v>Cantera</v>
      </c>
      <c r="F5" s="102">
        <f>Plantilla!Q6</f>
        <v>2</v>
      </c>
      <c r="G5" s="122">
        <f>(F5/7)^0.5</f>
        <v>0.534522483824849015</v>
      </c>
      <c r="H5" s="122">
        <f>IF(F5=7,1,((F5+0.99)/7)^0.5)</f>
        <v>0.653561670497020941</v>
      </c>
      <c r="I5" s="157">
        <f>Plantilla!P6</f>
        <v>1.5</v>
      </c>
      <c r="J5" s="158">
        <f>Plantilla!I6</f>
        <v>19.1000000000000014</v>
      </c>
      <c r="K5" s="53">
        <f>Plantilla!X6</f>
        <v>0</v>
      </c>
      <c r="L5" s="53">
        <f>Plantilla!Y6</f>
        <v>8.94999999999999929</v>
      </c>
      <c r="M5" s="53">
        <f>Plantilla!Z6</f>
        <v>8.94999999999999929</v>
      </c>
      <c r="N5" s="53">
        <f>Plantilla!AA6</f>
        <v>4.95000000000000018</v>
      </c>
      <c r="O5" s="53">
        <f>Plantilla!AB6</f>
        <v>4.95000000000000018</v>
      </c>
      <c r="P5" s="53">
        <f>Plantilla!AC6</f>
        <v>0</v>
      </c>
      <c r="Q5" s="53">
        <f>Plantilla!AD6</f>
        <v>15</v>
      </c>
      <c r="R5" s="158">
        <f>((2*(O5+1))+(L5+1))/8</f>
        <v>2.73125000000000018</v>
      </c>
      <c r="S5" s="158">
        <f>1.66*(P5+(LOG(J5)*4/3)+I5)+0.55*(Q5+(LOG(J5)*4/3)+I5)-7.6</f>
        <v>7.73977832215660033</v>
      </c>
      <c r="T5" s="53">
        <f>(0.5*P5+0.3*Q5)/10</f>
        <v>0.45</v>
      </c>
      <c r="U5" s="53">
        <f>(0.4*L5+0.3*Q5)/10</f>
        <v>0.808000000000000007</v>
      </c>
      <c r="V5" s="158" t="e">
        <f aca="1">IF(TODAY()-E5&gt;335,(Q5+1+(LOG(J5)*4/3))*(F5/7)^0.5,(Q5+((TODAY()-E5)^0.5)/(336^0.5)+(LOG(J5)*4/3))*(F5/7)^0.5)</f>
        <v>#VALUE!</v>
      </c>
      <c r="W5" s="158" t="e">
        <f aca="1">IF(F5=7,V5,IF(TODAY()-E5&gt;335,(Q5+1+(LOG(J5)*4/3))*((F5+0.99)/7)^0.5,(Q5+((TODAY()-E5)^0.5)/(336^0.5)+(LOG(J5)*4/3))*((F5+0.99)/7)^0.5))</f>
        <v>#VALUE!</v>
      </c>
      <c r="X5" s="76">
        <f>((K5+I5+(LOG(J5)*4/3))*0.597)+((L5+I5+(LOG(J5)*4/3))*0.276)</f>
        <v>5.27082283947633989</v>
      </c>
      <c r="Y5" s="76">
        <f>((K5+I5+(LOG(J5)*4/3))*0.866)+((L5+I5+(LOG(J5)*4/3))*0.425)</f>
        <v>7.94533543615574001</v>
      </c>
      <c r="Z5" s="76">
        <f>X5</f>
        <v>5.27082283947633989</v>
      </c>
      <c r="AA5" s="76">
        <f>((L5+I5+(LOG(J5)*4/3))*0.516)</f>
        <v>6.27355095666642004</v>
      </c>
      <c r="AB5" s="76">
        <f>(L5+I5+(LOG(J5)*4/3))*1</f>
        <v>12.1580444896636006</v>
      </c>
      <c r="AC5" s="76">
        <f>AA5/2</f>
        <v>3.13677547833321002</v>
      </c>
      <c r="AD5" s="76">
        <f>(M5+I5+(LOG(J5)*4/3))*0.238</f>
        <v>2.8936145885399398</v>
      </c>
      <c r="AE5" s="76">
        <f>((L5+I5+(LOG(J5)*4/3))*0.378)</f>
        <v>4.59574081709283977</v>
      </c>
      <c r="AF5" s="76">
        <f>(L5+I5+(LOG(J5)*4/3))*0.723</f>
        <v>8.79026616602678068</v>
      </c>
      <c r="AG5" s="76">
        <f>AE5/2</f>
        <v>2.29787040854641988</v>
      </c>
      <c r="AH5" s="76">
        <f>(M5+I5+(LOG(J5)*4/3))*0.385</f>
        <v>4.68084712852049023</v>
      </c>
      <c r="AI5" s="76">
        <f>((L5+I5+(LOG(J5)*4/3))*0.92)</f>
        <v>11.1854009304905002</v>
      </c>
      <c r="AJ5" s="76">
        <f>(L5+I5+(LOG(J5)*4/3))*0.414</f>
        <v>5.03343041872073016</v>
      </c>
      <c r="AK5" s="76">
        <f>((M5+I5+(LOG(J5)*4/3))*0.167)</f>
        <v>2.0303934297738202</v>
      </c>
      <c r="AL5" s="76">
        <f>(N5+I5+(LOG(J5)*4/3))*0.588</f>
        <v>4.79693015992222005</v>
      </c>
      <c r="AM5" s="76">
        <f>((L5+I5+(LOG(J5)*4/3))*0.754)</f>
        <v>9.16716554520636073</v>
      </c>
      <c r="AN5" s="76">
        <f>((L5+I5+(LOG(J5)*4/3))*0.708)</f>
        <v>8.60789549868182924</v>
      </c>
      <c r="AO5" s="76">
        <f>((Q5+I5+(LOG(J5)*4/3))*0.167)</f>
        <v>3.04074342977382006</v>
      </c>
      <c r="AP5" s="76">
        <f>((R5+I5+(LOG(J5)*4/3))*0.288)</f>
        <v>1.71051681302313003</v>
      </c>
      <c r="AQ5" s="76">
        <f>((L5+I5+(LOG(J5)*4/3))*0.27)</f>
        <v>3.28267201220916993</v>
      </c>
      <c r="AR5" s="76">
        <f>((L5+I5+(LOG(J5)*4/3))*0.594)</f>
        <v>7.22187842686018033</v>
      </c>
      <c r="AS5" s="76">
        <f>AQ5/2</f>
        <v>1.64133600610459007</v>
      </c>
      <c r="AT5" s="76">
        <f>((M5+I5+(LOG(J5)*4/3))*0.944)</f>
        <v>11.4771939982424005</v>
      </c>
      <c r="AU5" s="76">
        <f>((O5+I5+(LOG(J5)*4/3))*0.13)</f>
        <v>1.06054578365626995</v>
      </c>
      <c r="AV5" s="76">
        <f>((P5+I5+(LOG(J5)*4/3))*0.173)+((O5+I5+(LOG(J5)*4/3))*0.12)</f>
        <v>1.53395703547144997</v>
      </c>
      <c r="AW5" s="76">
        <f>AU5/2</f>
        <v>0.530272891828134973</v>
      </c>
      <c r="AX5" s="76">
        <f>((L5+I5+(LOG(J5)*4/3))*0.189)</f>
        <v>2.29787040854641988</v>
      </c>
      <c r="AY5" s="76">
        <f>((L5+I5+(LOG(J5)*4/3))*0.4)</f>
        <v>4.8632177958654399</v>
      </c>
      <c r="AZ5" s="76">
        <f>AX5/2</f>
        <v>1.14893520427320994</v>
      </c>
      <c r="BA5" s="76">
        <f>((M5+I5+(LOG(J5)*4/3))*1)</f>
        <v>12.1580444896636006</v>
      </c>
      <c r="BB5" s="76">
        <f>((O5+I5+(LOG(J5)*4/3))*0.253)</f>
        <v>2.06398525588490012</v>
      </c>
      <c r="BC5" s="76">
        <f>((P5+I5+(LOG(J5)*4/3))*0.21)+((O5+I5+(LOG(J5)*4/3))*0.341)</f>
        <v>3.45558251380465986</v>
      </c>
      <c r="BD5" s="76">
        <f>BB5/2</f>
        <v>1.03199262794245006</v>
      </c>
      <c r="BE5" s="76">
        <f>((L5+I5+(LOG(J5)*4/3))*0.291)</f>
        <v>3.53799094649211021</v>
      </c>
      <c r="BF5" s="76">
        <f>((L5+I5+(LOG(J5)*4/3))*0.348)</f>
        <v>4.23099948240292978</v>
      </c>
      <c r="BG5" s="76">
        <f>((M5+I5+(LOG(J5)*4/3))*0.881)</f>
        <v>10.7112371953936005</v>
      </c>
      <c r="BH5" s="76">
        <f>((N5+I5+(LOG(J5)*4/3))*0.574)+((O5+I5+(LOG(J5)*4/3))*0.315)</f>
        <v>7.25250155131097962</v>
      </c>
      <c r="BI5" s="76">
        <f>((O5+I5+(LOG(J5)*4/3))*0.241)</f>
        <v>1.96608872200893998</v>
      </c>
      <c r="BJ5" s="76">
        <f>((L5+I5+(LOG(J5)*4/3))*0.485)</f>
        <v>5.89665157748684976</v>
      </c>
      <c r="BK5" s="76">
        <f>((L5+I5+(LOG(J5)*4/3))*0.264)</f>
        <v>3.20972374527118998</v>
      </c>
      <c r="BL5" s="76">
        <f>((M5+I5+(LOG(J5)*4/3))*0.381)</f>
        <v>4.63221495056183041</v>
      </c>
      <c r="BM5" s="76">
        <f>((N5+I5+(LOG(J5)*4/3))*0.673)+((O5+I5+(LOG(J5)*4/3))*0.201)</f>
        <v>7.13013088396601979</v>
      </c>
      <c r="BN5" s="76">
        <f>((O5+I5+(LOG(J5)*4/3))*0.052)</f>
        <v>0.424218313462508956</v>
      </c>
      <c r="BO5" s="76">
        <f>((L5+I5+(LOG(J5)*4/3))*0.18)</f>
        <v>2.18844800813945017</v>
      </c>
      <c r="BP5" s="76">
        <f>(L5+I5+(LOG(J5)*4/3))*0.068</f>
        <v>0.826747025297125049</v>
      </c>
      <c r="BQ5" s="76">
        <f>((M5+I5+(LOG(J5)*4/3))*0.305)</f>
        <v>3.70820356934740003</v>
      </c>
      <c r="BR5" s="76">
        <f>((N5+I5+(LOG(J5)*4/3))*1)+((O5+I5+(LOG(J5)*4/3))*0.286)</f>
        <v>10.4912452137073995</v>
      </c>
      <c r="BS5" s="76">
        <f>((O5+I5+(LOG(J5)*4/3))*0.135)</f>
        <v>1.10133600610459004</v>
      </c>
      <c r="BT5" s="76">
        <f>((L5+I5+(LOG(J5)*4/3))*0.284)</f>
        <v>3.45288463506446019</v>
      </c>
      <c r="BU5" s="76">
        <f>(L5+I5+(LOG(J5)*4/3))*0.244</f>
        <v>2.9665628554779202</v>
      </c>
      <c r="BV5" s="76">
        <f>((M5+I5+(LOG(J5)*4/3))*0.455)</f>
        <v>5.53191024279693977</v>
      </c>
      <c r="BW5" s="76">
        <f>((N5+I5+(LOG(J5)*4/3))*0.864)+((O5+I5+(LOG(J5)*4/3))*0.244)</f>
        <v>9.03911329454732027</v>
      </c>
      <c r="BX5" s="76">
        <f>((O5+I5+(LOG(J5)*4/3))*0.121)</f>
        <v>0.98712338324930009</v>
      </c>
      <c r="BY5" s="76">
        <f>((L5+I5+(LOG(J5)*4/3))*0.284)</f>
        <v>3.45288463506446019</v>
      </c>
      <c r="BZ5" s="76">
        <f>((L5+I5+(LOG(J5)*4/3))*0.244)</f>
        <v>2.9665628554779202</v>
      </c>
      <c r="CA5" s="76">
        <f>((M5+I5+(LOG(J5)*4/3))*0.631)</f>
        <v>7.67172607297773013</v>
      </c>
      <c r="CB5" s="76">
        <f>((N5+I5+(LOG(J5)*4/3))*0.702)+((O5+I5+(LOG(J5)*4/3))*0.193)</f>
        <v>7.30144981824896</v>
      </c>
      <c r="CC5" s="76">
        <f>((O5+I5+(LOG(J5)*4/3))*0.148)</f>
        <v>1.20739058447021996</v>
      </c>
      <c r="CD5" s="76">
        <f>((M5+I5+(LOG(J5)*4/3))*0.406)</f>
        <v>4.9361660628034203</v>
      </c>
      <c r="CE5" s="76">
        <f>IF(D5="TEC",((N5+I5+(LOG(J5)*4/3))*0.15)+((O5+I5+(LOG(J5)*4/3))*0.324)+((P5+I5+(LOG(J5)*4/3))*0.127),(((N5+I5+(LOG(J5)*4/3))*0.144)+((O5+I5+(LOG(J5)*4/3))*0.25)+((P5+I5+(LOG(J5)*4/3))*0.127)))</f>
        <v>3.62169117911474991</v>
      </c>
      <c r="CF5" s="76">
        <f>((O5+I5+(LOG(J5)*4/3))*0.543)+((P5+I5+(LOG(J5)*4/3))*0.583)</f>
        <v>6.30010809536126004</v>
      </c>
      <c r="CG5" s="76">
        <f>CE5</f>
        <v>3.62169117911474991</v>
      </c>
      <c r="CH5" s="76">
        <f>((P5+1+(LOG(J5)*4/3))*0.26)+((N5+I5+(LOG(J5)*4/3))*0.221)+((O5+I5+(LOG(J5)*4/3))*0.142)</f>
        <v>3.66546171706045021</v>
      </c>
      <c r="CI5" s="76">
        <f>((P5+I5+(LOG(J5)*4/3))*1)+((O5+I5+(LOG(J5)*4/3))*0.369)</f>
        <v>6.21836290634951983</v>
      </c>
      <c r="CJ5" s="76">
        <f>CH5</f>
        <v>3.66546171706045021</v>
      </c>
      <c r="CK5" s="76">
        <f>((M5+I5+(LOG(J5)*4/3))*0.25)</f>
        <v>3.03951112241590016</v>
      </c>
    </row>
    <row r="6" spans="1:89">
      <c r="A6" t="str">
        <f>Plantilla!D7</f>
        <v>F. Lasprilla</v>
      </c>
      <c r="B6" s="62">
        <f>Plantilla!E7</f>
        <v>35</v>
      </c>
      <c r="C6" s="102">
        <f>Plantilla!F7</f>
        <v>81</v>
      </c>
      <c r="D6" s="62">
        <f>Plantilla!G7</f>
        <v>0</v>
      </c>
      <c r="E6" s="211" t="str">
        <f>Plantilla!O7</f>
        <v>Cantera</v>
      </c>
      <c r="F6" s="102">
        <f>Plantilla!Q7</f>
        <v>1</v>
      </c>
      <c r="G6" s="122">
        <f>(F6/7)^0.5</f>
        <v>0.377964473009226953</v>
      </c>
      <c r="H6" s="122">
        <f>IF(F6=7,1,((F6+0.99)/7)^0.5)</f>
        <v>0.533184503043472002</v>
      </c>
      <c r="I6" s="157">
        <f>Plantilla!P7</f>
        <v>1.5</v>
      </c>
      <c r="J6" s="158">
        <f>Plantilla!I7</f>
        <v>7.09999999999999964</v>
      </c>
      <c r="K6" s="53">
        <f>Plantilla!X7</f>
        <v>0</v>
      </c>
      <c r="L6" s="53">
        <f>Plantilla!Y7</f>
        <v>8.94999999999999929</v>
      </c>
      <c r="M6" s="53">
        <f>Plantilla!Z7</f>
        <v>7.95000000000000018</v>
      </c>
      <c r="N6" s="53">
        <f>Plantilla!AA7</f>
        <v>4.95000000000000018</v>
      </c>
      <c r="O6" s="53">
        <f>Plantilla!AB7</f>
        <v>7.95000000000000018</v>
      </c>
      <c r="P6" s="53">
        <f>Plantilla!AC7</f>
        <v>0.95</v>
      </c>
      <c r="Q6" s="53">
        <f>Plantilla!AD7</f>
        <v>14</v>
      </c>
      <c r="R6" s="158">
        <f>((2*(O6+1))+(L6+1))/8</f>
        <v>3.48125000000000018</v>
      </c>
      <c r="S6" s="158">
        <f>1.66*(P6+(LOG(J6)*4/3)+I6)+0.55*(Q6+(LOG(J6)*4/3)+I6)-7.6</f>
        <v>7.50037460089219987</v>
      </c>
      <c r="T6" s="53">
        <f>(0.5*P6+0.3*Q6)/10</f>
        <v>0.467500000000000071</v>
      </c>
      <c r="U6" s="53">
        <f>(0.4*L6+0.3*Q6)/10</f>
        <v>0.778000000000000025</v>
      </c>
      <c r="V6" s="158" t="e">
        <f aca="1">IF(TODAY()-E6&gt;335,(Q6+1+(LOG(J6)*4/3))*(F6/7)^0.5,(Q6+((TODAY()-E6)^0.5)/(336^0.5)+(LOG(J6)*4/3))*(F6/7)^0.5)</f>
        <v>#VALUE!</v>
      </c>
      <c r="W6" s="158" t="e">
        <f aca="1">IF(F6=7,V6,IF(TODAY()-E6&gt;335,(Q6+1+(LOG(J6)*4/3))*((F6+0.99)/7)^0.5,(Q6+((TODAY()-E6)^0.5)/(336^0.5)+(LOG(J6)*4/3))*((F6+0.99)/7)^0.5))</f>
        <v>#VALUE!</v>
      </c>
      <c r="X6" s="76">
        <f>((K6+I6+(LOG(J6)*4/3))*0.597)+((L6+I6+(LOG(J6)*4/3))*0.276)</f>
        <v>4.77056471790899028</v>
      </c>
      <c r="Y6" s="76">
        <f>((K6+I6+(LOG(J6)*4/3))*0.866)+((L6+I6+(LOG(J6)*4/3))*0.425)</f>
        <v>7.20554937092841996</v>
      </c>
      <c r="Z6" s="76">
        <f>X6</f>
        <v>4.77056471790899028</v>
      </c>
      <c r="AA6" s="76">
        <f>((L6+I6+(LOG(J6)*4/3))*0.516)</f>
        <v>5.97786574391871017</v>
      </c>
      <c r="AB6" s="76">
        <f>(L6+I6+(LOG(J6)*4/3))*1</f>
        <v>11.5850111316254001</v>
      </c>
      <c r="AC6" s="76">
        <f>AA6/2</f>
        <v>2.98893287195935997</v>
      </c>
      <c r="AD6" s="76">
        <f>(M6+I6+(LOG(J6)*4/3))*0.238</f>
        <v>2.5192326493268502</v>
      </c>
      <c r="AE6" s="76">
        <f>((L6+I6+(LOG(J6)*4/3))*0.378)</f>
        <v>4.37913420775439999</v>
      </c>
      <c r="AF6" s="76">
        <f>(L6+I6+(LOG(J6)*4/3))*0.723</f>
        <v>8.37596304816517012</v>
      </c>
      <c r="AG6" s="76">
        <f>AE6/2</f>
        <v>2.18956710387719999</v>
      </c>
      <c r="AH6" s="76">
        <f>(M6+I6+(LOG(J6)*4/3))*0.385</f>
        <v>4.07522928567578013</v>
      </c>
      <c r="AI6" s="76">
        <f>((L6+I6+(LOG(J6)*4/3))*0.92)</f>
        <v>10.6582102410954001</v>
      </c>
      <c r="AJ6" s="76">
        <f>(L6+I6+(LOG(J6)*4/3))*0.414</f>
        <v>4.7961946084929199</v>
      </c>
      <c r="AK6" s="76">
        <f>((M6+I6+(LOG(J6)*4/3))*0.167)</f>
        <v>1.76769685898143987</v>
      </c>
      <c r="AL6" s="76">
        <f>(N6+I6+(LOG(J6)*4/3))*0.588</f>
        <v>4.45998654539574968</v>
      </c>
      <c r="AM6" s="76">
        <f>((L6+I6+(LOG(J6)*4/3))*0.754)</f>
        <v>8.7350983932455506</v>
      </c>
      <c r="AN6" s="76">
        <f>((L6+I6+(LOG(J6)*4/3))*0.708)</f>
        <v>8.20218788119077935</v>
      </c>
      <c r="AO6" s="76">
        <f>((Q6+I6+(LOG(J6)*4/3))*0.167)</f>
        <v>2.77804685898143999</v>
      </c>
      <c r="AP6" s="76">
        <f>((R6+I6+(LOG(J6)*4/3))*0.288)</f>
        <v>1.76148320590812002</v>
      </c>
      <c r="AQ6" s="76">
        <f>((L6+I6+(LOG(J6)*4/3))*0.27)</f>
        <v>3.1279530055388598</v>
      </c>
      <c r="AR6" s="76">
        <f>((L6+I6+(LOG(J6)*4/3))*0.594)</f>
        <v>6.88149661218549014</v>
      </c>
      <c r="AS6" s="76">
        <f>AQ6/2</f>
        <v>1.5639765027694299</v>
      </c>
      <c r="AT6" s="76">
        <f>((M6+I6+(LOG(J6)*4/3))*0.944)</f>
        <v>9.99225050825437933</v>
      </c>
      <c r="AU6" s="76">
        <f>((O6+I6+(LOG(J6)*4/3))*0.13)</f>
        <v>1.3760514471112999</v>
      </c>
      <c r="AV6" s="76">
        <f>((P6+I6+(LOG(J6)*4/3))*0.173)+((O6+I6+(LOG(J6)*4/3))*0.12)</f>
        <v>1.89040826156625013</v>
      </c>
      <c r="AW6" s="76">
        <f>AU6/2</f>
        <v>0.688025723555649904</v>
      </c>
      <c r="AX6" s="76">
        <f>((L6+I6+(LOG(J6)*4/3))*0.189)</f>
        <v>2.18956710387719999</v>
      </c>
      <c r="AY6" s="76">
        <f>((L6+I6+(LOG(J6)*4/3))*0.4)</f>
        <v>4.63400445265016003</v>
      </c>
      <c r="AZ6" s="76">
        <f>AX6/2</f>
        <v>1.09478355193860001</v>
      </c>
      <c r="BA6" s="76">
        <f>((M6+I6+(LOG(J6)*4/3))*1)</f>
        <v>10.5850111316254001</v>
      </c>
      <c r="BB6" s="76">
        <f>((O6+I6+(LOG(J6)*4/3))*0.253)</f>
        <v>2.67800781630123019</v>
      </c>
      <c r="BC6" s="76">
        <f>((P6+I6+(LOG(J6)*4/3))*0.21)+((O6+I6+(LOG(J6)*4/3))*0.341)</f>
        <v>4.36234113352560016</v>
      </c>
      <c r="BD6" s="76">
        <f>BB6/2</f>
        <v>1.33900390815061998</v>
      </c>
      <c r="BE6" s="76">
        <f>((L6+I6+(LOG(J6)*4/3))*0.291)</f>
        <v>3.37123823930298983</v>
      </c>
      <c r="BF6" s="76">
        <f>((L6+I6+(LOG(J6)*4/3))*0.348)</f>
        <v>4.03158387380563976</v>
      </c>
      <c r="BG6" s="76">
        <f>((M6+I6+(LOG(J6)*4/3))*0.881)</f>
        <v>9.3253948069619792</v>
      </c>
      <c r="BH6" s="76">
        <f>((N6+I6+(LOG(J6)*4/3))*0.574)+((O6+I6+(LOG(J6)*4/3))*0.315)</f>
        <v>7.68807489601500027</v>
      </c>
      <c r="BI6" s="76">
        <f>((O6+I6+(LOG(J6)*4/3))*0.241)</f>
        <v>2.55098768272172016</v>
      </c>
      <c r="BJ6" s="76">
        <f>((L6+I6+(LOG(J6)*4/3))*0.485)</f>
        <v>5.61873039883831993</v>
      </c>
      <c r="BK6" s="76">
        <f>((L6+I6+(LOG(J6)*4/3))*0.264)</f>
        <v>3.05844293874910989</v>
      </c>
      <c r="BL6" s="76">
        <f>((M6+I6+(LOG(J6)*4/3))*0.381)</f>
        <v>4.03288924114928005</v>
      </c>
      <c r="BM6" s="76">
        <f>((N6+I6+(LOG(J6)*4/3))*0.673)+((O6+I6+(LOG(J6)*4/3))*0.201)</f>
        <v>7.2322997290406299</v>
      </c>
      <c r="BN6" s="76">
        <f>((O6+I6+(LOG(J6)*4/3))*0.052)</f>
        <v>0.550420578844521025</v>
      </c>
      <c r="BO6" s="76">
        <f>((L6+I6+(LOG(J6)*4/3))*0.18)</f>
        <v>2.08530200369256979</v>
      </c>
      <c r="BP6" s="76">
        <f>(L6+I6+(LOG(J6)*4/3))*0.068</f>
        <v>0.787780756950526939</v>
      </c>
      <c r="BQ6" s="76">
        <f>((M6+I6+(LOG(J6)*4/3))*0.305)</f>
        <v>3.22842839514574997</v>
      </c>
      <c r="BR6" s="76">
        <f>((N6+I6+(LOG(J6)*4/3))*1)+((O6+I6+(LOG(J6)*4/3))*0.286)</f>
        <v>10.6123243152702997</v>
      </c>
      <c r="BS6" s="76">
        <f>((O6+I6+(LOG(J6)*4/3))*0.135)</f>
        <v>1.42897650276942993</v>
      </c>
      <c r="BT6" s="76">
        <f>((L6+I6+(LOG(J6)*4/3))*0.284)</f>
        <v>3.29014316138160989</v>
      </c>
      <c r="BU6" s="76">
        <f>(L6+I6+(LOG(J6)*4/3))*0.244</f>
        <v>2.82674271611660011</v>
      </c>
      <c r="BV6" s="76">
        <f>((M6+I6+(LOG(J6)*4/3))*0.455)</f>
        <v>4.81618006488955963</v>
      </c>
      <c r="BW6" s="76">
        <f>((N6+I6+(LOG(J6)*4/3))*0.864)+((O6+I6+(LOG(J6)*4/3))*0.244)</f>
        <v>9.13619233384097029</v>
      </c>
      <c r="BX6" s="76">
        <f>((O6+I6+(LOG(J6)*4/3))*0.121)</f>
        <v>1.28078634692667004</v>
      </c>
      <c r="BY6" s="76">
        <f>((L6+I6+(LOG(J6)*4/3))*0.284)</f>
        <v>3.29014316138160989</v>
      </c>
      <c r="BZ6" s="76">
        <f>((L6+I6+(LOG(J6)*4/3))*0.244)</f>
        <v>2.82674271611660011</v>
      </c>
      <c r="CA6" s="76">
        <f>((M6+I6+(LOG(J6)*4/3))*0.631)</f>
        <v>6.67914202405563007</v>
      </c>
      <c r="CB6" s="76">
        <f>((N6+I6+(LOG(J6)*4/3))*0.702)+((O6+I6+(LOG(J6)*4/3))*0.193)</f>
        <v>7.36758496280474962</v>
      </c>
      <c r="CC6" s="76">
        <f>((O6+I6+(LOG(J6)*4/3))*0.148)</f>
        <v>1.56658164748056006</v>
      </c>
      <c r="CD6" s="76">
        <f>((M6+I6+(LOG(J6)*4/3))*0.406)</f>
        <v>4.29751451943991025</v>
      </c>
      <c r="CE6" s="76">
        <f>IF(D6="TEC",((N6+I6+(LOG(J6)*4/3))*0.15)+((O6+I6+(LOG(J6)*4/3))*0.324)+((P6+I6+(LOG(J6)*4/3))*0.127),(((N6+I6+(LOG(J6)*4/3))*0.144)+((O6+I6+(LOG(J6)*4/3))*0.25)+((P6+I6+(LOG(J6)*4/3))*0.127)))</f>
        <v>4.1937907995768402</v>
      </c>
      <c r="CF6" s="76">
        <f>((O6+I6+(LOG(J6)*4/3))*0.543)+((P6+I6+(LOG(J6)*4/3))*0.583)</f>
        <v>7.83772253421022036</v>
      </c>
      <c r="CG6" s="76">
        <f>CE6</f>
        <v>4.1937907995768402</v>
      </c>
      <c r="CH6" s="76">
        <f>((P6+1+(LOG(J6)*4/3))*0.26)+((N6+I6+(LOG(J6)*4/3))*0.221)+((O6+I6+(LOG(J6)*4/3))*0.142)</f>
        <v>3.98146193500264012</v>
      </c>
      <c r="CI6" s="76">
        <f>((P6+I6+(LOG(J6)*4/3))*1)+((O6+I6+(LOG(J6)*4/3))*0.369)</f>
        <v>7.4908802391952003</v>
      </c>
      <c r="CJ6" s="76">
        <f>CH6</f>
        <v>3.98146193500264012</v>
      </c>
      <c r="CK6" s="76">
        <f>((M6+I6+(LOG(J6)*4/3))*0.25)</f>
        <v>2.64625278290635002</v>
      </c>
    </row>
    <row r="7" spans="1:89">
      <c r="A7" t="str">
        <f>Plantilla!D8</f>
        <v>E. Romweber</v>
      </c>
      <c r="B7" s="62">
        <f>Plantilla!E8</f>
        <v>39</v>
      </c>
      <c r="C7" s="102">
        <f>Plantilla!F8</f>
        <v>35</v>
      </c>
      <c r="D7" s="62" t="str">
        <f>Plantilla!G8</f>
        <v>IMP</v>
      </c>
      <c r="E7" s="211" t="str">
        <f>Plantilla!O8</f>
        <v>Cantera</v>
      </c>
      <c r="F7" s="102">
        <f>Plantilla!Q8</f>
        <v>4</v>
      </c>
      <c r="G7" s="122">
        <f>(F7/7)^0.5</f>
        <v>0.755928946018454972</v>
      </c>
      <c r="H7" s="122">
        <f>IF(F7=7,1,((F7+0.99)/7)^0.5)</f>
        <v>0.844308677473554958</v>
      </c>
      <c r="I7" s="157">
        <f>Plantilla!P8</f>
        <v>1.5</v>
      </c>
      <c r="J7" s="158">
        <f>Plantilla!I8</f>
        <v>19.1000000000000014</v>
      </c>
      <c r="K7" s="53">
        <f>Plantilla!X8</f>
        <v>0</v>
      </c>
      <c r="L7" s="53">
        <f>Plantilla!Y8</f>
        <v>8.94999999999999929</v>
      </c>
      <c r="M7" s="53">
        <f>Plantilla!Z8</f>
        <v>8.94999999999999929</v>
      </c>
      <c r="N7" s="53">
        <f>Plantilla!AA8</f>
        <v>8.94999999999999929</v>
      </c>
      <c r="O7" s="53">
        <f>Plantilla!AB8</f>
        <v>6.95000000000000018</v>
      </c>
      <c r="P7" s="53">
        <f>Plantilla!AC8</f>
        <v>0.95</v>
      </c>
      <c r="Q7" s="53">
        <f>Plantilla!AD8</f>
        <v>16</v>
      </c>
      <c r="R7" s="158">
        <f>((2*(O7+1))+(L7+1))/8</f>
        <v>3.23125000000000018</v>
      </c>
      <c r="S7" s="158">
        <f>1.66*(P7+(LOG(J7)*4/3)+I7)+0.55*(Q7+(LOG(J7)*4/3)+I7)-7.6</f>
        <v>9.86677832215660011</v>
      </c>
      <c r="T7" s="53">
        <f>(0.5*P7+0.3*Q7)/10</f>
        <v>0.527499999999999947</v>
      </c>
      <c r="U7" s="53">
        <f>(0.4*L7+0.3*Q7)/10</f>
        <v>0.837999999999999901</v>
      </c>
      <c r="V7" s="158" t="e">
        <f aca="1">IF(TODAY()-E7&gt;335,(Q7+1+(LOG(J7)*4/3))*(F7/7)^0.5,(Q7+((TODAY()-E7)^0.5)/(336^0.5)+(LOG(J7)*4/3))*(F7/7)^0.5)</f>
        <v>#VALUE!</v>
      </c>
      <c r="W7" s="158" t="e">
        <f aca="1">IF(F7=7,V7,IF(TODAY()-E7&gt;335,(Q7+1+(LOG(J7)*4/3))*((F7+0.99)/7)^0.5,(Q7+((TODAY()-E7)^0.5)/(336^0.5)+(LOG(J7)*4/3))*((F7+0.99)/7)^0.5))</f>
        <v>#VALUE!</v>
      </c>
      <c r="X7" s="76">
        <f>((K7+I7+(LOG(J7)*4/3))*0.597)+((L7+I7+(LOG(J7)*4/3))*0.276)</f>
        <v>5.27082283947633989</v>
      </c>
      <c r="Y7" s="76">
        <f>((K7+I7+(LOG(J7)*4/3))*0.866)+((L7+I7+(LOG(J7)*4/3))*0.425)</f>
        <v>7.94533543615574001</v>
      </c>
      <c r="Z7" s="76">
        <f>X7</f>
        <v>5.27082283947633989</v>
      </c>
      <c r="AA7" s="76">
        <f>((L7+I7+(LOG(J7)*4/3))*0.516)</f>
        <v>6.27355095666642004</v>
      </c>
      <c r="AB7" s="76">
        <f>(L7+I7+(LOG(J7)*4/3))*1</f>
        <v>12.1580444896636006</v>
      </c>
      <c r="AC7" s="76">
        <f>AA7/2</f>
        <v>3.13677547833321002</v>
      </c>
      <c r="AD7" s="76">
        <f>(M7+I7+(LOG(J7)*4/3))*0.238</f>
        <v>2.8936145885399398</v>
      </c>
      <c r="AE7" s="76">
        <f>((L7+I7+(LOG(J7)*4/3))*0.378)</f>
        <v>4.59574081709283977</v>
      </c>
      <c r="AF7" s="76">
        <f>(L7+I7+(LOG(J7)*4/3))*0.723</f>
        <v>8.79026616602678068</v>
      </c>
      <c r="AG7" s="76">
        <f>AE7/2</f>
        <v>2.29787040854641988</v>
      </c>
      <c r="AH7" s="76">
        <f>(M7+I7+(LOG(J7)*4/3))*0.385</f>
        <v>4.68084712852049023</v>
      </c>
      <c r="AI7" s="76">
        <f>((L7+I7+(LOG(J7)*4/3))*0.92)</f>
        <v>11.1854009304905002</v>
      </c>
      <c r="AJ7" s="76">
        <f>(L7+I7+(LOG(J7)*4/3))*0.414</f>
        <v>5.03343041872073016</v>
      </c>
      <c r="AK7" s="76">
        <f>((M7+I7+(LOG(J7)*4/3))*0.167)</f>
        <v>2.0303934297738202</v>
      </c>
      <c r="AL7" s="76">
        <f>(N7+I7+(LOG(J7)*4/3))*0.588</f>
        <v>7.14893015992219993</v>
      </c>
      <c r="AM7" s="76">
        <f>((L7+I7+(LOG(J7)*4/3))*0.754)</f>
        <v>9.16716554520636073</v>
      </c>
      <c r="AN7" s="76">
        <f>((L7+I7+(LOG(J7)*4/3))*0.708)</f>
        <v>8.60789549868182924</v>
      </c>
      <c r="AO7" s="76">
        <f>((Q7+I7+(LOG(J7)*4/3))*0.167)</f>
        <v>3.20774342977381988</v>
      </c>
      <c r="AP7" s="76">
        <f>((R7+I7+(LOG(J7)*4/3))*0.288)</f>
        <v>1.85451681302312998</v>
      </c>
      <c r="AQ7" s="76">
        <f>((L7+I7+(LOG(J7)*4/3))*0.27)</f>
        <v>3.28267201220916993</v>
      </c>
      <c r="AR7" s="76">
        <f>((L7+I7+(LOG(J7)*4/3))*0.594)</f>
        <v>7.22187842686018033</v>
      </c>
      <c r="AS7" s="76">
        <f>AQ7/2</f>
        <v>1.64133600610459007</v>
      </c>
      <c r="AT7" s="76">
        <f>((M7+I7+(LOG(J7)*4/3))*0.944)</f>
        <v>11.4771939982424005</v>
      </c>
      <c r="AU7" s="76">
        <f>((O7+I7+(LOG(J7)*4/3))*0.13)</f>
        <v>1.32054578365626996</v>
      </c>
      <c r="AV7" s="76">
        <f>((P7+I7+(LOG(J7)*4/3))*0.173)+((O7+I7+(LOG(J7)*4/3))*0.12)</f>
        <v>1.93830703547144001</v>
      </c>
      <c r="AW7" s="76">
        <f>AU7/2</f>
        <v>0.660272891828134956</v>
      </c>
      <c r="AX7" s="76">
        <f>((L7+I7+(LOG(J7)*4/3))*0.189)</f>
        <v>2.29787040854641988</v>
      </c>
      <c r="AY7" s="76">
        <f>((L7+I7+(LOG(J7)*4/3))*0.4)</f>
        <v>4.8632177958654399</v>
      </c>
      <c r="AZ7" s="76">
        <f>AX7/2</f>
        <v>1.14893520427320994</v>
      </c>
      <c r="BA7" s="76">
        <f>((M7+I7+(LOG(J7)*4/3))*1)</f>
        <v>12.1580444896636006</v>
      </c>
      <c r="BB7" s="76">
        <f>((O7+I7+(LOG(J7)*4/3))*0.253)</f>
        <v>2.56998525588489013</v>
      </c>
      <c r="BC7" s="76">
        <f>((P7+I7+(LOG(J7)*4/3))*0.21)+((O7+I7+(LOG(J7)*4/3))*0.341)</f>
        <v>4.33708251380465981</v>
      </c>
      <c r="BD7" s="76">
        <f>BB7/2</f>
        <v>1.28499262794244995</v>
      </c>
      <c r="BE7" s="76">
        <f>((L7+I7+(LOG(J7)*4/3))*0.291)</f>
        <v>3.53799094649211021</v>
      </c>
      <c r="BF7" s="76">
        <f>((L7+I7+(LOG(J7)*4/3))*0.348)</f>
        <v>4.23099948240292978</v>
      </c>
      <c r="BG7" s="76">
        <f>((M7+I7+(LOG(J7)*4/3))*0.881)</f>
        <v>10.7112371953936005</v>
      </c>
      <c r="BH7" s="76">
        <f>((N7+I7+(LOG(J7)*4/3))*0.574)+((O7+I7+(LOG(J7)*4/3))*0.315)</f>
        <v>10.1785015513108998</v>
      </c>
      <c r="BI7" s="76">
        <f>((O7+I7+(LOG(J7)*4/3))*0.241)</f>
        <v>2.4480887220089298</v>
      </c>
      <c r="BJ7" s="76">
        <f>((L7+I7+(LOG(J7)*4/3))*0.485)</f>
        <v>5.89665157748684976</v>
      </c>
      <c r="BK7" s="76">
        <f>((L7+I7+(LOG(J7)*4/3))*0.264)</f>
        <v>3.20972374527118998</v>
      </c>
      <c r="BL7" s="76">
        <f>((M7+I7+(LOG(J7)*4/3))*0.381)</f>
        <v>4.63221495056183041</v>
      </c>
      <c r="BM7" s="76">
        <f>((N7+I7+(LOG(J7)*4/3))*0.673)+((O7+I7+(LOG(J7)*4/3))*0.201)</f>
        <v>10.2241308839659997</v>
      </c>
      <c r="BN7" s="76">
        <f>((O7+I7+(LOG(J7)*4/3))*0.052)</f>
        <v>0.528218313462507005</v>
      </c>
      <c r="BO7" s="76">
        <f>((L7+I7+(LOG(J7)*4/3))*0.18)</f>
        <v>2.18844800813945017</v>
      </c>
      <c r="BP7" s="76">
        <f>(L7+I7+(LOG(J7)*4/3))*0.068</f>
        <v>0.826747025297125049</v>
      </c>
      <c r="BQ7" s="76">
        <f>((M7+I7+(LOG(J7)*4/3))*0.305)</f>
        <v>3.70820356934740003</v>
      </c>
      <c r="BR7" s="76">
        <f>((N7+I7+(LOG(J7)*4/3))*1)+((O7+I7+(LOG(J7)*4/3))*0.286)</f>
        <v>15.0632452137074004</v>
      </c>
      <c r="BS7" s="76">
        <f>((O7+I7+(LOG(J7)*4/3))*0.135)</f>
        <v>1.37133600610459006</v>
      </c>
      <c r="BT7" s="76">
        <f>((L7+I7+(LOG(J7)*4/3))*0.284)</f>
        <v>3.45288463506446019</v>
      </c>
      <c r="BU7" s="76">
        <f>(L7+I7+(LOG(J7)*4/3))*0.244</f>
        <v>2.9665628554779202</v>
      </c>
      <c r="BV7" s="76">
        <f>((M7+I7+(LOG(J7)*4/3))*0.455)</f>
        <v>5.53191024279693977</v>
      </c>
      <c r="BW7" s="76">
        <f>((N7+I7+(LOG(J7)*4/3))*0.864)+((O7+I7+(LOG(J7)*4/3))*0.244)</f>
        <v>12.9831132945472998</v>
      </c>
      <c r="BX7" s="76">
        <f>((O7+I7+(LOG(J7)*4/3))*0.121)</f>
        <v>1.22912338324930004</v>
      </c>
      <c r="BY7" s="76">
        <f>((L7+I7+(LOG(J7)*4/3))*0.284)</f>
        <v>3.45288463506446019</v>
      </c>
      <c r="BZ7" s="76">
        <f>((L7+I7+(LOG(J7)*4/3))*0.244)</f>
        <v>2.9665628554779202</v>
      </c>
      <c r="CA7" s="76">
        <f>((M7+I7+(LOG(J7)*4/3))*0.631)</f>
        <v>7.67172607297773013</v>
      </c>
      <c r="CB7" s="76">
        <f>((N7+I7+(LOG(J7)*4/3))*0.702)+((O7+I7+(LOG(J7)*4/3))*0.193)</f>
        <v>10.4954498182489004</v>
      </c>
      <c r="CC7" s="76">
        <f>((O7+I7+(LOG(J7)*4/3))*0.148)</f>
        <v>1.50339058447021001</v>
      </c>
      <c r="CD7" s="76">
        <f>((M7+I7+(LOG(J7)*4/3))*0.406)</f>
        <v>4.9361660628034203</v>
      </c>
      <c r="CE7" s="76">
        <f>IF(D7="TEC",((N7+I7+(LOG(J7)*4/3))*0.15)+((O7+I7+(LOG(J7)*4/3))*0.324)+((P7+I7+(LOG(J7)*4/3))*0.127),(((N7+I7+(LOG(J7)*4/3))*0.144)+((O7+I7+(LOG(J7)*4/3))*0.25)+((P7+I7+(LOG(J7)*4/3))*0.127)))</f>
        <v>4.81834117911474014</v>
      </c>
      <c r="CF7" s="76">
        <f>((O7+I7+(LOG(J7)*4/3))*0.543)+((P7+I7+(LOG(J7)*4/3))*0.583)</f>
        <v>7.93995809536123964</v>
      </c>
      <c r="CG7" s="76">
        <f>CE7</f>
        <v>4.81834117911474014</v>
      </c>
      <c r="CH7" s="76">
        <f>((P7+1+(LOG(J7)*4/3))*0.26)+((N7+I7+(LOG(J7)*4/3))*0.221)+((O7+I7+(LOG(J7)*4/3))*0.142)</f>
        <v>5.08046171706044003</v>
      </c>
      <c r="CI7" s="76">
        <f>((P7+I7+(LOG(J7)*4/3))*1)+((O7+I7+(LOG(J7)*4/3))*0.369)</f>
        <v>7.90636290634950978</v>
      </c>
      <c r="CJ7" s="76">
        <f>CH7</f>
        <v>5.08046171706044003</v>
      </c>
      <c r="CK7" s="76">
        <f>((M7+I7+(LOG(J7)*4/3))*0.25)</f>
        <v>3.03951112241590016</v>
      </c>
    </row>
    <row r="8" spans="1:89">
      <c r="A8" t="str">
        <f>Plantilla!D9</f>
        <v>S. Buschelman</v>
      </c>
      <c r="B8" s="62">
        <f>Plantilla!E9</f>
        <v>37</v>
      </c>
      <c r="C8" s="102">
        <f>Plantilla!F9</f>
        <v>106</v>
      </c>
      <c r="D8" s="62" t="str">
        <f>Plantilla!G9</f>
        <v>TEC</v>
      </c>
      <c r="E8" s="211" t="str">
        <f>Plantilla!O9</f>
        <v>Cantera</v>
      </c>
      <c r="F8" s="102">
        <f>Plantilla!Q9</f>
        <v>7</v>
      </c>
      <c r="G8" s="122">
        <f>(F8/7)^0.5</f>
        <v>1</v>
      </c>
      <c r="H8" s="122">
        <f>IF(F8=7,1,((F8+0.99)/7)^0.5)</f>
        <v>1</v>
      </c>
      <c r="I8" s="157">
        <f>Plantilla!P9</f>
        <v>1.5</v>
      </c>
      <c r="J8" s="158">
        <f>Plantilla!I9</f>
        <v>15.4000000000000004</v>
      </c>
      <c r="K8" s="53">
        <f>Plantilla!X9</f>
        <v>0</v>
      </c>
      <c r="L8" s="53">
        <f>Plantilla!Y9</f>
        <v>7.95000000000000018</v>
      </c>
      <c r="M8" s="53">
        <f>Plantilla!Z9</f>
        <v>11.9499999999999993</v>
      </c>
      <c r="N8" s="53">
        <f>Plantilla!AA9</f>
        <v>9.94999999999999929</v>
      </c>
      <c r="O8" s="53">
        <f>Plantilla!AB9</f>
        <v>6.95000000000000018</v>
      </c>
      <c r="P8" s="53">
        <f>Plantilla!AC9</f>
        <v>0.95</v>
      </c>
      <c r="Q8" s="53">
        <f>Plantilla!AD9</f>
        <v>16</v>
      </c>
      <c r="R8" s="158">
        <f>((2*(O8+1))+(L8+1))/8</f>
        <v>3.10625000000000018</v>
      </c>
      <c r="S8" s="158">
        <f>1.66*(P8+(LOG(J8)*4/3)+I8)+0.55*(Q8+(LOG(J8)*4/3)+I8)-7.6</f>
        <v>9.59122772406479918</v>
      </c>
      <c r="T8" s="53">
        <f>(0.5*P8+0.3*Q8)/10</f>
        <v>0.527499999999999947</v>
      </c>
      <c r="U8" s="53">
        <f>(0.4*L8+0.3*Q8)/10</f>
        <v>0.798000000000000043</v>
      </c>
      <c r="V8" s="158" t="e">
        <f aca="1">IF(TODAY()-E8&gt;335,(Q8+1+(LOG(J8)*4/3))*(F8/7)^0.5,(Q8+((TODAY()-E8)^0.5)/(336^0.5)+(LOG(J8)*4/3))*(F8/7)^0.5)</f>
        <v>#VALUE!</v>
      </c>
      <c r="W8" s="158" t="e">
        <f aca="1">IF(F8=7,V8,IF(TODAY()-E8&gt;335,(Q8+1+(LOG(J8)*4/3))*((F8+0.99)/7)^0.5,(Q8+((TODAY()-E8)^0.5)/(336^0.5)+(LOG(J8)*4/3))*((F8+0.99)/7)^0.5))</f>
        <v>#VALUE!</v>
      </c>
      <c r="X8" s="76">
        <f>((K8+I8+(LOG(J8)*4/3))*0.597)+((L8+I8+(LOG(J8)*4/3))*0.276)</f>
        <v>4.88597411905363987</v>
      </c>
      <c r="Y8" s="76">
        <f>((K8+I8+(LOG(J8)*4/3))*0.866)+((L8+I8+(LOG(J8)*4/3))*0.425)</f>
        <v>7.35936900079982959</v>
      </c>
      <c r="Z8" s="76">
        <f>X8</f>
        <v>4.88597411905363987</v>
      </c>
      <c r="AA8" s="76">
        <f>((L8+I8+(LOG(J8)*4/3))*0.516)</f>
        <v>5.69321425593549968</v>
      </c>
      <c r="AB8" s="76">
        <f>(L8+I8+(LOG(J8)*4/3))*1</f>
        <v>11.0333609611152994</v>
      </c>
      <c r="AC8" s="76">
        <f>AA8/2</f>
        <v>2.84660712796774984</v>
      </c>
      <c r="AD8" s="76">
        <f>(M8+I8+(LOG(J8)*4/3))*0.238</f>
        <v>3.57793990874543999</v>
      </c>
      <c r="AE8" s="76">
        <f>((L8+I8+(LOG(J8)*4/3))*0.378)</f>
        <v>4.17061044330158026</v>
      </c>
      <c r="AF8" s="76">
        <f>(L8+I8+(LOG(J8)*4/3))*0.723</f>
        <v>7.97711997488636015</v>
      </c>
      <c r="AG8" s="76">
        <f>AE8/2</f>
        <v>2.08530522165079013</v>
      </c>
      <c r="AH8" s="76">
        <f>(M8+I8+(LOG(J8)*4/3))*0.385</f>
        <v>5.78784397002938977</v>
      </c>
      <c r="AI8" s="76">
        <f>((L8+I8+(LOG(J8)*4/3))*0.92)</f>
        <v>10.1506920842260993</v>
      </c>
      <c r="AJ8" s="76">
        <f>(L8+I8+(LOG(J8)*4/3))*0.414</f>
        <v>4.56781143790172983</v>
      </c>
      <c r="AK8" s="76">
        <f>((M8+I8+(LOG(J8)*4/3))*0.167)</f>
        <v>2.51057128050626011</v>
      </c>
      <c r="AL8" s="76">
        <f>(N8+I8+(LOG(J8)*4/3))*0.588</f>
        <v>7.66361624513579986</v>
      </c>
      <c r="AM8" s="76">
        <f>((L8+I8+(LOG(J8)*4/3))*0.754)</f>
        <v>8.31915416468094016</v>
      </c>
      <c r="AN8" s="76">
        <f>((L8+I8+(LOG(J8)*4/3))*0.708)</f>
        <v>7.81161956046963013</v>
      </c>
      <c r="AO8" s="76">
        <f>((Q8+I8+(LOG(J8)*4/3))*0.167)</f>
        <v>3.18692128050625989</v>
      </c>
      <c r="AP8" s="76">
        <f>((R8+I8+(LOG(J8)*4/3))*0.288)</f>
        <v>1.7826079568012001</v>
      </c>
      <c r="AQ8" s="76">
        <f>((L8+I8+(LOG(J8)*4/3))*0.27)</f>
        <v>2.97900745950113013</v>
      </c>
      <c r="AR8" s="76">
        <f>((L8+I8+(LOG(J8)*4/3))*0.594)</f>
        <v>6.55381641090249012</v>
      </c>
      <c r="AS8" s="76">
        <f>AQ8/2</f>
        <v>1.48950372975057004</v>
      </c>
      <c r="AT8" s="76">
        <f>((M8+I8+(LOG(J8)*4/3))*0.944)</f>
        <v>14.1914927472928003</v>
      </c>
      <c r="AU8" s="76">
        <f>((O8+I8+(LOG(J8)*4/3))*0.13)</f>
        <v>1.30433692494499009</v>
      </c>
      <c r="AV8" s="76">
        <f>((P8+I8+(LOG(J8)*4/3))*0.173)+((O8+I8+(LOG(J8)*4/3))*0.12)</f>
        <v>1.90177476160677994</v>
      </c>
      <c r="AW8" s="76">
        <f>AU8/2</f>
        <v>0.652168462472495047</v>
      </c>
      <c r="AX8" s="76">
        <f>((L8+I8+(LOG(J8)*4/3))*0.189)</f>
        <v>2.08530522165079013</v>
      </c>
      <c r="AY8" s="76">
        <f>((L8+I8+(LOG(J8)*4/3))*0.4)</f>
        <v>4.41334438444611976</v>
      </c>
      <c r="AZ8" s="76">
        <f>AX8/2</f>
        <v>1.04265261082539995</v>
      </c>
      <c r="BA8" s="76">
        <f>((M8+I8+(LOG(J8)*4/3))*1)</f>
        <v>15.0333609611152994</v>
      </c>
      <c r="BB8" s="76">
        <f>((O8+I8+(LOG(J8)*4/3))*0.253)</f>
        <v>2.53844032316216994</v>
      </c>
      <c r="BC8" s="76">
        <f>((P8+I8+(LOG(J8)*4/3))*0.21)+((O8+I8+(LOG(J8)*4/3))*0.341)</f>
        <v>4.26838188957453024</v>
      </c>
      <c r="BD8" s="76">
        <f>BB8/2</f>
        <v>1.26922016158109008</v>
      </c>
      <c r="BE8" s="76">
        <f>((L8+I8+(LOG(J8)*4/3))*0.291)</f>
        <v>3.21070803968455021</v>
      </c>
      <c r="BF8" s="76">
        <f>((L8+I8+(LOG(J8)*4/3))*0.348)</f>
        <v>3.83960961446812021</v>
      </c>
      <c r="BG8" s="76">
        <f>((M8+I8+(LOG(J8)*4/3))*0.881)</f>
        <v>13.2443910067425996</v>
      </c>
      <c r="BH8" s="76">
        <f>((N8+I8+(LOG(J8)*4/3))*0.574)+((O8+I8+(LOG(J8)*4/3))*0.315)</f>
        <v>10.6416578944314999</v>
      </c>
      <c r="BI8" s="76">
        <f>((O8+I8+(LOG(J8)*4/3))*0.241)</f>
        <v>2.41803999162879002</v>
      </c>
      <c r="BJ8" s="76">
        <f>((L8+I8+(LOG(J8)*4/3))*0.485)</f>
        <v>5.35118006614091968</v>
      </c>
      <c r="BK8" s="76">
        <f>((L8+I8+(LOG(J8)*4/3))*0.264)</f>
        <v>2.9128072937344399</v>
      </c>
      <c r="BL8" s="76">
        <f>((M8+I8+(LOG(J8)*4/3))*0.381)</f>
        <v>5.72771052618493037</v>
      </c>
      <c r="BM8" s="76">
        <f>((N8+I8+(LOG(J8)*4/3))*0.673)+((O8+I8+(LOG(J8)*4/3))*0.201)</f>
        <v>10.7881574800147995</v>
      </c>
      <c r="BN8" s="76">
        <f>((O8+I8+(LOG(J8)*4/3))*0.052)</f>
        <v>0.521734769977995949</v>
      </c>
      <c r="BO8" s="76">
        <f>((L8+I8+(LOG(J8)*4/3))*0.18)</f>
        <v>1.98600497300074998</v>
      </c>
      <c r="BP8" s="76">
        <f>(L8+I8+(LOG(J8)*4/3))*0.068</f>
        <v>0.750268545355840999</v>
      </c>
      <c r="BQ8" s="76">
        <f>((M8+I8+(LOG(J8)*4/3))*0.305)</f>
        <v>4.5851750931401698</v>
      </c>
      <c r="BR8" s="76">
        <f>((N8+I8+(LOG(J8)*4/3))*1)+((O8+I8+(LOG(J8)*4/3))*0.286)</f>
        <v>15.9029021959943009</v>
      </c>
      <c r="BS8" s="76">
        <f>((O8+I8+(LOG(J8)*4/3))*0.135)</f>
        <v>1.35450372975056998</v>
      </c>
      <c r="BT8" s="76">
        <f>((L8+I8+(LOG(J8)*4/3))*0.284)</f>
        <v>3.13347451295675006</v>
      </c>
      <c r="BU8" s="76">
        <f>(L8+I8+(LOG(J8)*4/3))*0.244</f>
        <v>2.69214007451213</v>
      </c>
      <c r="BV8" s="76">
        <f>((M8+I8+(LOG(J8)*4/3))*0.455)</f>
        <v>6.84017923730745991</v>
      </c>
      <c r="BW8" s="76">
        <f>((N8+I8+(LOG(J8)*4/3))*0.864)+((O8+I8+(LOG(J8)*4/3))*0.244)</f>
        <v>13.7089639449157001</v>
      </c>
      <c r="BX8" s="76">
        <f>((O8+I8+(LOG(J8)*4/3))*0.121)</f>
        <v>1.21403667629494993</v>
      </c>
      <c r="BY8" s="76">
        <f>((L8+I8+(LOG(J8)*4/3))*0.284)</f>
        <v>3.13347451295675006</v>
      </c>
      <c r="BZ8" s="76">
        <f>((L8+I8+(LOG(J8)*4/3))*0.244)</f>
        <v>2.69214007451213</v>
      </c>
      <c r="CA8" s="76">
        <f>((M8+I8+(LOG(J8)*4/3))*0.631)</f>
        <v>9.48605076646376055</v>
      </c>
      <c r="CB8" s="76">
        <f>((N8+I8+(LOG(J8)*4/3))*0.702)+((O8+I8+(LOG(J8)*4/3))*0.193)</f>
        <v>11.0858580601982002</v>
      </c>
      <c r="CC8" s="76">
        <f>((O8+I8+(LOG(J8)*4/3))*0.148)</f>
        <v>1.48493742224505993</v>
      </c>
      <c r="CD8" s="76">
        <f>((M8+I8+(LOG(J8)*4/3))*0.406)</f>
        <v>6.10354455021280984</v>
      </c>
      <c r="CE8" s="76">
        <f>IF(D8="TEC",((N8+I8+(LOG(J8)*4/3))*0.15)+((O8+I8+(LOG(J8)*4/3))*0.324)+((P8+I8+(LOG(J8)*4/3))*0.127),(((N8+I8+(LOG(J8)*4/3))*0.144)+((O8+I8+(LOG(J8)*4/3))*0.25)+((P8+I8+(LOG(J8)*4/3))*0.127)))</f>
        <v>5.71804993763028957</v>
      </c>
      <c r="CF8" s="76">
        <f>((O8+I8+(LOG(J8)*4/3))*0.543)+((P8+I8+(LOG(J8)*4/3))*0.583)</f>
        <v>7.79956444221581968</v>
      </c>
      <c r="CG8" s="76">
        <f>CE8</f>
        <v>5.71804993763028957</v>
      </c>
      <c r="CH8" s="76">
        <f>((P8+1+(LOG(J8)*4/3))*0.26)+((N8+I8+(LOG(J8)*4/3))*0.221)+((O8+I8+(LOG(J8)*4/3))*0.142)</f>
        <v>5.22378387877482009</v>
      </c>
      <c r="CI8" s="76">
        <f>((P8+I8+(LOG(J8)*4/3))*1)+((O8+I8+(LOG(J8)*4/3))*0.369)</f>
        <v>7.73567115576682962</v>
      </c>
      <c r="CJ8" s="76">
        <f>CH8</f>
        <v>5.22378387877482009</v>
      </c>
      <c r="CK8" s="76">
        <f>((M8+I8+(LOG(J8)*4/3))*0.25)</f>
        <v>3.75834024027883018</v>
      </c>
    </row>
    <row r="9" spans="1:89">
      <c r="A9" t="str">
        <f>Plantilla!D10</f>
        <v>L. Tutorić</v>
      </c>
      <c r="B9" s="62">
        <f>Plantilla!E10</f>
        <v>29</v>
      </c>
      <c r="C9" s="102">
        <f>Plantilla!F10</f>
        <v>16</v>
      </c>
      <c r="D9" s="62" t="str">
        <f>Plantilla!G10</f>
        <v>CAB</v>
      </c>
      <c r="E9" s="211">
        <f>Plantilla!O10</f>
        <v>43982</v>
      </c>
      <c r="F9" s="102">
        <f>Plantilla!Q10</f>
        <v>5</v>
      </c>
      <c r="G9" s="122">
        <f>(F9/7)^0.5</f>
        <v>0.845154254728516108</v>
      </c>
      <c r="H9" s="122">
        <f>IF(F9=7,1,((F9+0.99)/7)^0.5)</f>
        <v>0.925048261289262008</v>
      </c>
      <c r="I9" s="157">
        <f>Plantilla!P10</f>
        <v>0.310366521471105994</v>
      </c>
      <c r="J9" s="158">
        <f>Plantilla!I10</f>
        <v>5.79999999999999982</v>
      </c>
      <c r="K9" s="53">
        <f>Plantilla!X10</f>
        <v>0</v>
      </c>
      <c r="L9" s="53">
        <f>Plantilla!Y10</f>
        <v>13</v>
      </c>
      <c r="M9" s="53">
        <f>Plantilla!Z10</f>
        <v>6</v>
      </c>
      <c r="N9" s="53">
        <f>Plantilla!AA10</f>
        <v>2</v>
      </c>
      <c r="O9" s="53">
        <f>Plantilla!AB10</f>
        <v>1</v>
      </c>
      <c r="P9" s="53">
        <f>Plantilla!AC10</f>
        <v>7</v>
      </c>
      <c r="Q9" s="53">
        <f>Plantilla!AD10</f>
        <v>15.3333333333333002</v>
      </c>
      <c r="R9" s="158">
        <f>((2*(O9+1))+(L9+1))/8</f>
        <v>2.25</v>
      </c>
      <c r="S9" s="158">
        <f>1.66*(P9+(LOG(J9)*4/3)+I9)+0.55*(Q9+(LOG(J9)*4/3)+I9)-7.6</f>
        <v>15.3888111668166001</v>
      </c>
      <c r="T9" s="53">
        <f>(0.5*P9+0.3*Q9)/10</f>
        <v>0.809999999999999076</v>
      </c>
      <c r="U9" s="53">
        <f>(0.4*L9+0.3*Q9)/10</f>
        <v>0.979999999999999005</v>
      </c>
      <c r="V9" s="158">
        <f aca="1">IF(TODAY()-E9&gt;335,(Q9+1+(LOG(J9)*4/3))*(F9/7)^0.5,(Q9+((TODAY()-E9)^0.5)/(336^0.5)+(LOG(J9)*4/3))*(F9/7)^0.5)</f>
        <v>14.1581332586781006</v>
      </c>
      <c r="W9" s="158">
        <f aca="1">IF(F9=7,V9,IF(TODAY()-E9&gt;335,(Q9+1+(LOG(J9)*4/3))*((F9+0.99)/7)^0.5,(Q9+((TODAY()-E9)^0.5)/(336^0.5)+(LOG(J9)*4/3))*((F9+0.99)/7)^0.5))</f>
        <v>15.4965279779002003</v>
      </c>
      <c r="X9" s="76">
        <f>((K9+I9+(LOG(J9)*4/3))*0.597)+((L9+I9+(LOG(J9)*4/3))*0.276)</f>
        <v>4.74758015775154973</v>
      </c>
      <c r="Y9" s="76">
        <f>((K9+I9+(LOG(J9)*4/3))*0.866)+((L9+I9+(LOG(J9)*4/3))*0.425)</f>
        <v>7.2397972321388897</v>
      </c>
      <c r="Z9" s="76">
        <f>X9</f>
        <v>4.74758015775154973</v>
      </c>
      <c r="AA9" s="76">
        <f>((L9+I9+(LOG(J9)*4/3))*0.516)</f>
        <v>7.39338758465042023</v>
      </c>
      <c r="AB9" s="76">
        <f>(L9+I9+(LOG(J9)*4/3))*1</f>
        <v>14.3282705128884</v>
      </c>
      <c r="AC9" s="76">
        <f>AA9/2</f>
        <v>3.69669379232521012</v>
      </c>
      <c r="AD9" s="76">
        <f>(M9+I9+(LOG(J9)*4/3))*0.238</f>
        <v>1.74412838206743004</v>
      </c>
      <c r="AE9" s="76">
        <f>((L9+I9+(LOG(J9)*4/3))*0.378)</f>
        <v>5.41608625387182041</v>
      </c>
      <c r="AF9" s="76">
        <f>(L9+I9+(LOG(J9)*4/3))*0.723</f>
        <v>10.3593395808183004</v>
      </c>
      <c r="AG9" s="76">
        <f>AE9/2</f>
        <v>2.70804312693591021</v>
      </c>
      <c r="AH9" s="76">
        <f>(M9+I9+(LOG(J9)*4/3))*0.385</f>
        <v>2.82138414746201995</v>
      </c>
      <c r="AI9" s="76">
        <f>((L9+I9+(LOG(J9)*4/3))*0.92)</f>
        <v>13.1820088718573007</v>
      </c>
      <c r="AJ9" s="76">
        <f>(L9+I9+(LOG(J9)*4/3))*0.414</f>
        <v>5.93190399233580035</v>
      </c>
      <c r="AK9" s="76">
        <f>((M9+I9+(LOG(J9)*4/3))*0.167)</f>
        <v>1.22382117565236004</v>
      </c>
      <c r="AL9" s="76">
        <f>(N9+I9+(LOG(J9)*4/3))*0.588</f>
        <v>1.95702306157835988</v>
      </c>
      <c r="AM9" s="76">
        <f>((L9+I9+(LOG(J9)*4/3))*0.754)</f>
        <v>10.8035159667178995</v>
      </c>
      <c r="AN9" s="76">
        <f>((L9+I9+(LOG(J9)*4/3))*0.708)</f>
        <v>10.1444155231249997</v>
      </c>
      <c r="AO9" s="76">
        <f>((Q9+I9+(LOG(J9)*4/3))*0.167)</f>
        <v>2.78248784231902002</v>
      </c>
      <c r="AP9" s="76">
        <f>((R9+I9+(LOG(J9)*4/3))*0.288)</f>
        <v>1.03054190771185006</v>
      </c>
      <c r="AQ9" s="76">
        <f>((L9+I9+(LOG(J9)*4/3))*0.27)</f>
        <v>3.86863303847986995</v>
      </c>
      <c r="AR9" s="76">
        <f>((L9+I9+(LOG(J9)*4/3))*0.594)</f>
        <v>8.51099268465570979</v>
      </c>
      <c r="AS9" s="76">
        <f>AQ9/2</f>
        <v>1.93431651923994004</v>
      </c>
      <c r="AT9" s="76">
        <f>((M9+I9+(LOG(J9)*4/3))*0.944)</f>
        <v>6.9178873641666101</v>
      </c>
      <c r="AU9" s="76">
        <f>((O9+I9+(LOG(J9)*4/3))*0.13)</f>
        <v>0.302675166675486995</v>
      </c>
      <c r="AV9" s="76">
        <f>((P9+I9+(LOG(J9)*4/3))*0.173)+((O9+I9+(LOG(J9)*4/3))*0.12)</f>
        <v>1.72018326027629005</v>
      </c>
      <c r="AW9" s="76">
        <f>AU9/2</f>
        <v>0.151337583337743986</v>
      </c>
      <c r="AX9" s="76">
        <f>((L9+I9+(LOG(J9)*4/3))*0.189)</f>
        <v>2.70804312693591021</v>
      </c>
      <c r="AY9" s="76">
        <f>((L9+I9+(LOG(J9)*4/3))*0.4)</f>
        <v>5.73130820515535966</v>
      </c>
      <c r="AZ9" s="76">
        <f>AX9/2</f>
        <v>1.35402156346795999</v>
      </c>
      <c r="BA9" s="76">
        <f>((M9+I9+(LOG(J9)*4/3))*1)</f>
        <v>7.32827051288836007</v>
      </c>
      <c r="BB9" s="76">
        <f>((O9+I9+(LOG(J9)*4/3))*0.253)</f>
        <v>0.589052439760755053</v>
      </c>
      <c r="BC9" s="76">
        <f>((P9+I9+(LOG(J9)*4/3))*0.21)+((O9+I9+(LOG(J9)*4/3))*0.341)</f>
        <v>2.54287705260149011</v>
      </c>
      <c r="BD9" s="76">
        <f>BB9/2</f>
        <v>0.294526219880378015</v>
      </c>
      <c r="BE9" s="76">
        <f>((L9+I9+(LOG(J9)*4/3))*0.291)</f>
        <v>4.16952671925052964</v>
      </c>
      <c r="BF9" s="76">
        <f>((L9+I9+(LOG(J9)*4/3))*0.348)</f>
        <v>4.9862381384851604</v>
      </c>
      <c r="BG9" s="76">
        <f>((M9+I9+(LOG(J9)*4/3))*0.881)</f>
        <v>6.45620632185465038</v>
      </c>
      <c r="BH9" s="76">
        <f>((N9+I9+(LOG(J9)*4/3))*0.574)+((O9+I9+(LOG(J9)*4/3))*0.315)</f>
        <v>2.64383248595774978</v>
      </c>
      <c r="BI9" s="76">
        <f>((O9+I9+(LOG(J9)*4/3))*0.241)</f>
        <v>0.561113193606094995</v>
      </c>
      <c r="BJ9" s="76">
        <f>((L9+I9+(LOG(J9)*4/3))*0.485)</f>
        <v>6.94921119875087001</v>
      </c>
      <c r="BK9" s="76">
        <f>((L9+I9+(LOG(J9)*4/3))*0.264)</f>
        <v>3.78266341540253981</v>
      </c>
      <c r="BL9" s="76">
        <f>((M9+I9+(LOG(J9)*4/3))*0.381)</f>
        <v>2.7920710654104699</v>
      </c>
      <c r="BM9" s="76">
        <f>((N9+I9+(LOG(J9)*4/3))*0.673)+((O9+I9+(LOG(J9)*4/3))*0.201)</f>
        <v>2.7079084282644299</v>
      </c>
      <c r="BN9" s="76">
        <f>((O9+I9+(LOG(J9)*4/3))*0.052)</f>
        <v>0.121070066670194998</v>
      </c>
      <c r="BO9" s="76">
        <f>((L9+I9+(LOG(J9)*4/3))*0.18)</f>
        <v>2.57908869231990989</v>
      </c>
      <c r="BP9" s="76">
        <f>(L9+I9+(LOG(J9)*4/3))*0.068</f>
        <v>0.974322394876411124</v>
      </c>
      <c r="BQ9" s="76">
        <f>((M9+I9+(LOG(J9)*4/3))*0.305)</f>
        <v>2.23512250643095012</v>
      </c>
      <c r="BR9" s="76">
        <f>((N9+I9+(LOG(J9)*4/3))*1)+((O9+I9+(LOG(J9)*4/3))*0.286)</f>
        <v>3.99415587957442995</v>
      </c>
      <c r="BS9" s="76">
        <f>((O9+I9+(LOG(J9)*4/3))*0.135)</f>
        <v>0.314316519239929004</v>
      </c>
      <c r="BT9" s="76">
        <f>((L9+I9+(LOG(J9)*4/3))*0.284)</f>
        <v>4.06922882566030975</v>
      </c>
      <c r="BU9" s="76">
        <f>(L9+I9+(LOG(J9)*4/3))*0.244</f>
        <v>3.49609800514476987</v>
      </c>
      <c r="BV9" s="76">
        <f>((M9+I9+(LOG(J9)*4/3))*0.455)</f>
        <v>3.33436308336420018</v>
      </c>
      <c r="BW9" s="76">
        <f>((N9+I9+(LOG(J9)*4/3))*0.864)+((O9+I9+(LOG(J9)*4/3))*0.244)</f>
        <v>3.44372372828029993</v>
      </c>
      <c r="BX9" s="76">
        <f>((O9+I9+(LOG(J9)*4/3))*0.121)</f>
        <v>0.281720732059492018</v>
      </c>
      <c r="BY9" s="76">
        <f>((L9+I9+(LOG(J9)*4/3))*0.284)</f>
        <v>4.06922882566030975</v>
      </c>
      <c r="BZ9" s="76">
        <f>((L9+I9+(LOG(J9)*4/3))*0.244)</f>
        <v>3.49609800514476987</v>
      </c>
      <c r="CA9" s="76">
        <f>((M9+I9+(LOG(J9)*4/3))*0.631)</f>
        <v>4.62413869363255969</v>
      </c>
      <c r="CB9" s="76">
        <f>((N9+I9+(LOG(J9)*4/3))*0.702)+((O9+I9+(LOG(J9)*4/3))*0.193)</f>
        <v>2.78580210903507997</v>
      </c>
      <c r="CC9" s="76">
        <f>((O9+I9+(LOG(J9)*4/3))*0.148)</f>
        <v>0.344584035907476993</v>
      </c>
      <c r="CD9" s="76">
        <f>((M9+I9+(LOG(J9)*4/3))*0.406)</f>
        <v>2.97527782823267017</v>
      </c>
      <c r="CE9" s="76">
        <f>IF(D9="TEC",((N9+I9+(LOG(J9)*4/3))*0.15)+((O9+I9+(LOG(J9)*4/3))*0.324)+((P9+I9+(LOG(J9)*4/3))*0.127),(((N9+I9+(LOG(J9)*4/3))*0.144)+((O9+I9+(LOG(J9)*4/3))*0.25)+((P9+I9+(LOG(J9)*4/3))*0.127)))</f>
        <v>2.11902893721482988</v>
      </c>
      <c r="CF9" s="76">
        <f>((O9+I9+(LOG(J9)*4/3))*0.543)+((P9+I9+(LOG(J9)*4/3))*0.583)</f>
        <v>6.11963259751228961</v>
      </c>
      <c r="CG9" s="76">
        <f>CE9</f>
        <v>2.11902893721482988</v>
      </c>
      <c r="CH9" s="76">
        <f>((P9+1+(LOG(J9)*4/3))*0.26)+((N9+I9+(LOG(J9)*4/3))*0.221)+((O9+I9+(LOG(J9)*4/3))*0.142)</f>
        <v>3.41081723394697001</v>
      </c>
      <c r="CI9" s="76">
        <f>((P9+I9+(LOG(J9)*4/3))*1)+((O9+I9+(LOG(J9)*4/3))*0.369)</f>
        <v>9.18740233214417046</v>
      </c>
      <c r="CJ9" s="76">
        <f>CH9</f>
        <v>3.41081723394697001</v>
      </c>
      <c r="CK9" s="76">
        <f>((M9+I9+(LOG(J9)*4/3))*0.25)</f>
        <v>1.83206762822208997</v>
      </c>
    </row>
    <row r="10" spans="1:89">
      <c r="A10" t="str">
        <f>Plantilla!D11</f>
        <v>S. Swärdborn</v>
      </c>
      <c r="B10" s="62">
        <f>Plantilla!E11</f>
        <v>22</v>
      </c>
      <c r="C10" s="102">
        <f>Plantilla!F11</f>
        <v>18</v>
      </c>
      <c r="D10" s="62" t="str">
        <f>Plantilla!G11</f>
        <v>IMP</v>
      </c>
      <c r="E10" s="211">
        <f>Plantilla!O11</f>
        <v>43884</v>
      </c>
      <c r="F10" s="102">
        <f>Plantilla!Q11</f>
        <v>5</v>
      </c>
      <c r="G10" s="122">
        <f>(F10/7)^0.5</f>
        <v>0.845154254728516108</v>
      </c>
      <c r="H10" s="122">
        <f>IF(F10=7,1,((F10+0.99)/7)^0.5)</f>
        <v>0.925048261289262008</v>
      </c>
      <c r="I10" s="157">
        <f>Plantilla!P11</f>
        <v>0.601897803907800988</v>
      </c>
      <c r="J10" s="158">
        <f>Plantilla!I11</f>
        <v>4.70000000000000018</v>
      </c>
      <c r="K10" s="53">
        <f>Plantilla!X11</f>
        <v>0</v>
      </c>
      <c r="L10" s="53">
        <f>Plantilla!Y11</f>
        <v>12</v>
      </c>
      <c r="M10" s="53">
        <f>Plantilla!Z11</f>
        <v>7</v>
      </c>
      <c r="N10" s="53">
        <f>Plantilla!AA11</f>
        <v>1</v>
      </c>
      <c r="O10" s="53">
        <f>Plantilla!AB11</f>
        <v>3</v>
      </c>
      <c r="P10" s="53">
        <f>Plantilla!AC11</f>
        <v>6</v>
      </c>
      <c r="Q10" s="53">
        <f>Plantilla!AD11</f>
        <v>15.3333333333333002</v>
      </c>
      <c r="R10" s="158">
        <f>((2*(O10+1))+(L10+1))/8</f>
        <v>2.625</v>
      </c>
      <c r="S10" s="158">
        <f>1.66*(P10+(LOG(J10)*4/3)+I10)+0.55*(Q10+(LOG(J10)*4/3)+I10)-7.6</f>
        <v>14.1039758346867998</v>
      </c>
      <c r="T10" s="53">
        <f>(0.5*P10+0.3*Q10)/10</f>
        <v>0.759999999999998987</v>
      </c>
      <c r="U10" s="53">
        <f>(0.4*L10+0.3*Q10)/10</f>
        <v>0.93999999999999897</v>
      </c>
      <c r="V10" s="158">
        <f aca="1">IF(TODAY()-E10&gt;335,(Q10+1+(LOG(J10)*4/3))*(F10/7)^0.5,(Q10+((TODAY()-E10)^0.5)/(336^0.5)+(LOG(J10)*4/3))*(F10/7)^0.5)</f>
        <v>14.2848449812994005</v>
      </c>
      <c r="W10" s="158">
        <f aca="1">IF(F10=7,V10,IF(TODAY()-E10&gt;335,(Q10+1+(LOG(J10)*4/3))*((F10+0.99)/7)^0.5,(Q10+((TODAY()-E10)^0.5)/(336^0.5)+(LOG(J10)*4/3))*((F10+0.99)/7)^0.5))</f>
        <v>15.6352179957756992</v>
      </c>
      <c r="X10" s="76">
        <f>((K10+I10+(LOG(J10)*4/3))*0.597)+((L10+I10+(LOG(J10)*4/3))*0.276)</f>
        <v>4.61977868944867964</v>
      </c>
      <c r="Y10" s="76">
        <f>((K10+I10+(LOG(J10)*4/3))*0.866)+((L10+I10+(LOG(J10)*4/3))*0.425)</f>
        <v>7.03395451097165036</v>
      </c>
      <c r="Z10" s="76">
        <f>X10</f>
        <v>4.61977868944867964</v>
      </c>
      <c r="AA10" s="76">
        <f>((L10+I10+(LOG(J10)*4/3))*0.516)</f>
        <v>6.96498259307618994</v>
      </c>
      <c r="AB10" s="76">
        <f>(L10+I10+(LOG(J10)*4/3))*1</f>
        <v>13.4980282811554009</v>
      </c>
      <c r="AC10" s="76">
        <f>AA10/2</f>
        <v>3.48249129653809986</v>
      </c>
      <c r="AD10" s="76">
        <f>(M10+I10+(LOG(J10)*4/3))*0.238</f>
        <v>2.02253073091499003</v>
      </c>
      <c r="AE10" s="76">
        <f>((L10+I10+(LOG(J10)*4/3))*0.378)</f>
        <v>5.10225469027674006</v>
      </c>
      <c r="AF10" s="76">
        <f>(L10+I10+(LOG(J10)*4/3))*0.723</f>
        <v>9.75907444727535989</v>
      </c>
      <c r="AG10" s="76">
        <f>AE10/2</f>
        <v>2.55112734513837003</v>
      </c>
      <c r="AH10" s="76">
        <f>(M10+I10+(LOG(J10)*4/3))*0.385</f>
        <v>3.27174088824484022</v>
      </c>
      <c r="AI10" s="76">
        <f>((L10+I10+(LOG(J10)*4/3))*0.92)</f>
        <v>12.4181860186630004</v>
      </c>
      <c r="AJ10" s="76">
        <f>(L10+I10+(LOG(J10)*4/3))*0.414</f>
        <v>5.58818370839833989</v>
      </c>
      <c r="AK10" s="76">
        <f>((M10+I10+(LOG(J10)*4/3))*0.167)</f>
        <v>1.41917072295295998</v>
      </c>
      <c r="AL10" s="76">
        <f>(N10+I10+(LOG(J10)*4/3))*0.588</f>
        <v>1.46884062931939008</v>
      </c>
      <c r="AM10" s="76">
        <f>((L10+I10+(LOG(J10)*4/3))*0.754)</f>
        <v>10.1775133239911995</v>
      </c>
      <c r="AN10" s="76">
        <f>((L10+I10+(LOG(J10)*4/3))*0.708)</f>
        <v>9.55660402305801959</v>
      </c>
      <c r="AO10" s="76">
        <f>((Q10+I10+(LOG(J10)*4/3))*0.167)</f>
        <v>2.81083738961961025</v>
      </c>
      <c r="AP10" s="76">
        <f>((R10+I10+(LOG(J10)*4/3))*0.288)</f>
        <v>1.18743214497276007</v>
      </c>
      <c r="AQ10" s="76">
        <f>((L10+I10+(LOG(J10)*4/3))*0.27)</f>
        <v>3.6444676359119601</v>
      </c>
      <c r="AR10" s="76">
        <f>((L10+I10+(LOG(J10)*4/3))*0.594)</f>
        <v>8.01782879900630974</v>
      </c>
      <c r="AS10" s="76">
        <f>AQ10/2</f>
        <v>1.82223381795598005</v>
      </c>
      <c r="AT10" s="76">
        <f>((M10+I10+(LOG(J10)*4/3))*0.944)</f>
        <v>8.02213869741073005</v>
      </c>
      <c r="AU10" s="76">
        <f>((O10+I10+(LOG(J10)*4/3))*0.13)</f>
        <v>0.584743676550204938</v>
      </c>
      <c r="AV10" s="76">
        <f>((P10+I10+(LOG(J10)*4/3))*0.173)+((O10+I10+(LOG(J10)*4/3))*0.12)</f>
        <v>1.83692228637853994</v>
      </c>
      <c r="AW10" s="76">
        <f>AU10/2</f>
        <v>0.292371838275103002</v>
      </c>
      <c r="AX10" s="76">
        <f>((L10+I10+(LOG(J10)*4/3))*0.189)</f>
        <v>2.55112734513837003</v>
      </c>
      <c r="AY10" s="76">
        <f>((L10+I10+(LOG(J10)*4/3))*0.4)</f>
        <v>5.39921131246216035</v>
      </c>
      <c r="AZ10" s="76">
        <f>AX10/2</f>
        <v>1.2755636725691899</v>
      </c>
      <c r="BA10" s="76">
        <f>((M10+I10+(LOG(J10)*4/3))*1)</f>
        <v>8.4980282811554293</v>
      </c>
      <c r="BB10" s="76">
        <f>((O10+I10+(LOG(J10)*4/3))*0.253)</f>
        <v>1.13800115513231992</v>
      </c>
      <c r="BC10" s="76">
        <f>((P10+I10+(LOG(J10)*4/3))*0.21)+((O10+I10+(LOG(J10)*4/3))*0.341)</f>
        <v>3.10841358291663994</v>
      </c>
      <c r="BD10" s="76">
        <f>BB10/2</f>
        <v>0.569000577566160004</v>
      </c>
      <c r="BE10" s="76">
        <f>((L10+I10+(LOG(J10)*4/3))*0.291)</f>
        <v>3.92792622981622017</v>
      </c>
      <c r="BF10" s="76">
        <f>((L10+I10+(LOG(J10)*4/3))*0.348)</f>
        <v>4.6973138418420799</v>
      </c>
      <c r="BG10" s="76">
        <f>((M10+I10+(LOG(J10)*4/3))*0.881)</f>
        <v>7.48676291569792962</v>
      </c>
      <c r="BH10" s="76">
        <f>((N10+I10+(LOG(J10)*4/3))*0.574)+((O10+I10+(LOG(J10)*4/3))*0.315)</f>
        <v>2.85074714194717025</v>
      </c>
      <c r="BI10" s="76">
        <f>((O10+I10+(LOG(J10)*4/3))*0.241)</f>
        <v>1.08402481575846</v>
      </c>
      <c r="BJ10" s="76">
        <f>((L10+I10+(LOG(J10)*4/3))*0.485)</f>
        <v>6.54654371636036991</v>
      </c>
      <c r="BK10" s="76">
        <f>((L10+I10+(LOG(J10)*4/3))*0.264)</f>
        <v>3.5634794662250302</v>
      </c>
      <c r="BL10" s="76">
        <f>((M10+I10+(LOG(J10)*4/3))*0.381)</f>
        <v>3.23774877512021986</v>
      </c>
      <c r="BM10" s="76">
        <f>((N10+I10+(LOG(J10)*4/3))*0.673)+((O10+I10+(LOG(J10)*4/3))*0.201)</f>
        <v>2.58527671772983991</v>
      </c>
      <c r="BN10" s="76">
        <f>((O10+I10+(LOG(J10)*4/3))*0.052)</f>
        <v>0.233897470620081993</v>
      </c>
      <c r="BO10" s="76">
        <f>((L10+I10+(LOG(J10)*4/3))*0.18)</f>
        <v>2.42964509060796985</v>
      </c>
      <c r="BP10" s="76">
        <f>(L10+I10+(LOG(J10)*4/3))*0.068</f>
        <v>0.91786592311856694</v>
      </c>
      <c r="BQ10" s="76">
        <f>((M10+I10+(LOG(J10)*4/3))*0.305)</f>
        <v>2.59189862575240992</v>
      </c>
      <c r="BR10" s="76">
        <f>((N10+I10+(LOG(J10)*4/3))*1)+((O10+I10+(LOG(J10)*4/3))*0.286)</f>
        <v>3.78446436956587018</v>
      </c>
      <c r="BS10" s="76">
        <f>((O10+I10+(LOG(J10)*4/3))*0.135)</f>
        <v>0.607233817955981969</v>
      </c>
      <c r="BT10" s="76">
        <f>((L10+I10+(LOG(J10)*4/3))*0.284)</f>
        <v>3.83344003184812987</v>
      </c>
      <c r="BU10" s="76">
        <f>(L10+I10+(LOG(J10)*4/3))*0.244</f>
        <v>3.29351890060191987</v>
      </c>
      <c r="BV10" s="76">
        <f>((M10+I10+(LOG(J10)*4/3))*0.455)</f>
        <v>3.86660286792572006</v>
      </c>
      <c r="BW10" s="76">
        <f>((N10+I10+(LOG(J10)*4/3))*0.864)+((O10+I10+(LOG(J10)*4/3))*0.244)</f>
        <v>3.25581533552020019</v>
      </c>
      <c r="BX10" s="76">
        <f>((O10+I10+(LOG(J10)*4/3))*0.121)</f>
        <v>0.544261422019805963</v>
      </c>
      <c r="BY10" s="76">
        <f>((L10+I10+(LOG(J10)*4/3))*0.284)</f>
        <v>3.83344003184812987</v>
      </c>
      <c r="BZ10" s="76">
        <f>((L10+I10+(LOG(J10)*4/3))*0.244)</f>
        <v>3.29351890060191987</v>
      </c>
      <c r="CA10" s="76">
        <f>((M10+I10+(LOG(J10)*4/3))*0.631)</f>
        <v>5.36225584540907985</v>
      </c>
      <c r="CB10" s="76">
        <f>((N10+I10+(LOG(J10)*4/3))*0.702)+((O10+I10+(LOG(J10)*4/3))*0.193)</f>
        <v>2.62173531163411022</v>
      </c>
      <c r="CC10" s="76">
        <f>((O10+I10+(LOG(J10)*4/3))*0.148)</f>
        <v>0.665708185611002001</v>
      </c>
      <c r="CD10" s="76">
        <f>((M10+I10+(LOG(J10)*4/3))*0.406)</f>
        <v>3.45019948214910999</v>
      </c>
      <c r="CE10" s="76">
        <f>IF(D10="TEC",((N10+I10+(LOG(J10)*4/3))*0.15)+((O10+I10+(LOG(J10)*4/3))*0.324)+((P10+I10+(LOG(J10)*4/3))*0.127),(((N10+I10+(LOG(J10)*4/3))*0.144)+((O10+I10+(LOG(J10)*4/3))*0.25)+((P10+I10+(LOG(J10)*4/3))*0.127)))</f>
        <v>2.43647273448197987</v>
      </c>
      <c r="CF10" s="76">
        <f>((O10+I10+(LOG(J10)*4/3))*0.543)+((P10+I10+(LOG(J10)*4/3))*0.583)</f>
        <v>6.81377984458100006</v>
      </c>
      <c r="CG10" s="76">
        <f>CE10</f>
        <v>2.43647273448197987</v>
      </c>
      <c r="CH10" s="76">
        <f>((P10+1+(LOG(J10)*4/3))*0.26)+((N10+I10+(LOG(J10)*4/3))*0.221)+((O10+I10+(LOG(J10)*4/3))*0.142)</f>
        <v>3.24377819014380009</v>
      </c>
      <c r="CI10" s="76">
        <f>((P10+I10+(LOG(J10)*4/3))*1)+((O10+I10+(LOG(J10)*4/3))*0.369)</f>
        <v>9.15780071690176989</v>
      </c>
      <c r="CJ10" s="76">
        <f>CH10</f>
        <v>3.24377819014380009</v>
      </c>
      <c r="CK10" s="76">
        <f>((M10+I10+(LOG(J10)*4/3))*0.25)</f>
        <v>2.12450707028885999</v>
      </c>
    </row>
    <row r="11" spans="1:89">
      <c r="A11" t="str">
        <f>Plantilla!D12</f>
        <v>A. Grimaud</v>
      </c>
      <c r="B11" s="62">
        <f>Plantilla!E12</f>
        <v>22</v>
      </c>
      <c r="C11" s="102">
        <f>Plantilla!F12</f>
        <v>41</v>
      </c>
      <c r="D11" s="62" t="str">
        <f>Plantilla!G12</f>
        <v>RAP</v>
      </c>
      <c r="E11" s="211">
        <f>Plantilla!O12</f>
        <v>43739</v>
      </c>
      <c r="F11" s="102">
        <f>Plantilla!Q12</f>
        <v>6</v>
      </c>
      <c r="G11" s="122">
        <f>(F11/7)^0.5</f>
        <v>0.925820099772552041</v>
      </c>
      <c r="H11" s="122">
        <f>IF(F11=7,1,((F11+0.99)/7)^0.5)</f>
        <v>0.999285459001294996</v>
      </c>
      <c r="I11" s="157">
        <f>Plantilla!P12</f>
        <v>0.924074508633018965</v>
      </c>
      <c r="J11" s="158">
        <f>Plantilla!I12</f>
        <v>4.70000000000000018</v>
      </c>
      <c r="K11" s="53">
        <f>Plantilla!X12</f>
        <v>0</v>
      </c>
      <c r="L11" s="53">
        <f>Plantilla!Y12</f>
        <v>12</v>
      </c>
      <c r="M11" s="53">
        <f>Plantilla!Z12</f>
        <v>7</v>
      </c>
      <c r="N11" s="53">
        <f>Plantilla!AA12</f>
        <v>3</v>
      </c>
      <c r="O11" s="53">
        <f>Plantilla!AB12</f>
        <v>3</v>
      </c>
      <c r="P11" s="53">
        <f>Plantilla!AC12</f>
        <v>5</v>
      </c>
      <c r="Q11" s="53">
        <f>Plantilla!AD12</f>
        <v>14.3333333333333002</v>
      </c>
      <c r="R11" s="158">
        <f>((2*(O11+1))+(L11+1))/8</f>
        <v>2.625</v>
      </c>
      <c r="S11" s="158">
        <f>1.66*(P11+(LOG(J11)*4/3)+I11)+0.55*(Q11+(LOG(J11)*4/3)+I11)-7.6</f>
        <v>12.6059863521295998</v>
      </c>
      <c r="T11" s="53">
        <f>(0.5*P11+0.3*Q11)/10</f>
        <v>0.679999999999999005</v>
      </c>
      <c r="U11" s="53">
        <f>(0.4*L11+0.3*Q11)/10</f>
        <v>0.909999999999999076</v>
      </c>
      <c r="V11" s="158">
        <f aca="1">IF(TODAY()-E11&gt;335,(Q11+1+(LOG(J11)*4/3))*(F11/7)^0.5,(Q11+((TODAY()-E11)^0.5)/(336^0.5)+(LOG(J11)*4/3))*(F11/7)^0.5)</f>
        <v>14.9701763908055003</v>
      </c>
      <c r="W11" s="158">
        <f aca="1">IF(F11=7,V11,IF(TODAY()-E11&gt;335,(Q11+1+(LOG(J11)*4/3))*((F11+0.99)/7)^0.5,(Q11+((TODAY()-E11)^0.5)/(336^0.5)+(LOG(J11)*4/3))*((F11+0.99)/7)^0.5))</f>
        <v>16.1580846966830016</v>
      </c>
      <c r="X11" s="76">
        <f>((K11+I11+(LOG(J11)*4/3))*0.597)+((L11+I11+(LOG(J11)*4/3))*0.276)</f>
        <v>4.90103895267379031</v>
      </c>
      <c r="Y11" s="76">
        <f>((K11+I11+(LOG(J11)*4/3))*0.866)+((L11+I11+(LOG(J11)*4/3))*0.425)</f>
        <v>7.44988463677189028</v>
      </c>
      <c r="Z11" s="76">
        <f>X11</f>
        <v>4.90103895267379031</v>
      </c>
      <c r="AA11" s="76">
        <f>((L11+I11+(LOG(J11)*4/3))*0.516)</f>
        <v>7.13122577271438995</v>
      </c>
      <c r="AB11" s="76">
        <f>(L11+I11+(LOG(J11)*4/3))*1</f>
        <v>13.8202049858806006</v>
      </c>
      <c r="AC11" s="76">
        <f>AA11/2</f>
        <v>3.56561288635719986</v>
      </c>
      <c r="AD11" s="76">
        <f>(M11+I11+(LOG(J11)*4/3))*0.238</f>
        <v>2.09920878663960009</v>
      </c>
      <c r="AE11" s="76">
        <f>((L11+I11+(LOG(J11)*4/3))*0.378)</f>
        <v>5.22403748466286988</v>
      </c>
      <c r="AF11" s="76">
        <f>(L11+I11+(LOG(J11)*4/3))*0.723</f>
        <v>9.99200820479168073</v>
      </c>
      <c r="AG11" s="76">
        <f>AE11/2</f>
        <v>2.61201874233143982</v>
      </c>
      <c r="AH11" s="76">
        <f>(M11+I11+(LOG(J11)*4/3))*0.385</f>
        <v>3.3957789195640502</v>
      </c>
      <c r="AI11" s="76">
        <f>((L11+I11+(LOG(J11)*4/3))*0.92)</f>
        <v>12.7145885870101996</v>
      </c>
      <c r="AJ11" s="76">
        <f>(L11+I11+(LOG(J11)*4/3))*0.414</f>
        <v>5.72156486415457</v>
      </c>
      <c r="AK11" s="76">
        <f>((M11+I11+(LOG(J11)*4/3))*0.167)</f>
        <v>1.47297423264207001</v>
      </c>
      <c r="AL11" s="76">
        <f>(N11+I11+(LOG(J11)*4/3))*0.588</f>
        <v>2.83428053169782004</v>
      </c>
      <c r="AM11" s="76">
        <f>((L11+I11+(LOG(J11)*4/3))*0.754)</f>
        <v>10.4204345593539998</v>
      </c>
      <c r="AN11" s="76">
        <f>((L11+I11+(LOG(J11)*4/3))*0.708)</f>
        <v>9.78470513000346998</v>
      </c>
      <c r="AO11" s="76">
        <f>((Q11+I11+(LOG(J11)*4/3))*0.167)</f>
        <v>2.6976408993087202</v>
      </c>
      <c r="AP11" s="76">
        <f>((R11+I11+(LOG(J11)*4/3))*0.288)</f>
        <v>1.28021903593363007</v>
      </c>
      <c r="AQ11" s="76">
        <f>((L11+I11+(LOG(J11)*4/3))*0.27)</f>
        <v>3.7314553461877602</v>
      </c>
      <c r="AR11" s="76">
        <f>((L11+I11+(LOG(J11)*4/3))*0.594)</f>
        <v>8.20920176161308035</v>
      </c>
      <c r="AS11" s="76">
        <f>AQ11/2</f>
        <v>1.86572767309388006</v>
      </c>
      <c r="AT11" s="76">
        <f>((M11+I11+(LOG(J11)*4/3))*0.944)</f>
        <v>8.32627350667132937</v>
      </c>
      <c r="AU11" s="76">
        <f>((O11+I11+(LOG(J11)*4/3))*0.13)</f>
        <v>0.626626648164485012</v>
      </c>
      <c r="AV11" s="76">
        <f>((P11+I11+(LOG(J11)*4/3))*0.173)+((O11+I11+(LOG(J11)*4/3))*0.12)</f>
        <v>1.75832006086303005</v>
      </c>
      <c r="AW11" s="76">
        <f>AU11/2</f>
        <v>0.313313324082242994</v>
      </c>
      <c r="AX11" s="76">
        <f>((L11+I11+(LOG(J11)*4/3))*0.189)</f>
        <v>2.61201874233143005</v>
      </c>
      <c r="AY11" s="76">
        <f>((L11+I11+(LOG(J11)*4/3))*0.4)</f>
        <v>5.5280819943522399</v>
      </c>
      <c r="AZ11" s="76">
        <f>AX11/2</f>
        <v>1.30600937116571991</v>
      </c>
      <c r="BA11" s="76">
        <f>((M11+I11+(LOG(J11)*4/3))*1)</f>
        <v>8.82020498588065038</v>
      </c>
      <c r="BB11" s="76">
        <f>((O11+I11+(LOG(J11)*4/3))*0.253)</f>
        <v>1.21951186142779999</v>
      </c>
      <c r="BC11" s="76">
        <f>((P11+I11+(LOG(J11)*4/3))*0.21)+((O11+I11+(LOG(J11)*4/3))*0.341)</f>
        <v>3.07593294722023991</v>
      </c>
      <c r="BD11" s="76">
        <f>BB11/2</f>
        <v>0.609755930713899996</v>
      </c>
      <c r="BE11" s="76">
        <f>((L11+I11+(LOG(J11)*4/3))*0.291)</f>
        <v>4.02167965089125978</v>
      </c>
      <c r="BF11" s="76">
        <f>((L11+I11+(LOG(J11)*4/3))*0.348)</f>
        <v>4.80943133508645015</v>
      </c>
      <c r="BG11" s="76">
        <f>((M11+I11+(LOG(J11)*4/3))*0.881)</f>
        <v>7.77060059256085012</v>
      </c>
      <c r="BH11" s="76">
        <f>((N11+I11+(LOG(J11)*4/3))*0.574)+((O11+I11+(LOG(J11)*4/3))*0.315)</f>
        <v>4.28516223244789973</v>
      </c>
      <c r="BI11" s="76">
        <f>((O11+I11+(LOG(J11)*4/3))*0.241)</f>
        <v>1.16166940159723997</v>
      </c>
      <c r="BJ11" s="76">
        <f>((L11+I11+(LOG(J11)*4/3))*0.485)</f>
        <v>6.70279941815208957</v>
      </c>
      <c r="BK11" s="76">
        <f>((L11+I11+(LOG(J11)*4/3))*0.264)</f>
        <v>3.64853411627247981</v>
      </c>
      <c r="BL11" s="76">
        <f>((M11+I11+(LOG(J11)*4/3))*0.381)</f>
        <v>3.36049809962052981</v>
      </c>
      <c r="BM11" s="76">
        <f>((N11+I11+(LOG(J11)*4/3))*0.673)+((O11+I11+(LOG(J11)*4/3))*0.201)</f>
        <v>4.21285915765968966</v>
      </c>
      <c r="BN11" s="76">
        <f>((O11+I11+(LOG(J11)*4/3))*0.052)</f>
        <v>0.250650659265793996</v>
      </c>
      <c r="BO11" s="76">
        <f>((L11+I11+(LOG(J11)*4/3))*0.18)</f>
        <v>2.48763689745850991</v>
      </c>
      <c r="BP11" s="76">
        <f>(L11+I11+(LOG(J11)*4/3))*0.068</f>
        <v>0.939773939039880979</v>
      </c>
      <c r="BQ11" s="76">
        <f>((M11+I11+(LOG(J11)*4/3))*0.305)</f>
        <v>2.69016252069360018</v>
      </c>
      <c r="BR11" s="76">
        <f>((N11+I11+(LOG(J11)*4/3))*1)+((O11+I11+(LOG(J11)*4/3))*0.286)</f>
        <v>6.19878361184252036</v>
      </c>
      <c r="BS11" s="76">
        <f>((O11+I11+(LOG(J11)*4/3))*0.135)</f>
        <v>0.650727673093888015</v>
      </c>
      <c r="BT11" s="76">
        <f>((L11+I11+(LOG(J11)*4/3))*0.284)</f>
        <v>3.92493821599008985</v>
      </c>
      <c r="BU11" s="76">
        <f>(L11+I11+(LOG(J11)*4/3))*0.244</f>
        <v>3.37213001655487021</v>
      </c>
      <c r="BV11" s="76">
        <f>((M11+I11+(LOG(J11)*4/3))*0.455)</f>
        <v>4.01319326857569969</v>
      </c>
      <c r="BW11" s="76">
        <f>((N11+I11+(LOG(J11)*4/3))*0.864)+((O11+I11+(LOG(J11)*4/3))*0.244)</f>
        <v>5.34078712435576008</v>
      </c>
      <c r="BX11" s="76">
        <f>((O11+I11+(LOG(J11)*4/3))*0.121)</f>
        <v>0.583244803291559055</v>
      </c>
      <c r="BY11" s="76">
        <f>((L11+I11+(LOG(J11)*4/3))*0.284)</f>
        <v>3.92493821599008985</v>
      </c>
      <c r="BZ11" s="76">
        <f>((L11+I11+(LOG(J11)*4/3))*0.244)</f>
        <v>3.37213001655487021</v>
      </c>
      <c r="CA11" s="76">
        <f>((M11+I11+(LOG(J11)*4/3))*0.631)</f>
        <v>5.56554934609069019</v>
      </c>
      <c r="CB11" s="76">
        <f>((N11+I11+(LOG(J11)*4/3))*0.702)+((O11+I11+(LOG(J11)*4/3))*0.193)</f>
        <v>4.31408346236318962</v>
      </c>
      <c r="CC11" s="76">
        <f>((O11+I11+(LOG(J11)*4/3))*0.148)</f>
        <v>0.713390337910336036</v>
      </c>
      <c r="CD11" s="76">
        <f>((M11+I11+(LOG(J11)*4/3))*0.406)</f>
        <v>3.58100322426754003</v>
      </c>
      <c r="CE11" s="76">
        <f>IF(D11="TEC",((N11+I11+(LOG(J11)*4/3))*0.15)+((O11+I11+(LOG(J11)*4/3))*0.324)+((P11+I11+(LOG(J11)*4/3))*0.127),(((N11+I11+(LOG(J11)*4/3))*0.144)+((O11+I11+(LOG(J11)*4/3))*0.25)+((P11+I11+(LOG(J11)*4/3))*0.127)))</f>
        <v>2.76532679764381006</v>
      </c>
      <c r="CF11" s="76">
        <f>((O11+I11+(LOG(J11)*4/3))*0.543)+((P11+I11+(LOG(J11)*4/3))*0.583)</f>
        <v>6.5935508141016097</v>
      </c>
      <c r="CG11" s="76">
        <f>CE11</f>
        <v>2.76532679764381006</v>
      </c>
      <c r="CH11" s="76">
        <f>((P11+1+(LOG(J11)*4/3))*0.26)+((N11+I11+(LOG(J11)*4/3))*0.221)+((O11+I11+(LOG(J11)*4/3))*0.142)</f>
        <v>3.54272833395905007</v>
      </c>
      <c r="CI11" s="76">
        <f>((P11+I11+(LOG(J11)*4/3))*1)+((O11+I11+(LOG(J11)*4/3))*0.369)</f>
        <v>8.5988606256706106</v>
      </c>
      <c r="CJ11" s="76">
        <f>CH11</f>
        <v>3.54272833395905007</v>
      </c>
      <c r="CK11" s="76">
        <f>((M11+I11+(LOG(J11)*4/3))*0.25)</f>
        <v>2.20505124647015993</v>
      </c>
    </row>
    <row r="12" spans="1:89">
      <c r="A12" t="str">
        <f>Plantilla!D13</f>
        <v>V. Gardner</v>
      </c>
      <c r="B12" s="62">
        <f>Plantilla!E13</f>
        <v>22</v>
      </c>
      <c r="C12" s="102">
        <f>Plantilla!F13</f>
        <v>30</v>
      </c>
      <c r="D12" s="62">
        <f>Plantilla!G13</f>
        <v>0</v>
      </c>
      <c r="E12" s="211">
        <f>Plantilla!O13</f>
        <v>43756</v>
      </c>
      <c r="F12" s="102">
        <f>Plantilla!Q13</f>
        <v>7</v>
      </c>
      <c r="G12" s="122">
        <f>(F12/7)^0.5</f>
        <v>1</v>
      </c>
      <c r="H12" s="122">
        <f>IF(F12=7,1,((F12+0.99)/7)^0.5)</f>
        <v>1</v>
      </c>
      <c r="I12" s="157">
        <f>Plantilla!P13</f>
        <v>0.88986474799602604</v>
      </c>
      <c r="J12" s="158">
        <f>Plantilla!I13</f>
        <v>3.70000000000000018</v>
      </c>
      <c r="K12" s="53">
        <f>Plantilla!X13</f>
        <v>0</v>
      </c>
      <c r="L12" s="53">
        <f>Plantilla!Y13</f>
        <v>12</v>
      </c>
      <c r="M12" s="53">
        <f>Plantilla!Z13</f>
        <v>5</v>
      </c>
      <c r="N12" s="53">
        <f>Plantilla!AA13</f>
        <v>3</v>
      </c>
      <c r="O12" s="53">
        <f>Plantilla!AB13</f>
        <v>5</v>
      </c>
      <c r="P12" s="53">
        <f>Plantilla!AC13</f>
        <v>6</v>
      </c>
      <c r="Q12" s="53">
        <f>Plantilla!AD13</f>
        <v>16</v>
      </c>
      <c r="R12" s="158">
        <f>((2*(O12+1))+(L12+1))/8</f>
        <v>3.125</v>
      </c>
      <c r="S12" s="158">
        <f>1.66*(P12+(LOG(J12)*4/3)+I12)+0.55*(Q12+(LOG(J12)*4/3)+I12)-7.6</f>
        <v>14.8009021733219992</v>
      </c>
      <c r="T12" s="53">
        <f>(0.5*P12+0.3*Q12)/10</f>
        <v>0.780000000000000071</v>
      </c>
      <c r="U12" s="53">
        <f>(0.4*L12+0.3*Q12)/10</f>
        <v>0.959999999999999964</v>
      </c>
      <c r="V12" s="158">
        <f aca="1">IF(TODAY()-E12&gt;335,(Q12+1+(LOG(J12)*4/3))*(F12/7)^0.5,(Q12+((TODAY()-E12)^0.5)/(336^0.5)+(LOG(J12)*4/3))*(F12/7)^0.5)</f>
        <v>17.6704732279312999</v>
      </c>
      <c r="W12" s="158">
        <f aca="1">IF(F12=7,V12,IF(TODAY()-E12&gt;335,(Q12+1+(LOG(J12)*4/3))*((F12+0.99)/7)^0.5,(Q12+((TODAY()-E12)^0.5)/(336^0.5)+(LOG(J12)*4/3))*((F12+0.99)/7)^0.5))</f>
        <v>17.6704732279312999</v>
      </c>
      <c r="X12" s="76">
        <f>((K12+I12+(LOG(J12)*4/3))*0.597)+((L12+I12+(LOG(J12)*4/3))*0.276)</f>
        <v>4.75023873181450984</v>
      </c>
      <c r="Y12" s="76">
        <f>((K12+I12+(LOG(J12)*4/3))*0.866)+((L12+I12+(LOG(J12)*4/3))*0.425)</f>
        <v>7.22687995735685007</v>
      </c>
      <c r="Z12" s="76">
        <f>X12</f>
        <v>4.75023873181450984</v>
      </c>
      <c r="AA12" s="76">
        <f>((L12+I12+(LOG(J12)*4/3))*0.516)</f>
        <v>7.04209299612402972</v>
      </c>
      <c r="AB12" s="76">
        <f>(L12+I12+(LOG(J12)*4/3))*1</f>
        <v>13.6474670467520003</v>
      </c>
      <c r="AC12" s="76">
        <f>AA12/2</f>
        <v>3.52104649806202019</v>
      </c>
      <c r="AD12" s="76">
        <f>(M12+I12+(LOG(J12)*4/3))*0.238</f>
        <v>1.58209715712697996</v>
      </c>
      <c r="AE12" s="76">
        <f>((L12+I12+(LOG(J12)*4/3))*0.378)</f>
        <v>5.15874254367226026</v>
      </c>
      <c r="AF12" s="76">
        <f>(L12+I12+(LOG(J12)*4/3))*0.723</f>
        <v>9.86711867480170035</v>
      </c>
      <c r="AG12" s="76">
        <f>AE12/2</f>
        <v>2.57937127183613013</v>
      </c>
      <c r="AH12" s="76">
        <f>(M12+I12+(LOG(J12)*4/3))*0.385</f>
        <v>2.55927481299953019</v>
      </c>
      <c r="AI12" s="76">
        <f>((L12+I12+(LOG(J12)*4/3))*0.92)</f>
        <v>12.5556696830118</v>
      </c>
      <c r="AJ12" s="76">
        <f>(L12+I12+(LOG(J12)*4/3))*0.414</f>
        <v>5.65005135735532971</v>
      </c>
      <c r="AK12" s="76">
        <f>((M12+I12+(LOG(J12)*4/3))*0.167)</f>
        <v>1.11012699680758997</v>
      </c>
      <c r="AL12" s="76">
        <f>(N12+I12+(LOG(J12)*4/3))*0.588</f>
        <v>2.73271062349019012</v>
      </c>
      <c r="AM12" s="76">
        <f>((L12+I12+(LOG(J12)*4/3))*0.754)</f>
        <v>10.2901901532510003</v>
      </c>
      <c r="AN12" s="76">
        <f>((L12+I12+(LOG(J12)*4/3))*0.708)</f>
        <v>9.66240666910042023</v>
      </c>
      <c r="AO12" s="76">
        <f>((Q12+I12+(LOG(J12)*4/3))*0.167)</f>
        <v>2.94712699680757986</v>
      </c>
      <c r="AP12" s="76">
        <f>((R12+I12+(LOG(J12)*4/3))*0.288)</f>
        <v>1.37447050946457994</v>
      </c>
      <c r="AQ12" s="76">
        <f>((L12+I12+(LOG(J12)*4/3))*0.27)</f>
        <v>3.68481610262303994</v>
      </c>
      <c r="AR12" s="76">
        <f>((L12+I12+(LOG(J12)*4/3))*0.594)</f>
        <v>8.10659542577069026</v>
      </c>
      <c r="AS12" s="76">
        <f>AQ12/2</f>
        <v>1.84240805131152001</v>
      </c>
      <c r="AT12" s="76">
        <f>((M12+I12+(LOG(J12)*4/3))*0.944)</f>
        <v>6.27520889213390998</v>
      </c>
      <c r="AU12" s="76">
        <f>((O12+I12+(LOG(J12)*4/3))*0.13)</f>
        <v>0.864170716077762968</v>
      </c>
      <c r="AV12" s="76">
        <f>((P12+I12+(LOG(J12)*4/3))*0.173)+((O12+I12+(LOG(J12)*4/3))*0.12)</f>
        <v>2.12070784469834006</v>
      </c>
      <c r="AW12" s="76">
        <f>AU12/2</f>
        <v>0.432085358038882017</v>
      </c>
      <c r="AX12" s="76">
        <f>((L12+I12+(LOG(J12)*4/3))*0.189)</f>
        <v>2.57937127183613013</v>
      </c>
      <c r="AY12" s="76">
        <f>((L12+I12+(LOG(J12)*4/3))*0.4)</f>
        <v>5.45898681870079994</v>
      </c>
      <c r="AZ12" s="76">
        <f>AX12/2</f>
        <v>1.28968563591806994</v>
      </c>
      <c r="BA12" s="76">
        <f>((M12+I12+(LOG(J12)*4/3))*1)</f>
        <v>6.64746704675201983</v>
      </c>
      <c r="BB12" s="76">
        <f>((O12+I12+(LOG(J12)*4/3))*0.253)</f>
        <v>1.6818091628282601</v>
      </c>
      <c r="BC12" s="76">
        <f>((P12+I12+(LOG(J12)*4/3))*0.21)+((O12+I12+(LOG(J12)*4/3))*0.341)</f>
        <v>3.87275434276036012</v>
      </c>
      <c r="BD12" s="76">
        <f>BB12/2</f>
        <v>0.840904581414130092</v>
      </c>
      <c r="BE12" s="76">
        <f>((L12+I12+(LOG(J12)*4/3))*0.291)</f>
        <v>3.97141291060483006</v>
      </c>
      <c r="BF12" s="76">
        <f>((L12+I12+(LOG(J12)*4/3))*0.348)</f>
        <v>4.74931853226970002</v>
      </c>
      <c r="BG12" s="76">
        <f>((M12+I12+(LOG(J12)*4/3))*0.881)</f>
        <v>5.85641846818853029</v>
      </c>
      <c r="BH12" s="76">
        <f>((N12+I12+(LOG(J12)*4/3))*0.574)+((O12+I12+(LOG(J12)*4/3))*0.315)</f>
        <v>4.76159820456255023</v>
      </c>
      <c r="BI12" s="76">
        <f>((O12+I12+(LOG(J12)*4/3))*0.241)</f>
        <v>1.60203955826723998</v>
      </c>
      <c r="BJ12" s="76">
        <f>((L12+I12+(LOG(J12)*4/3))*0.485)</f>
        <v>6.61902151767472002</v>
      </c>
      <c r="BK12" s="76">
        <f>((L12+I12+(LOG(J12)*4/3))*0.264)</f>
        <v>3.60293130034252984</v>
      </c>
      <c r="BL12" s="76">
        <f>((M12+I12+(LOG(J12)*4/3))*0.381)</f>
        <v>2.53268494481251993</v>
      </c>
      <c r="BM12" s="76">
        <f>((N12+I12+(LOG(J12)*4/3))*0.673)+((O12+I12+(LOG(J12)*4/3))*0.201)</f>
        <v>4.46388619886127014</v>
      </c>
      <c r="BN12" s="76">
        <f>((O12+I12+(LOG(J12)*4/3))*0.052)</f>
        <v>0.345668286431104965</v>
      </c>
      <c r="BO12" s="76">
        <f>((L12+I12+(LOG(J12)*4/3))*0.18)</f>
        <v>2.4565440684153601</v>
      </c>
      <c r="BP12" s="76">
        <f>(L12+I12+(LOG(J12)*4/3))*0.068</f>
        <v>0.928027759179136069</v>
      </c>
      <c r="BQ12" s="76">
        <f>((M12+I12+(LOG(J12)*4/3))*0.305)</f>
        <v>2.0274774492593699</v>
      </c>
      <c r="BR12" s="76">
        <f>((N12+I12+(LOG(J12)*4/3))*1)+((O12+I12+(LOG(J12)*4/3))*0.286)</f>
        <v>6.54864262212309978</v>
      </c>
      <c r="BS12" s="76">
        <f>((O12+I12+(LOG(J12)*4/3))*0.135)</f>
        <v>0.897408051311522925</v>
      </c>
      <c r="BT12" s="76">
        <f>((L12+I12+(LOG(J12)*4/3))*0.284)</f>
        <v>3.87588064127757015</v>
      </c>
      <c r="BU12" s="76">
        <f>(L12+I12+(LOG(J12)*4/3))*0.244</f>
        <v>3.32998195940748998</v>
      </c>
      <c r="BV12" s="76">
        <f>((M12+I12+(LOG(J12)*4/3))*0.455)</f>
        <v>3.02459750627216994</v>
      </c>
      <c r="BW12" s="76">
        <f>((N12+I12+(LOG(J12)*4/3))*0.864)+((O12+I12+(LOG(J12)*4/3))*0.244)</f>
        <v>5.63739348780123972</v>
      </c>
      <c r="BX12" s="76">
        <f>((O12+I12+(LOG(J12)*4/3))*0.121)</f>
        <v>0.804343512656993909</v>
      </c>
      <c r="BY12" s="76">
        <f>((L12+I12+(LOG(J12)*4/3))*0.284)</f>
        <v>3.87588064127757015</v>
      </c>
      <c r="BZ12" s="76">
        <f>((L12+I12+(LOG(J12)*4/3))*0.244)</f>
        <v>3.32998195940748998</v>
      </c>
      <c r="CA12" s="76">
        <f>((M12+I12+(LOG(J12)*4/3))*0.631)</f>
        <v>4.19455170650052978</v>
      </c>
      <c r="CB12" s="76">
        <f>((N12+I12+(LOG(J12)*4/3))*0.702)+((O12+I12+(LOG(J12)*4/3))*0.193)</f>
        <v>4.54548300684306028</v>
      </c>
      <c r="CC12" s="76">
        <f>((O12+I12+(LOG(J12)*4/3))*0.148)</f>
        <v>0.983825122919298956</v>
      </c>
      <c r="CD12" s="76">
        <f>((M12+I12+(LOG(J12)*4/3))*0.406)</f>
        <v>2.69887162098132016</v>
      </c>
      <c r="CE12" s="76">
        <f>IF(D12="TEC",((N12+I12+(LOG(J12)*4/3))*0.15)+((O12+I12+(LOG(J12)*4/3))*0.324)+((P12+I12+(LOG(J12)*4/3))*0.127),(((N12+I12+(LOG(J12)*4/3))*0.144)+((O12+I12+(LOG(J12)*4/3))*0.25)+((P12+I12+(LOG(J12)*4/3))*0.127)))</f>
        <v>3.30233033135781007</v>
      </c>
      <c r="CF12" s="76">
        <f>((O12+I12+(LOG(J12)*4/3))*0.543)+((P12+I12+(LOG(J12)*4/3))*0.583)</f>
        <v>8.06804789464277938</v>
      </c>
      <c r="CG12" s="76">
        <f>CE12</f>
        <v>3.30233033135781007</v>
      </c>
      <c r="CH12" s="76">
        <f>((P12+1+(LOG(J12)*4/3))*0.26)+((N12+I12+(LOG(J12)*4/3))*0.221)+((O12+I12+(LOG(J12)*4/3))*0.142)</f>
        <v>3.98800713564755007</v>
      </c>
      <c r="CI12" s="76">
        <f>((P12+I12+(LOG(J12)*4/3))*1)+((O12+I12+(LOG(J12)*4/3))*0.369)</f>
        <v>10.1003823870034992</v>
      </c>
      <c r="CJ12" s="76">
        <f>CH12</f>
        <v>3.98800713564755007</v>
      </c>
      <c r="CK12" s="76">
        <f>((M12+I12+(LOG(J12)*4/3))*0.25)</f>
        <v>1.66186676168801011</v>
      </c>
    </row>
    <row r="13" spans="1:89">
      <c r="A13" t="str">
        <f>Plantilla!D14</f>
        <v>S. Embe</v>
      </c>
      <c r="B13" s="62">
        <f>Plantilla!E14</f>
        <v>22</v>
      </c>
      <c r="C13" s="102">
        <f>Plantilla!F14</f>
        <v>86</v>
      </c>
      <c r="D13" s="62">
        <f>Plantilla!G14</f>
        <v>0</v>
      </c>
      <c r="E13" s="211">
        <f>Plantilla!O14</f>
        <v>43920</v>
      </c>
      <c r="F13" s="102">
        <f>Plantilla!Q14</f>
        <v>6</v>
      </c>
      <c r="G13" s="122">
        <f>(F13/7)^0.5</f>
        <v>0.925820099772552041</v>
      </c>
      <c r="H13" s="122">
        <f>IF(F13=7,1,((F13+0.99)/7)^0.5)</f>
        <v>0.999285459001294996</v>
      </c>
      <c r="I13" s="157">
        <f>Plantilla!P14</f>
        <v>0.506286066784278965</v>
      </c>
      <c r="J13" s="158">
        <f>Plantilla!I14</f>
        <v>2.5</v>
      </c>
      <c r="K13" s="53">
        <f>Plantilla!X14</f>
        <v>0</v>
      </c>
      <c r="L13" s="53">
        <f>Plantilla!Y14</f>
        <v>11</v>
      </c>
      <c r="M13" s="53">
        <f>Plantilla!Z14</f>
        <v>4</v>
      </c>
      <c r="N13" s="53">
        <f>Plantilla!AA14</f>
        <v>1</v>
      </c>
      <c r="O13" s="53">
        <f>Plantilla!AB14</f>
        <v>5</v>
      </c>
      <c r="P13" s="53">
        <f>Plantilla!AC14</f>
        <v>6</v>
      </c>
      <c r="Q13" s="53">
        <f>Plantilla!AD14</f>
        <v>17.3333333333333002</v>
      </c>
      <c r="R13" s="158">
        <f>((2*(O13+1))+(L13+1))/8</f>
        <v>3</v>
      </c>
      <c r="S13" s="158">
        <f>1.66*(P13+(LOG(J13)*4/3)+I13)+0.55*(Q13+(LOG(J13)*4/3)+I13)-7.6</f>
        <v>14.1848220998135996</v>
      </c>
      <c r="T13" s="53">
        <f>(0.5*P13+0.3*Q13)/10</f>
        <v>0.819999999999998863</v>
      </c>
      <c r="U13" s="53">
        <f>(0.4*L13+0.3*Q13)/10</f>
        <v>0.959999999999998899</v>
      </c>
      <c r="V13" s="158">
        <f aca="1">IF(TODAY()-E13&gt;335,(Q13+1+(LOG(J13)*4/3))*(F13/7)^0.5,(Q13+((TODAY()-E13)^0.5)/(336^0.5)+(LOG(J13)*4/3))*(F13/7)^0.5)</f>
        <v>17.0827600007099001</v>
      </c>
      <c r="W13" s="158">
        <f aca="1">IF(F13=7,V13,IF(TODAY()-E13&gt;335,(Q13+1+(LOG(J13)*4/3))*((F13+0.99)/7)^0.5,(Q13+((TODAY()-E13)^0.5)/(336^0.5)+(LOG(J13)*4/3))*((F13+0.99)/7)^0.5))</f>
        <v>18.4383053171043017</v>
      </c>
      <c r="X13" s="76">
        <f>((K13+I13+(LOG(J13)*4/3))*0.597)+((L13+I13+(LOG(J13)*4/3))*0.276)</f>
        <v>3.94118990639693969</v>
      </c>
      <c r="Y13" s="76">
        <f>((K13+I13+(LOG(J13)*4/3))*0.866)+((L13+I13+(LOG(J13)*4/3))*0.425)</f>
        <v>6.01360271381265044</v>
      </c>
      <c r="Z13" s="76">
        <f>X13</f>
        <v>3.94118990639693969</v>
      </c>
      <c r="AA13" s="76">
        <f>((L13+I13+(LOG(J13)*4/3))*0.516)</f>
        <v>6.21102633642706969</v>
      </c>
      <c r="AB13" s="76">
        <f>(L13+I13+(LOG(J13)*4/3))*1</f>
        <v>12.0368727450136994</v>
      </c>
      <c r="AC13" s="76">
        <f>AA13/2</f>
        <v>3.10551316821354018</v>
      </c>
      <c r="AD13" s="76">
        <f>(M13+I13+(LOG(J13)*4/3))*0.238</f>
        <v>1.19877571331324994</v>
      </c>
      <c r="AE13" s="76">
        <f>((L13+I13+(LOG(J13)*4/3))*0.378)</f>
        <v>4.5499378976151803</v>
      </c>
      <c r="AF13" s="76">
        <f>(L13+I13+(LOG(J13)*4/3))*0.723</f>
        <v>8.70265899464491</v>
      </c>
      <c r="AG13" s="76">
        <f>AE13/2</f>
        <v>2.27496894880759015</v>
      </c>
      <c r="AH13" s="76">
        <f>(M13+I13+(LOG(J13)*4/3))*0.385</f>
        <v>1.93919600683026001</v>
      </c>
      <c r="AI13" s="76">
        <f>((L13+I13+(LOG(J13)*4/3))*0.92)</f>
        <v>11.0739229254125995</v>
      </c>
      <c r="AJ13" s="76">
        <f>(L13+I13+(LOG(J13)*4/3))*0.414</f>
        <v>4.98326531643566994</v>
      </c>
      <c r="AK13" s="76">
        <f>((M13+I13+(LOG(J13)*4/3))*0.167)</f>
        <v>0.84115774841728097</v>
      </c>
      <c r="AL13" s="76">
        <f>(N13+I13+(LOG(J13)*4/3))*0.588</f>
        <v>1.19768117406802999</v>
      </c>
      <c r="AM13" s="76">
        <f>((L13+I13+(LOG(J13)*4/3))*0.754)</f>
        <v>9.07580204974033045</v>
      </c>
      <c r="AN13" s="76">
        <f>((L13+I13+(LOG(J13)*4/3))*0.708)</f>
        <v>8.52210590346970065</v>
      </c>
      <c r="AO13" s="76">
        <f>((Q13+I13+(LOG(J13)*4/3))*0.167)</f>
        <v>3.06782441508395021</v>
      </c>
      <c r="AP13" s="76">
        <f>((R13+I13+(LOG(J13)*4/3))*0.288)</f>
        <v>1.16261935056392995</v>
      </c>
      <c r="AQ13" s="76">
        <f>((L13+I13+(LOG(J13)*4/3))*0.27)</f>
        <v>3.24995564115369984</v>
      </c>
      <c r="AR13" s="76">
        <f>((L13+I13+(LOG(J13)*4/3))*0.594)</f>
        <v>7.14990241053814035</v>
      </c>
      <c r="AS13" s="76">
        <f>AQ13/2</f>
        <v>1.62497782057684992</v>
      </c>
      <c r="AT13" s="76">
        <f>((M13+I13+(LOG(J13)*4/3))*0.944)</f>
        <v>4.75480787129289961</v>
      </c>
      <c r="AU13" s="76">
        <f>((O13+I13+(LOG(J13)*4/3))*0.13)</f>
        <v>0.784793456851776039</v>
      </c>
      <c r="AV13" s="76">
        <f>((P13+I13+(LOG(J13)*4/3))*0.173)+((O13+I13+(LOG(J13)*4/3))*0.12)</f>
        <v>1.94180371428899985</v>
      </c>
      <c r="AW13" s="76">
        <f>AU13/2</f>
        <v>0.392396728425888028</v>
      </c>
      <c r="AX13" s="76">
        <f>((L13+I13+(LOG(J13)*4/3))*0.189)</f>
        <v>2.27496894880759015</v>
      </c>
      <c r="AY13" s="76">
        <f>((L13+I13+(LOG(J13)*4/3))*0.4)</f>
        <v>4.81474909800548012</v>
      </c>
      <c r="AZ13" s="76">
        <f>AX13/2</f>
        <v>1.13748447440379996</v>
      </c>
      <c r="BA13" s="76">
        <f>((M13+I13+(LOG(J13)*4/3))*1)</f>
        <v>5.03687274501366034</v>
      </c>
      <c r="BB13" s="76">
        <f>((O13+I13+(LOG(J13)*4/3))*0.253)</f>
        <v>1.52732880448846009</v>
      </c>
      <c r="BC13" s="76">
        <f>((P13+I13+(LOG(J13)*4/3))*0.21)+((O13+I13+(LOG(J13)*4/3))*0.341)</f>
        <v>3.53631688250252996</v>
      </c>
      <c r="BD13" s="76">
        <f>BB13/2</f>
        <v>0.763664402244230089</v>
      </c>
      <c r="BE13" s="76">
        <f>((L13+I13+(LOG(J13)*4/3))*0.291)</f>
        <v>3.5027299687989899</v>
      </c>
      <c r="BF13" s="76">
        <f>((L13+I13+(LOG(J13)*4/3))*0.348)</f>
        <v>4.18883171526476961</v>
      </c>
      <c r="BG13" s="76">
        <f>((M13+I13+(LOG(J13)*4/3))*0.881)</f>
        <v>4.43748488835703991</v>
      </c>
      <c r="BH13" s="76">
        <f>((N13+I13+(LOG(J13)*4/3))*0.574)+((O13+I13+(LOG(J13)*4/3))*0.315)</f>
        <v>3.07077987031714006</v>
      </c>
      <c r="BI13" s="76">
        <f>((O13+I13+(LOG(J13)*4/3))*0.241)</f>
        <v>1.4548863315482901</v>
      </c>
      <c r="BJ13" s="76">
        <f>((L13+I13+(LOG(J13)*4/3))*0.485)</f>
        <v>5.83788328133164036</v>
      </c>
      <c r="BK13" s="76">
        <f>((L13+I13+(LOG(J13)*4/3))*0.264)</f>
        <v>3.17773440468362001</v>
      </c>
      <c r="BL13" s="76">
        <f>((M13+I13+(LOG(J13)*4/3))*0.381)</f>
        <v>1.91904851585019998</v>
      </c>
      <c r="BM13" s="76">
        <f>((N13+I13+(LOG(J13)*4/3))*0.673)+((O13+I13+(LOG(J13)*4/3))*0.201)</f>
        <v>2.58422677914193999</v>
      </c>
      <c r="BN13" s="76">
        <f>((O13+I13+(LOG(J13)*4/3))*0.052)</f>
        <v>0.313917382740710016</v>
      </c>
      <c r="BO13" s="76">
        <f>((L13+I13+(LOG(J13)*4/3))*0.18)</f>
        <v>2.16663709410246996</v>
      </c>
      <c r="BP13" s="76">
        <f>(L13+I13+(LOG(J13)*4/3))*0.068</f>
        <v>0.818507346660931923</v>
      </c>
      <c r="BQ13" s="76">
        <f>((M13+I13+(LOG(J13)*4/3))*0.305)</f>
        <v>1.53624618722916999</v>
      </c>
      <c r="BR13" s="76">
        <f>((N13+I13+(LOG(J13)*4/3))*1)+((O13+I13+(LOG(J13)*4/3))*0.286)</f>
        <v>3.7634183500875702</v>
      </c>
      <c r="BS13" s="76">
        <f>((O13+I13+(LOG(J13)*4/3))*0.135)</f>
        <v>0.814977820576844003</v>
      </c>
      <c r="BT13" s="76">
        <f>((L13+I13+(LOG(J13)*4/3))*0.284)</f>
        <v>3.4184718595838901</v>
      </c>
      <c r="BU13" s="76">
        <f>(L13+I13+(LOG(J13)*4/3))*0.244</f>
        <v>2.93699694978334023</v>
      </c>
      <c r="BV13" s="76">
        <f>((M13+I13+(LOG(J13)*4/3))*0.455)</f>
        <v>2.29177709898121984</v>
      </c>
      <c r="BW13" s="76">
        <f>((N13+I13+(LOG(J13)*4/3))*0.864)+((O13+I13+(LOG(J13)*4/3))*0.244)</f>
        <v>3.23285500147513005</v>
      </c>
      <c r="BX13" s="76">
        <f>((O13+I13+(LOG(J13)*4/3))*0.121)</f>
        <v>0.730461602146653011</v>
      </c>
      <c r="BY13" s="76">
        <f>((L13+I13+(LOG(J13)*4/3))*0.284)</f>
        <v>3.4184718595838901</v>
      </c>
      <c r="BZ13" s="76">
        <f>((L13+I13+(LOG(J13)*4/3))*0.244)</f>
        <v>2.93699694978334023</v>
      </c>
      <c r="CA13" s="76">
        <f>((M13+I13+(LOG(J13)*4/3))*0.631)</f>
        <v>3.17826670210361995</v>
      </c>
      <c r="CB13" s="76">
        <f>((N13+I13+(LOG(J13)*4/3))*0.702)+((O13+I13+(LOG(J13)*4/3))*0.193)</f>
        <v>2.59500110678723006</v>
      </c>
      <c r="CC13" s="76">
        <f>((O13+I13+(LOG(J13)*4/3))*0.148)</f>
        <v>0.893457166262022007</v>
      </c>
      <c r="CD13" s="76">
        <f>((M13+I13+(LOG(J13)*4/3))*0.406)</f>
        <v>2.0449703344755501</v>
      </c>
      <c r="CE13" s="76">
        <f>IF(D13="TEC",((N13+I13+(LOG(J13)*4/3))*0.15)+((O13+I13+(LOG(J13)*4/3))*0.324)+((P13+I13+(LOG(J13)*4/3))*0.127),(((N13+I13+(LOG(J13)*4/3))*0.144)+((O13+I13+(LOG(J13)*4/3))*0.25)+((P13+I13+(LOG(J13)*4/3))*0.127)))</f>
        <v>2.69621070015212982</v>
      </c>
      <c r="CF13" s="76">
        <f>((O13+I13+(LOG(J13)*4/3))*0.543)+((P13+I13+(LOG(J13)*4/3))*0.583)</f>
        <v>7.38051871088538025</v>
      </c>
      <c r="CG13" s="76">
        <f>CE13</f>
        <v>2.69621070015212982</v>
      </c>
      <c r="CH13" s="76">
        <f>((P13+1+(LOG(J13)*4/3))*0.26)+((N13+I13+(LOG(J13)*4/3))*0.221)+((O13+I13+(LOG(J13)*4/3))*0.142)</f>
        <v>3.26533734277959997</v>
      </c>
      <c r="CI13" s="76">
        <f>((P13+I13+(LOG(J13)*4/3))*1)+((O13+I13+(LOG(J13)*4/3))*0.369)</f>
        <v>9.26447878792370005</v>
      </c>
      <c r="CJ13" s="76">
        <f>CH13</f>
        <v>3.26533734277959997</v>
      </c>
      <c r="CK13" s="76">
        <f>((M13+I13+(LOG(J13)*4/3))*0.25)</f>
        <v>1.25921818625341997</v>
      </c>
    </row>
    <row r="14" spans="1:89">
      <c r="A14" t="str">
        <f>Plantilla!D15</f>
        <v>E. Deus</v>
      </c>
      <c r="B14" s="62">
        <f>Plantilla!E15</f>
        <v>21</v>
      </c>
      <c r="C14" s="102">
        <f>Plantilla!F15</f>
        <v>69</v>
      </c>
      <c r="D14" s="62" t="str">
        <f>Plantilla!G15</f>
        <v>IMP</v>
      </c>
      <c r="E14" s="211">
        <f>Plantilla!O15</f>
        <v>43898</v>
      </c>
      <c r="F14" s="102">
        <f>Plantilla!Q15</f>
        <v>6</v>
      </c>
      <c r="G14" s="122">
        <f>(F14/7)^0.5</f>
        <v>0.925820099772552041</v>
      </c>
      <c r="H14" s="122">
        <f>IF(F14=7,1,((F14+0.99)/7)^0.5)</f>
        <v>0.999285459001294996</v>
      </c>
      <c r="I14" s="157">
        <f>Plantilla!P15</f>
        <v>0.565803302153566001</v>
      </c>
      <c r="J14" s="158">
        <f>Plantilla!I15</f>
        <v>3.9</v>
      </c>
      <c r="K14" s="53">
        <f>Plantilla!X15</f>
        <v>0</v>
      </c>
      <c r="L14" s="53">
        <f>Plantilla!Y15</f>
        <v>11</v>
      </c>
      <c r="M14" s="53">
        <f>Plantilla!Z15</f>
        <v>7</v>
      </c>
      <c r="N14" s="53">
        <f>Plantilla!AA15</f>
        <v>1</v>
      </c>
      <c r="O14" s="53">
        <f>Plantilla!AB15</f>
        <v>6</v>
      </c>
      <c r="P14" s="53">
        <f>Plantilla!AC15</f>
        <v>5</v>
      </c>
      <c r="Q14" s="53">
        <f>Plantilla!AD15</f>
        <v>15.3333333333333002</v>
      </c>
      <c r="R14" s="158">
        <f>((2*(O14+1))+(L14+1))/8</f>
        <v>3.25</v>
      </c>
      <c r="S14" s="158">
        <f>1.66*(P14+(LOG(J14)*4/3)+I14)+0.55*(Q14+(LOG(J14)*4/3)+I14)-7.6</f>
        <v>12.1254290064641008</v>
      </c>
      <c r="T14" s="53">
        <f>(0.5*P14+0.3*Q14)/10</f>
        <v>0.709999999999998987</v>
      </c>
      <c r="U14" s="53">
        <f>(0.4*L14+0.3*Q14)/10</f>
        <v>0.899999999999998934</v>
      </c>
      <c r="V14" s="158">
        <f aca="1">IF(TODAY()-E14&gt;335,(Q14+1+(LOG(J14)*4/3))*(F14/7)^0.5,(Q14+((TODAY()-E14)^0.5)/(336^0.5)+(LOG(J14)*4/3))*(F14/7)^0.5)</f>
        <v>15.5188644637009006</v>
      </c>
      <c r="W14" s="158">
        <f aca="1">IF(F14=7,V14,IF(TODAY()-E14&gt;335,(Q14+1+(LOG(J14)*4/3))*((F14+0.99)/7)^0.5,(Q14+((TODAY()-E14)^0.5)/(336^0.5)+(LOG(J14)*4/3))*((F14+0.99)/7)^0.5))</f>
        <v>16.7503120774739003</v>
      </c>
      <c r="X14" s="76">
        <f>((K14+I14+(LOG(J14)*4/3))*0.597)+((L14+I14+(LOG(J14)*4/3))*0.276)</f>
        <v>4.21794548535893021</v>
      </c>
      <c r="Y14" s="76">
        <f>((K14+I14+(LOG(J14)*4/3))*0.866)+((L14+I14+(LOG(J14)*4/3))*0.425)</f>
        <v>6.42287127330854979</v>
      </c>
      <c r="Z14" s="76">
        <f>X14</f>
        <v>4.21794548535893021</v>
      </c>
      <c r="AA14" s="76">
        <f>((L14+I14+(LOG(J14)*4/3))*0.516)</f>
        <v>6.37460695354548967</v>
      </c>
      <c r="AB14" s="76">
        <f>(L14+I14+(LOG(J14)*4/3))*1</f>
        <v>12.3538894448556</v>
      </c>
      <c r="AC14" s="76">
        <f>AA14/2</f>
        <v>3.18730347677275017</v>
      </c>
      <c r="AD14" s="76">
        <f>(M14+I14+(LOG(J14)*4/3))*0.238</f>
        <v>1.98822568787562997</v>
      </c>
      <c r="AE14" s="76">
        <f>((L14+I14+(LOG(J14)*4/3))*0.378)</f>
        <v>4.66977021015541993</v>
      </c>
      <c r="AF14" s="76">
        <f>(L14+I14+(LOG(J14)*4/3))*0.723</f>
        <v>8.9318620686306005</v>
      </c>
      <c r="AG14" s="76">
        <f>AE14/2</f>
        <v>2.33488510507770997</v>
      </c>
      <c r="AH14" s="76">
        <f>(M14+I14+(LOG(J14)*4/3))*0.385</f>
        <v>3.21624743626939003</v>
      </c>
      <c r="AI14" s="76">
        <f>((L14+I14+(LOG(J14)*4/3))*0.92)</f>
        <v>11.3655782892671997</v>
      </c>
      <c r="AJ14" s="76">
        <f>(L14+I14+(LOG(J14)*4/3))*0.414</f>
        <v>5.11451023017021988</v>
      </c>
      <c r="AK14" s="76">
        <f>((M14+I14+(LOG(J14)*4/3))*0.167)</f>
        <v>1.39509953729088011</v>
      </c>
      <c r="AL14" s="76">
        <f>(N14+I14+(LOG(J14)*4/3))*0.588</f>
        <v>1.38408699357507992</v>
      </c>
      <c r="AM14" s="76">
        <f>((L14+I14+(LOG(J14)*4/3))*0.754)</f>
        <v>9.31483264142113043</v>
      </c>
      <c r="AN14" s="76">
        <f>((L14+I14+(LOG(J14)*4/3))*0.708)</f>
        <v>8.74655372695776911</v>
      </c>
      <c r="AO14" s="76">
        <f>((Q14+I14+(LOG(J14)*4/3))*0.167)</f>
        <v>2.78676620395755004</v>
      </c>
      <c r="AP14" s="76">
        <f>((R14+I14+(LOG(J14)*4/3))*0.288)</f>
        <v>1.32592016011840008</v>
      </c>
      <c r="AQ14" s="76">
        <f>((L14+I14+(LOG(J14)*4/3))*0.27)</f>
        <v>3.33555015011100986</v>
      </c>
      <c r="AR14" s="76">
        <f>((L14+I14+(LOG(J14)*4/3))*0.594)</f>
        <v>7.33821033024423031</v>
      </c>
      <c r="AS14" s="76">
        <f>AQ14/2</f>
        <v>1.66777507505551004</v>
      </c>
      <c r="AT14" s="76">
        <f>((M14+I14+(LOG(J14)*4/3))*0.944)</f>
        <v>7.88607163594365979</v>
      </c>
      <c r="AU14" s="76">
        <f>((O14+I14+(LOG(J14)*4/3))*0.13)</f>
        <v>0.956005627831224025</v>
      </c>
      <c r="AV14" s="76">
        <f>((P14+I14+(LOG(J14)*4/3))*0.173)+((O14+I14+(LOG(J14)*4/3))*0.12)</f>
        <v>1.98168960734268005</v>
      </c>
      <c r="AW14" s="76">
        <f>AU14/2</f>
        <v>0.478002813915612013</v>
      </c>
      <c r="AX14" s="76">
        <f>((L14+I14+(LOG(J14)*4/3))*0.189)</f>
        <v>2.33488510507770997</v>
      </c>
      <c r="AY14" s="76">
        <f>((L14+I14+(LOG(J14)*4/3))*0.4)</f>
        <v>4.94155577794223966</v>
      </c>
      <c r="AZ14" s="76">
        <f>AX14/2</f>
        <v>1.16744255253886009</v>
      </c>
      <c r="BA14" s="76">
        <f>((M14+I14+(LOG(J14)*4/3))*1)</f>
        <v>8.35388944485556983</v>
      </c>
      <c r="BB14" s="76">
        <f>((O14+I14+(LOG(J14)*4/3))*0.253)</f>
        <v>1.86053402954846003</v>
      </c>
      <c r="BC14" s="76">
        <f>((P14+I14+(LOG(J14)*4/3))*0.21)+((O14+I14+(LOG(J14)*4/3))*0.341)</f>
        <v>3.84199308411541995</v>
      </c>
      <c r="BD14" s="76">
        <f>BB14/2</f>
        <v>0.930267014774230105</v>
      </c>
      <c r="BE14" s="76">
        <f>((L14+I14+(LOG(J14)*4/3))*0.291)</f>
        <v>3.5949818284529802</v>
      </c>
      <c r="BF14" s="76">
        <f>((L14+I14+(LOG(J14)*4/3))*0.348)</f>
        <v>4.29915352680975005</v>
      </c>
      <c r="BG14" s="76">
        <f>((M14+I14+(LOG(J14)*4/3))*0.881)</f>
        <v>7.35977660091776009</v>
      </c>
      <c r="BH14" s="76">
        <f>((N14+I14+(LOG(J14)*4/3))*0.574)+((O14+I14+(LOG(J14)*4/3))*0.315)</f>
        <v>3.66760771647660011</v>
      </c>
      <c r="BI14" s="76">
        <f>((O14+I14+(LOG(J14)*4/3))*0.241)</f>
        <v>1.77228735621018991</v>
      </c>
      <c r="BJ14" s="76">
        <f>((L14+I14+(LOG(J14)*4/3))*0.485)</f>
        <v>5.9916363807549704</v>
      </c>
      <c r="BK14" s="76">
        <f>((L14+I14+(LOG(J14)*4/3))*0.264)</f>
        <v>3.26142681344187979</v>
      </c>
      <c r="BL14" s="76">
        <f>((M14+I14+(LOG(J14)*4/3))*0.381)</f>
        <v>3.18283187848996985</v>
      </c>
      <c r="BM14" s="76">
        <f>((N14+I14+(LOG(J14)*4/3))*0.673)+((O14+I14+(LOG(J14)*4/3))*0.201)</f>
        <v>3.06229937480377012</v>
      </c>
      <c r="BN14" s="76">
        <f>((O14+I14+(LOG(J14)*4/3))*0.052)</f>
        <v>0.382402251132490001</v>
      </c>
      <c r="BO14" s="76">
        <f>((L14+I14+(LOG(J14)*4/3))*0.18)</f>
        <v>2.22370010007400998</v>
      </c>
      <c r="BP14" s="76">
        <f>(L14+I14+(LOG(J14)*4/3))*0.068</f>
        <v>0.840064482250181044</v>
      </c>
      <c r="BQ14" s="76">
        <f>((M14+I14+(LOG(J14)*4/3))*0.305)</f>
        <v>2.54793628068095002</v>
      </c>
      <c r="BR14" s="76">
        <f>((N14+I14+(LOG(J14)*4/3))*1)+((O14+I14+(LOG(J14)*4/3))*0.286)</f>
        <v>4.45710182608426031</v>
      </c>
      <c r="BS14" s="76">
        <f>((O14+I14+(LOG(J14)*4/3))*0.135)</f>
        <v>0.992775075055502043</v>
      </c>
      <c r="BT14" s="76">
        <f>((L14+I14+(LOG(J14)*4/3))*0.284)</f>
        <v>3.50850460233899009</v>
      </c>
      <c r="BU14" s="76">
        <f>(L14+I14+(LOG(J14)*4/3))*0.244</f>
        <v>3.01434902454476994</v>
      </c>
      <c r="BV14" s="76">
        <f>((M14+I14+(LOG(J14)*4/3))*0.455)</f>
        <v>3.80101969740927981</v>
      </c>
      <c r="BW14" s="76">
        <f>((N14+I14+(LOG(J14)*4/3))*0.864)+((O14+I14+(LOG(J14)*4/3))*0.244)</f>
        <v>3.82810950489996991</v>
      </c>
      <c r="BX14" s="76">
        <f>((O14+I14+(LOG(J14)*4/3))*0.121)</f>
        <v>0.889820622827524055</v>
      </c>
      <c r="BY14" s="76">
        <f>((L14+I14+(LOG(J14)*4/3))*0.284)</f>
        <v>3.50850460233899009</v>
      </c>
      <c r="BZ14" s="76">
        <f>((L14+I14+(LOG(J14)*4/3))*0.244)</f>
        <v>3.01434902454476994</v>
      </c>
      <c r="CA14" s="76">
        <f>((M14+I14+(LOG(J14)*4/3))*0.631)</f>
        <v>5.27130423970386985</v>
      </c>
      <c r="CB14" s="76">
        <f>((N14+I14+(LOG(J14)*4/3))*0.702)+((O14+I14+(LOG(J14)*4/3))*0.193)</f>
        <v>3.07173105314574002</v>
      </c>
      <c r="CC14" s="76">
        <f>((O14+I14+(LOG(J14)*4/3))*0.148)</f>
        <v>1.08837563783862002</v>
      </c>
      <c r="CD14" s="76">
        <f>((M14+I14+(LOG(J14)*4/3))*0.406)</f>
        <v>3.39167911461135985</v>
      </c>
      <c r="CE14" s="76">
        <f>IF(D14="TEC",((N14+I14+(LOG(J14)*4/3))*0.15)+((O14+I14+(LOG(J14)*4/3))*0.324)+((P14+I14+(LOG(J14)*4/3))*0.127),(((N14+I14+(LOG(J14)*4/3))*0.144)+((O14+I14+(LOG(J14)*4/3))*0.25)+((P14+I14+(LOG(J14)*4/3))*0.127)))</f>
        <v>2.98437640076974997</v>
      </c>
      <c r="CF14" s="76">
        <f>((O14+I14+(LOG(J14)*4/3))*0.543)+((P14+I14+(LOG(J14)*4/3))*0.583)</f>
        <v>7.69747951490738025</v>
      </c>
      <c r="CG14" s="76">
        <f>CE14</f>
        <v>2.98437640076974997</v>
      </c>
      <c r="CH14" s="76">
        <f>((P14+1+(LOG(J14)*4/3))*0.26)+((N14+I14+(LOG(J14)*4/3))*0.221)+((O14+I14+(LOG(J14)*4/3))*0.142)</f>
        <v>3.32936426558508991</v>
      </c>
      <c r="CI14" s="76">
        <f>((P14+I14+(LOG(J14)*4/3))*1)+((O14+I14+(LOG(J14)*4/3))*0.369)</f>
        <v>9.0674746500072807</v>
      </c>
      <c r="CJ14" s="76">
        <f>CH14</f>
        <v>3.32936426558508991</v>
      </c>
      <c r="CK14" s="76">
        <f>((M14+I14+(LOG(J14)*4/3))*0.25)</f>
        <v>2.08847236121388979</v>
      </c>
    </row>
    <row r="15" spans="1:89">
      <c r="A15" t="str">
        <f>Plantilla!D16</f>
        <v>I. Vanags</v>
      </c>
      <c r="B15" s="62">
        <f>Plantilla!E16</f>
        <v>22</v>
      </c>
      <c r="C15" s="102">
        <f>Plantilla!F16</f>
        <v>17</v>
      </c>
      <c r="D15" s="62" t="str">
        <f>Plantilla!G16</f>
        <v>CAB</v>
      </c>
      <c r="E15" s="211">
        <f>Plantilla!O16</f>
        <v>43626</v>
      </c>
      <c r="F15" s="102">
        <f>Plantilla!Q16</f>
        <v>7</v>
      </c>
      <c r="G15" s="122">
        <f>(F15/7)^0.5</f>
        <v>1</v>
      </c>
      <c r="H15" s="122">
        <f>IF(F15=7,1,((F15+0.99)/7)^0.5)</f>
        <v>1</v>
      </c>
      <c r="I15" s="157">
        <f>Plantilla!P16</f>
        <v>1</v>
      </c>
      <c r="J15" s="158">
        <f>Plantilla!I16</f>
        <v>2.60000000000000009</v>
      </c>
      <c r="K15" s="53">
        <f>Plantilla!X16</f>
        <v>0</v>
      </c>
      <c r="L15" s="53">
        <f>Plantilla!Y16</f>
        <v>4</v>
      </c>
      <c r="M15" s="53">
        <f>Plantilla!Z16</f>
        <v>13</v>
      </c>
      <c r="N15" s="53">
        <f>Plantilla!AA16</f>
        <v>3</v>
      </c>
      <c r="O15" s="53">
        <f>Plantilla!AB16</f>
        <v>4</v>
      </c>
      <c r="P15" s="53">
        <f>Plantilla!AC16</f>
        <v>7</v>
      </c>
      <c r="Q15" s="53">
        <f>Plantilla!AD16</f>
        <v>16.3333333333333002</v>
      </c>
      <c r="R15" s="158">
        <f>((2*(O15+1))+(L15+1))/8</f>
        <v>1.875</v>
      </c>
      <c r="S15" s="158">
        <f>1.66*(P15+(LOG(J15)*4/3)+I15)+0.55*(Q15+(LOG(J15)*4/3)+I15)-7.6</f>
        <v>16.4361214653538994</v>
      </c>
      <c r="T15" s="53">
        <f>(0.5*P15+0.3*Q15)/10</f>
        <v>0.83999999999999897</v>
      </c>
      <c r="U15" s="53">
        <f>(0.4*L15+0.3*Q15)/10</f>
        <v>0.649999999999999023</v>
      </c>
      <c r="V15" s="158">
        <f aca="1">IF(TODAY()-E15&gt;335,(Q15+1+(LOG(J15)*4/3))*(F15/7)^0.5,(Q15+((TODAY()-E15)^0.5)/(336^0.5)+(LOG(J15)*4/3))*(F15/7)^0.5)</f>
        <v>17.8866311306276984</v>
      </c>
      <c r="W15" s="158">
        <f aca="1">IF(F15=7,V15,IF(TODAY()-E15&gt;335,(Q15+1+(LOG(J15)*4/3))*((F15+0.99)/7)^0.5,(Q15+((TODAY()-E15)^0.5)/(336^0.5)+(LOG(J15)*4/3))*((F15+0.99)/7)^0.5))</f>
        <v>17.8866311306276984</v>
      </c>
      <c r="X15" s="76">
        <f>((K15+I15+(LOG(J15)*4/3))*0.597)+((L15+I15+(LOG(J15)*4/3))*0.276)</f>
        <v>2.46002897703802992</v>
      </c>
      <c r="Y15" s="76">
        <f>((K15+I15+(LOG(J15)*4/3))*0.866)+((L15+I15+(LOG(J15)*4/3))*0.425)</f>
        <v>3.70530745630710001</v>
      </c>
      <c r="Z15" s="76">
        <f>X15</f>
        <v>2.46002897703802992</v>
      </c>
      <c r="AA15" s="76">
        <f>((L15+I15+(LOG(J15)*4/3))*0.516)</f>
        <v>2.86550166340391996</v>
      </c>
      <c r="AB15" s="76">
        <f>(L15+I15+(LOG(J15)*4/3))*1</f>
        <v>5.55329779729442041</v>
      </c>
      <c r="AC15" s="76">
        <f>AA15/2</f>
        <v>1.43275083170195998</v>
      </c>
      <c r="AD15" s="76">
        <f>(M15+I15+(LOG(J15)*4/3))*0.238</f>
        <v>3.46368487575607009</v>
      </c>
      <c r="AE15" s="76">
        <f>((L15+I15+(LOG(J15)*4/3))*0.378)</f>
        <v>2.09914656737729022</v>
      </c>
      <c r="AF15" s="76">
        <f>(L15+I15+(LOG(J15)*4/3))*0.723</f>
        <v>4.01503430744387035</v>
      </c>
      <c r="AG15" s="76">
        <f>AE15/2</f>
        <v>1.04957328368864999</v>
      </c>
      <c r="AH15" s="76">
        <f>(M15+I15+(LOG(J15)*4/3))*0.385</f>
        <v>5.6030196519583404</v>
      </c>
      <c r="AI15" s="76">
        <f>((L15+I15+(LOG(J15)*4/3))*0.92)</f>
        <v>5.1090339735108703</v>
      </c>
      <c r="AJ15" s="76">
        <f>(L15+I15+(LOG(J15)*4/3))*0.414</f>
        <v>2.29906528807988986</v>
      </c>
      <c r="AK15" s="76">
        <f>((M15+I15+(LOG(J15)*4/3))*0.167)</f>
        <v>2.43040073214817021</v>
      </c>
      <c r="AL15" s="76">
        <f>(N15+I15+(LOG(J15)*4/3))*0.588</f>
        <v>2.67733910480911996</v>
      </c>
      <c r="AM15" s="76">
        <f>((L15+I15+(LOG(J15)*4/3))*0.754)</f>
        <v>4.18718653915999006</v>
      </c>
      <c r="AN15" s="76">
        <f>((L15+I15+(LOG(J15)*4/3))*0.708)</f>
        <v>3.93173484048445019</v>
      </c>
      <c r="AO15" s="76">
        <f>((Q15+I15+(LOG(J15)*4/3))*0.167)</f>
        <v>2.9870673988148301</v>
      </c>
      <c r="AP15" s="76">
        <f>((R15+I15+(LOG(J15)*4/3))*0.288)</f>
        <v>0.987349765620793107</v>
      </c>
      <c r="AQ15" s="76">
        <f>((L15+I15+(LOG(J15)*4/3))*0.27)</f>
        <v>1.49939040526948997</v>
      </c>
      <c r="AR15" s="76">
        <f>((L15+I15+(LOG(J15)*4/3))*0.594)</f>
        <v>3.29865889159288983</v>
      </c>
      <c r="AS15" s="76">
        <f>AQ15/2</f>
        <v>0.749695202634744984</v>
      </c>
      <c r="AT15" s="76">
        <f>((M15+I15+(LOG(J15)*4/3))*0.944)</f>
        <v>13.7383131206459002</v>
      </c>
      <c r="AU15" s="76">
        <f>((O15+I15+(LOG(J15)*4/3))*0.13)</f>
        <v>0.721928713648275</v>
      </c>
      <c r="AV15" s="76">
        <f>((P15+I15+(LOG(J15)*4/3))*0.173)+((O15+I15+(LOG(J15)*4/3))*0.12)</f>
        <v>2.14611625460725985</v>
      </c>
      <c r="AW15" s="76">
        <f>AU15/2</f>
        <v>0.360964356824138033</v>
      </c>
      <c r="AX15" s="76">
        <f>((L15+I15+(LOG(J15)*4/3))*0.189)</f>
        <v>1.04957328368864999</v>
      </c>
      <c r="AY15" s="76">
        <f>((L15+I15+(LOG(J15)*4/3))*0.4)</f>
        <v>2.22131911891777012</v>
      </c>
      <c r="AZ15" s="76">
        <f>AX15/2</f>
        <v>0.524786641844324997</v>
      </c>
      <c r="BA15" s="76">
        <f>((M15+I15+(LOG(J15)*4/3))*1)</f>
        <v>14.5532977972944</v>
      </c>
      <c r="BB15" s="76">
        <f>((O15+I15+(LOG(J15)*4/3))*0.253)</f>
        <v>1.40498434271549</v>
      </c>
      <c r="BC15" s="76">
        <f>((P15+I15+(LOG(J15)*4/3))*0.21)+((O15+I15+(LOG(J15)*4/3))*0.341)</f>
        <v>3.68986708630922999</v>
      </c>
      <c r="BD15" s="76">
        <f>BB15/2</f>
        <v>0.702492171357745043</v>
      </c>
      <c r="BE15" s="76">
        <f>((L15+I15+(LOG(J15)*4/3))*0.291)</f>
        <v>1.61600965901268001</v>
      </c>
      <c r="BF15" s="76">
        <f>((L15+I15+(LOG(J15)*4/3))*0.348)</f>
        <v>1.93254763345846001</v>
      </c>
      <c r="BG15" s="76">
        <f>((M15+I15+(LOG(J15)*4/3))*0.881)</f>
        <v>12.8214553594163991</v>
      </c>
      <c r="BH15" s="76">
        <f>((N15+I15+(LOG(J15)*4/3))*0.574)+((O15+I15+(LOG(J15)*4/3))*0.315)</f>
        <v>4.36288174179474009</v>
      </c>
      <c r="BI15" s="76">
        <f>((O15+I15+(LOG(J15)*4/3))*0.241)</f>
        <v>1.33834476914795997</v>
      </c>
      <c r="BJ15" s="76">
        <f>((L15+I15+(LOG(J15)*4/3))*0.485)</f>
        <v>2.69334943168778995</v>
      </c>
      <c r="BK15" s="76">
        <f>((L15+I15+(LOG(J15)*4/3))*0.264)</f>
        <v>1.46607061848572995</v>
      </c>
      <c r="BL15" s="76">
        <f>((M15+I15+(LOG(J15)*4/3))*0.381)</f>
        <v>5.54480646076916983</v>
      </c>
      <c r="BM15" s="76">
        <f>((N15+I15+(LOG(J15)*4/3))*0.673)+((O15+I15+(LOG(J15)*4/3))*0.201)</f>
        <v>4.18058227483532985</v>
      </c>
      <c r="BN15" s="76">
        <f>((O15+I15+(LOG(J15)*4/3))*0.052)</f>
        <v>0.288771485459309964</v>
      </c>
      <c r="BO15" s="76">
        <f>((L15+I15+(LOG(J15)*4/3))*0.18)</f>
        <v>0.999593603512995976</v>
      </c>
      <c r="BP15" s="76">
        <f>(L15+I15+(LOG(J15)*4/3))*0.068</f>
        <v>0.377624250216020974</v>
      </c>
      <c r="BQ15" s="76">
        <f>((M15+I15+(LOG(J15)*4/3))*0.305)</f>
        <v>4.43875582817478964</v>
      </c>
      <c r="BR15" s="76">
        <f>((N15+I15+(LOG(J15)*4/3))*1)+((O15+I15+(LOG(J15)*4/3))*0.286)</f>
        <v>6.14154096732062005</v>
      </c>
      <c r="BS15" s="76">
        <f>((O15+I15+(LOG(J15)*4/3))*0.135)</f>
        <v>0.749695202634747027</v>
      </c>
      <c r="BT15" s="76">
        <f>((L15+I15+(LOG(J15)*4/3))*0.284)</f>
        <v>1.57713657443161992</v>
      </c>
      <c r="BU15" s="76">
        <f>(L15+I15+(LOG(J15)*4/3))*0.244</f>
        <v>1.35500466253983998</v>
      </c>
      <c r="BV15" s="76">
        <f>((M15+I15+(LOG(J15)*4/3))*0.455)</f>
        <v>6.62175049776895008</v>
      </c>
      <c r="BW15" s="76">
        <f>((N15+I15+(LOG(J15)*4/3))*0.864)+((O15+I15+(LOG(J15)*4/3))*0.244)</f>
        <v>5.2890539594022199</v>
      </c>
      <c r="BX15" s="76">
        <f>((O15+I15+(LOG(J15)*4/3))*0.121)</f>
        <v>0.671949033472625068</v>
      </c>
      <c r="BY15" s="76">
        <f>((L15+I15+(LOG(J15)*4/3))*0.284)</f>
        <v>1.57713657443161992</v>
      </c>
      <c r="BZ15" s="76">
        <f>((L15+I15+(LOG(J15)*4/3))*0.244)</f>
        <v>1.35500466253983998</v>
      </c>
      <c r="CA15" s="76">
        <f>((M15+I15+(LOG(J15)*4/3))*0.631)</f>
        <v>9.18313091009276938</v>
      </c>
      <c r="CB15" s="76">
        <f>((N15+I15+(LOG(J15)*4/3))*0.702)+((O15+I15+(LOG(J15)*4/3))*0.193)</f>
        <v>4.26820152857850044</v>
      </c>
      <c r="CC15" s="76">
        <f>((O15+I15+(LOG(J15)*4/3))*0.148)</f>
        <v>0.821888073999573976</v>
      </c>
      <c r="CD15" s="76">
        <f>((M15+I15+(LOG(J15)*4/3))*0.406)</f>
        <v>5.90863890570152961</v>
      </c>
      <c r="CE15" s="76">
        <f>IF(D15="TEC",((N15+I15+(LOG(J15)*4/3))*0.15)+((O15+I15+(LOG(J15)*4/3))*0.324)+((P15+I15+(LOG(J15)*4/3))*0.127),(((N15+I15+(LOG(J15)*4/3))*0.144)+((O15+I15+(LOG(J15)*4/3))*0.25)+((P15+I15+(LOG(J15)*4/3))*0.127)))</f>
        <v>3.13026815239039991</v>
      </c>
      <c r="CF15" s="76">
        <f>((O15+I15+(LOG(J15)*4/3))*0.543)+((P15+I15+(LOG(J15)*4/3))*0.583)</f>
        <v>8.00201331975351948</v>
      </c>
      <c r="CG15" s="76">
        <f>CE15</f>
        <v>3.13026815239039991</v>
      </c>
      <c r="CH15" s="76">
        <f>((P15+1+(LOG(J15)*4/3))*0.26)+((N15+I15+(LOG(J15)*4/3))*0.221)+((O15+I15+(LOG(J15)*4/3))*0.142)</f>
        <v>4.01870452771442999</v>
      </c>
      <c r="CI15" s="76">
        <f>((P15+I15+(LOG(J15)*4/3))*1)+((O15+I15+(LOG(J15)*4/3))*0.369)</f>
        <v>10.6024646844961001</v>
      </c>
      <c r="CJ15" s="76">
        <f>CH15</f>
        <v>4.01870452771442999</v>
      </c>
      <c r="CK15" s="76">
        <f>((M15+I15+(LOG(J15)*4/3))*0.25)</f>
        <v>3.6383244493236</v>
      </c>
    </row>
    <row r="16" spans="1:89">
      <c r="A16" t="str">
        <f>Plantilla!D17</f>
        <v>I. Stone</v>
      </c>
      <c r="B16" s="62">
        <f>Plantilla!E17</f>
        <v>21</v>
      </c>
      <c r="C16" s="102">
        <f>Plantilla!F17</f>
        <v>72</v>
      </c>
      <c r="D16" s="62" t="str">
        <f>Plantilla!G17</f>
        <v>RAP</v>
      </c>
      <c r="E16" s="211">
        <f>Plantilla!O17</f>
        <v>43633</v>
      </c>
      <c r="F16" s="102">
        <f>Plantilla!Q17</f>
        <v>5</v>
      </c>
      <c r="G16" s="122">
        <f>(F16/7)^0.5</f>
        <v>0.845154254728516108</v>
      </c>
      <c r="H16" s="122">
        <f>IF(F16=7,1,((F16+0.99)/7)^0.5)</f>
        <v>0.925048261289262008</v>
      </c>
      <c r="I16" s="157">
        <f>Plantilla!P17</f>
        <v>1</v>
      </c>
      <c r="J16" s="158">
        <f>Plantilla!I17</f>
        <v>3.79999999999999982</v>
      </c>
      <c r="K16" s="53">
        <f>Plantilla!X17</f>
        <v>0</v>
      </c>
      <c r="L16" s="53">
        <f>Plantilla!Y17</f>
        <v>3</v>
      </c>
      <c r="M16" s="53">
        <f>Plantilla!Z17</f>
        <v>12</v>
      </c>
      <c r="N16" s="53">
        <f>Plantilla!AA17</f>
        <v>2</v>
      </c>
      <c r="O16" s="53">
        <f>Plantilla!AB17</f>
        <v>6</v>
      </c>
      <c r="P16" s="53">
        <f>Plantilla!AC17</f>
        <v>9</v>
      </c>
      <c r="Q16" s="53">
        <f>Plantilla!AD17</f>
        <v>15.3333333333333002</v>
      </c>
      <c r="R16" s="158">
        <f>((2*(O16+1))+(L16+1))/8</f>
        <v>2.25</v>
      </c>
      <c r="S16" s="158">
        <f>1.66*(P16+(LOG(J16)*4/3)+I16)+0.55*(Q16+(LOG(J16)*4/3)+I16)-7.6</f>
        <v>19.691762331364199</v>
      </c>
      <c r="T16" s="53">
        <f>(0.5*P16+0.3*Q16)/10</f>
        <v>0.909999999999999076</v>
      </c>
      <c r="U16" s="53">
        <f>(0.4*L16+0.3*Q16)/10</f>
        <v>0.579999999999999005</v>
      </c>
      <c r="V16" s="158">
        <f aca="1">IF(TODAY()-E16&gt;335,(Q16+1+(LOG(J16)*4/3))*(F16/7)^0.5,(Q16+((TODAY()-E16)^0.5)/(336^0.5)+(LOG(J16)*4/3))*(F16/7)^0.5)</f>
        <v>14.4575282585691003</v>
      </c>
      <c r="W16" s="158">
        <f aca="1">IF(F16=7,V16,IF(TODAY()-E16&gt;335,(Q16+1+(LOG(J16)*4/3))*((F16+0.99)/7)^0.5,(Q16+((TODAY()-E16)^0.5)/(336^0.5)+(LOG(J16)*4/3))*((F16+0.99)/7)^0.5))</f>
        <v>15.8242253450238</v>
      </c>
      <c r="X16" s="76">
        <f>((K16+I16+(LOG(J16)*4/3))*0.597)+((L16+I16+(LOG(J16)*4/3))*0.276)</f>
        <v>2.37586810646197</v>
      </c>
      <c r="Y16" s="76">
        <f>((K16+I16+(LOG(J16)*4/3))*0.866)+((L16+I16+(LOG(J16)*4/3))*0.425)</f>
        <v>3.56400083097640019</v>
      </c>
      <c r="Z16" s="76">
        <f>X16</f>
        <v>2.37586810646197</v>
      </c>
      <c r="AA16" s="76">
        <f>((L16+I16+(LOG(J16)*4/3))*0.516)</f>
        <v>2.46289111447237019</v>
      </c>
      <c r="AB16" s="76">
        <f>(L16+I16+(LOG(J16)*4/3))*1</f>
        <v>4.77304479548907956</v>
      </c>
      <c r="AC16" s="76">
        <f>AA16/2</f>
        <v>1.23144555723618998</v>
      </c>
      <c r="AD16" s="76">
        <f>(M16+I16+(LOG(J16)*4/3))*0.238</f>
        <v>3.27798466132641009</v>
      </c>
      <c r="AE16" s="76">
        <f>((L16+I16+(LOG(J16)*4/3))*0.378)</f>
        <v>1.8042109326948701</v>
      </c>
      <c r="AF16" s="76">
        <f>(L16+I16+(LOG(J16)*4/3))*0.723</f>
        <v>3.45091138713859991</v>
      </c>
      <c r="AG16" s="76">
        <f>AE16/2</f>
        <v>0.902105466347435048</v>
      </c>
      <c r="AH16" s="76">
        <f>(M16+I16+(LOG(J16)*4/3))*0.385</f>
        <v>5.30262224626330969</v>
      </c>
      <c r="AI16" s="76">
        <f>((L16+I16+(LOG(J16)*4/3))*0.92)</f>
        <v>4.39120121184994971</v>
      </c>
      <c r="AJ16" s="76">
        <f>(L16+I16+(LOG(J16)*4/3))*0.414</f>
        <v>1.97604054533248004</v>
      </c>
      <c r="AK16" s="76">
        <f>((M16+I16+(LOG(J16)*4/3))*0.167)</f>
        <v>2.30009848084668</v>
      </c>
      <c r="AL16" s="76">
        <f>(N16+I16+(LOG(J16)*4/3))*0.588</f>
        <v>2.21855033974757987</v>
      </c>
      <c r="AM16" s="76">
        <f>((L16+I16+(LOG(J16)*4/3))*0.754)</f>
        <v>3.59887577579877016</v>
      </c>
      <c r="AN16" s="76">
        <f>((L16+I16+(LOG(J16)*4/3))*0.708)</f>
        <v>3.37931571520626983</v>
      </c>
      <c r="AO16" s="76">
        <f>((Q16+I16+(LOG(J16)*4/3))*0.167)</f>
        <v>2.8567651475133399</v>
      </c>
      <c r="AP16" s="76">
        <f>((R16+I16+(LOG(J16)*4/3))*0.288)</f>
        <v>1.15863690110085993</v>
      </c>
      <c r="AQ16" s="76">
        <f>((L16+I16+(LOG(J16)*4/3))*0.27)</f>
        <v>1.2887220947820499</v>
      </c>
      <c r="AR16" s="76">
        <f>((L16+I16+(LOG(J16)*4/3))*0.594)</f>
        <v>2.83518860852051002</v>
      </c>
      <c r="AS16" s="76">
        <f>AQ16/2</f>
        <v>0.644361047391024933</v>
      </c>
      <c r="AT16" s="76">
        <f>((M16+I16+(LOG(J16)*4/3))*0.944)</f>
        <v>13.0017542869417007</v>
      </c>
      <c r="AU16" s="76">
        <f>((O16+I16+(LOG(J16)*4/3))*0.13)</f>
        <v>1.01049582341357991</v>
      </c>
      <c r="AV16" s="76">
        <f>((P16+I16+(LOG(J16)*4/3))*0.173)+((O16+I16+(LOG(J16)*4/3))*0.12)</f>
        <v>2.79650212507829998</v>
      </c>
      <c r="AW16" s="76">
        <f>AU16/2</f>
        <v>0.505247911706789932</v>
      </c>
      <c r="AX16" s="76">
        <f>((L16+I16+(LOG(J16)*4/3))*0.189)</f>
        <v>0.902105466347436113</v>
      </c>
      <c r="AY16" s="76">
        <f>((L16+I16+(LOG(J16)*4/3))*0.4)</f>
        <v>1.90921791819562987</v>
      </c>
      <c r="AZ16" s="76">
        <f>AX16/2</f>
        <v>0.451052733173718057</v>
      </c>
      <c r="BA16" s="76">
        <f>((M16+I16+(LOG(J16)*4/3))*1)</f>
        <v>13.7730447954891009</v>
      </c>
      <c r="BB16" s="76">
        <f>((O16+I16+(LOG(J16)*4/3))*0.253)</f>
        <v>1.96658033325873998</v>
      </c>
      <c r="BC16" s="76">
        <f>((P16+I16+(LOG(J16)*4/3))*0.21)+((O16+I16+(LOG(J16)*4/3))*0.341)</f>
        <v>4.91294768231449019</v>
      </c>
      <c r="BD16" s="76">
        <f>BB16/2</f>
        <v>0.983290166629369899</v>
      </c>
      <c r="BE16" s="76">
        <f>((L16+I16+(LOG(J16)*4/3))*0.291)</f>
        <v>1.38895603548732005</v>
      </c>
      <c r="BF16" s="76">
        <f>((L16+I16+(LOG(J16)*4/3))*0.348)</f>
        <v>1.6610195888302</v>
      </c>
      <c r="BG16" s="76">
        <f>((M16+I16+(LOG(J16)*4/3))*0.881)</f>
        <v>12.1340524648258992</v>
      </c>
      <c r="BH16" s="76">
        <f>((N16+I16+(LOG(J16)*4/3))*0.574)+((O16+I16+(LOG(J16)*4/3))*0.315)</f>
        <v>4.61423682318979012</v>
      </c>
      <c r="BI16" s="76">
        <f>((O16+I16+(LOG(J16)*4/3))*0.241)</f>
        <v>1.87330379571286993</v>
      </c>
      <c r="BJ16" s="76">
        <f>((L16+I16+(LOG(J16)*4/3))*0.485)</f>
        <v>2.31492672581219994</v>
      </c>
      <c r="BK16" s="76">
        <f>((L16+I16+(LOG(J16)*4/3))*0.264)</f>
        <v>1.26008382600912006</v>
      </c>
      <c r="BL16" s="76">
        <f>((M16+I16+(LOG(J16)*4/3))*0.381)</f>
        <v>5.24753006708134961</v>
      </c>
      <c r="BM16" s="76">
        <f>((N16+I16+(LOG(J16)*4/3))*0.673)+((O16+I16+(LOG(J16)*4/3))*0.201)</f>
        <v>4.10164115125745976</v>
      </c>
      <c r="BN16" s="76">
        <f>((O16+I16+(LOG(J16)*4/3))*0.052)</f>
        <v>0.404198329365431963</v>
      </c>
      <c r="BO16" s="76">
        <f>((L16+I16+(LOG(J16)*4/3))*0.18)</f>
        <v>0.859148063188034072</v>
      </c>
      <c r="BP16" s="76">
        <f>(L16+I16+(LOG(J16)*4/3))*0.068</f>
        <v>0.324567046093256995</v>
      </c>
      <c r="BQ16" s="76">
        <f>((M16+I16+(LOG(J16)*4/3))*0.305)</f>
        <v>4.20077866262418009</v>
      </c>
      <c r="BR16" s="76">
        <f>((N16+I16+(LOG(J16)*4/3))*1)+((O16+I16+(LOG(J16)*4/3))*0.286)</f>
        <v>5.9961356069989602</v>
      </c>
      <c r="BS16" s="76">
        <f>((O16+I16+(LOG(J16)*4/3))*0.135)</f>
        <v>1.04936104739102998</v>
      </c>
      <c r="BT16" s="76">
        <f>((L16+I16+(LOG(J16)*4/3))*0.284)</f>
        <v>1.35554472191890008</v>
      </c>
      <c r="BU16" s="76">
        <f>(L16+I16+(LOG(J16)*4/3))*0.244</f>
        <v>1.16462293009934004</v>
      </c>
      <c r="BV16" s="76">
        <f>((M16+I16+(LOG(J16)*4/3))*0.455)</f>
        <v>6.26673538194753998</v>
      </c>
      <c r="BW16" s="76">
        <f>((N16+I16+(LOG(J16)*4/3))*0.864)+((O16+I16+(LOG(J16)*4/3))*0.244)</f>
        <v>5.15653363340191007</v>
      </c>
      <c r="BX16" s="76">
        <f>((O16+I16+(LOG(J16)*4/3))*0.121)</f>
        <v>0.940538420254178931</v>
      </c>
      <c r="BY16" s="76">
        <f>((L16+I16+(LOG(J16)*4/3))*0.284)</f>
        <v>1.35554472191890008</v>
      </c>
      <c r="BZ16" s="76">
        <f>((L16+I16+(LOG(J16)*4/3))*0.244)</f>
        <v>1.16462293009934004</v>
      </c>
      <c r="CA16" s="76">
        <f>((M16+I16+(LOG(J16)*4/3))*0.631)</f>
        <v>8.69079126595362084</v>
      </c>
      <c r="CB16" s="76">
        <f>((N16+I16+(LOG(J16)*4/3))*0.702)+((O16+I16+(LOG(J16)*4/3))*0.193)</f>
        <v>4.14887509196272042</v>
      </c>
      <c r="CC16" s="76">
        <f>((O16+I16+(LOG(J16)*4/3))*0.148)</f>
        <v>1.15041062973237995</v>
      </c>
      <c r="CD16" s="76">
        <f>((M16+I16+(LOG(J16)*4/3))*0.406)</f>
        <v>5.59185618696858011</v>
      </c>
      <c r="CE16" s="76">
        <f>IF(D16="TEC",((N16+I16+(LOG(J16)*4/3))*0.15)+((O16+I16+(LOG(J16)*4/3))*0.324)+((P16+I16+(LOG(J16)*4/3))*0.127),(((N16+I16+(LOG(J16)*4/3))*0.144)+((O16+I16+(LOG(J16)*4/3))*0.25)+((P16+I16+(LOG(J16)*4/3))*0.127)))</f>
        <v>3.85475633844981971</v>
      </c>
      <c r="CF16" s="76">
        <f>((O16+I16+(LOG(J16)*4/3))*0.543)+((P16+I16+(LOG(J16)*4/3))*0.583)</f>
        <v>10.5014484397207006</v>
      </c>
      <c r="CG16" s="76">
        <f>CE16</f>
        <v>3.85475633844981971</v>
      </c>
      <c r="CH16" s="76">
        <f>((P16+1+(LOG(J16)*4/3))*0.26)+((N16+I16+(LOG(J16)*4/3))*0.221)+((O16+I16+(LOG(J16)*4/3))*0.142)</f>
        <v>4.73860690758970993</v>
      </c>
      <c r="CI16" s="76">
        <f>((P16+I16+(LOG(J16)*4/3))*1)+((O16+I16+(LOG(J16)*4/3))*0.369)</f>
        <v>13.6412983250246</v>
      </c>
      <c r="CJ16" s="76">
        <f>CH16</f>
        <v>4.73860690758970993</v>
      </c>
      <c r="CK16" s="76">
        <f>((M16+I16+(LOG(J16)*4/3))*0.25)</f>
        <v>3.4432611988722801</v>
      </c>
    </row>
    <row r="17" spans="1:89">
      <c r="A17" t="str">
        <f>Plantilla!D18</f>
        <v>G. Piscaer</v>
      </c>
      <c r="B17" s="62">
        <f>Plantilla!E18</f>
        <v>22</v>
      </c>
      <c r="C17" s="102">
        <f>Plantilla!F18</f>
        <v>33</v>
      </c>
      <c r="D17" s="62" t="str">
        <f>Plantilla!G18</f>
        <v>IMP</v>
      </c>
      <c r="E17" s="211">
        <f>Plantilla!O18</f>
        <v>43630</v>
      </c>
      <c r="F17" s="102">
        <f>Plantilla!Q18</f>
        <v>4</v>
      </c>
      <c r="G17" s="122">
        <f>(F17/7)^0.5</f>
        <v>0.755928946018454972</v>
      </c>
      <c r="H17" s="122">
        <f>IF(F17=7,1,((F17+0.99)/7)^0.5)</f>
        <v>0.844308677473554958</v>
      </c>
      <c r="I17" s="157">
        <f>Plantilla!P18</f>
        <v>1</v>
      </c>
      <c r="J17" s="158">
        <f>Plantilla!I18</f>
        <v>3.70000000000000018</v>
      </c>
      <c r="K17" s="53">
        <f>Plantilla!X18</f>
        <v>0</v>
      </c>
      <c r="L17" s="53">
        <f>Plantilla!Y18</f>
        <v>4</v>
      </c>
      <c r="M17" s="53">
        <f>Plantilla!Z18</f>
        <v>13</v>
      </c>
      <c r="N17" s="53">
        <f>Plantilla!AA18</f>
        <v>3</v>
      </c>
      <c r="O17" s="53">
        <f>Plantilla!AB18</f>
        <v>2</v>
      </c>
      <c r="P17" s="53">
        <f>Plantilla!AC18</f>
        <v>8</v>
      </c>
      <c r="Q17" s="53">
        <f>Plantilla!AD18</f>
        <v>14.3333333333333002</v>
      </c>
      <c r="R17" s="158">
        <f>((2*(O17+1))+(L17+1))/8</f>
        <v>1.375</v>
      </c>
      <c r="S17" s="158">
        <f>1.66*(P17+(LOG(J17)*4/3)+I17)+0.55*(Q17+(LOG(J17)*4/3)+I17)-7.6</f>
        <v>17.4476344135840016</v>
      </c>
      <c r="T17" s="53">
        <f>(0.5*P17+0.3*Q17)/10</f>
        <v>0.829999999999999005</v>
      </c>
      <c r="U17" s="53">
        <f>(0.4*L17+0.3*Q17)/10</f>
        <v>0.58999999999999897</v>
      </c>
      <c r="V17" s="158">
        <f aca="1">IF(TODAY()-E17&gt;335,(Q17+1+(LOG(J17)*4/3))*(F17/7)^0.5,(Q17+((TODAY()-E17)^0.5)/(336^0.5)+(LOG(J17)*4/3))*(F17/7)^0.5)</f>
        <v>12.1636040128160996</v>
      </c>
      <c r="W17" s="158">
        <f aca="1">IF(F17=7,V17,IF(TODAY()-E17&gt;335,(Q17+1+(LOG(J17)*4/3))*((F17+0.99)/7)^0.5,(Q17+((TODAY()-E17)^0.5)/(336^0.5)+(LOG(J17)*4/3))*((F17+0.99)/7)^0.5))</f>
        <v>13.5857165828413997</v>
      </c>
      <c r="X17" s="76">
        <f>((K17+I17+(LOG(J17)*4/3))*0.597)+((L17+I17+(LOG(J17)*4/3))*0.276)</f>
        <v>2.63838680681398019</v>
      </c>
      <c r="Y17" s="76">
        <f>((K17+I17+(LOG(J17)*4/3))*0.866)+((L17+I17+(LOG(J17)*4/3))*0.425)</f>
        <v>3.96906456769398996</v>
      </c>
      <c r="Z17" s="76">
        <f>X17</f>
        <v>2.63838680681398019</v>
      </c>
      <c r="AA17" s="76">
        <f>((L17+I17+(LOG(J17)*4/3))*0.516)</f>
        <v>2.97092278615808993</v>
      </c>
      <c r="AB17" s="76">
        <f>(L17+I17+(LOG(J17)*4/3))*1</f>
        <v>5.75760229875599006</v>
      </c>
      <c r="AC17" s="76">
        <f>AA17/2</f>
        <v>1.48546139307904994</v>
      </c>
      <c r="AD17" s="76">
        <f>(M17+I17+(LOG(J17)*4/3))*0.238</f>
        <v>3.51230934710393017</v>
      </c>
      <c r="AE17" s="76">
        <f>((L17+I17+(LOG(J17)*4/3))*0.378)</f>
        <v>2.17637366892975992</v>
      </c>
      <c r="AF17" s="76">
        <f>(L17+I17+(LOG(J17)*4/3))*0.723</f>
        <v>4.16274646200058029</v>
      </c>
      <c r="AG17" s="76">
        <f>AE17/2</f>
        <v>1.08818683446487995</v>
      </c>
      <c r="AH17" s="76">
        <f>(M17+I17+(LOG(J17)*4/3))*0.385</f>
        <v>5.68167688502106039</v>
      </c>
      <c r="AI17" s="76">
        <f>((L17+I17+(LOG(J17)*4/3))*0.92)</f>
        <v>5.29699411485550975</v>
      </c>
      <c r="AJ17" s="76">
        <f>(L17+I17+(LOG(J17)*4/3))*0.414</f>
        <v>2.3836473516849801</v>
      </c>
      <c r="AK17" s="76">
        <f>((M17+I17+(LOG(J17)*4/3))*0.167)</f>
        <v>2.46451958389224979</v>
      </c>
      <c r="AL17" s="76">
        <f>(N17+I17+(LOG(J17)*4/3))*0.588</f>
        <v>2.79747015166852009</v>
      </c>
      <c r="AM17" s="76">
        <f>((L17+I17+(LOG(J17)*4/3))*0.754)</f>
        <v>4.34123213326201984</v>
      </c>
      <c r="AN17" s="76">
        <f>((L17+I17+(LOG(J17)*4/3))*0.708)</f>
        <v>4.07638242751924018</v>
      </c>
      <c r="AO17" s="76">
        <f>((Q17+I17+(LOG(J17)*4/3))*0.167)</f>
        <v>2.68718625055891014</v>
      </c>
      <c r="AP17" s="76">
        <f>((R17+I17+(LOG(J17)*4/3))*0.288)</f>
        <v>0.902189462041724966</v>
      </c>
      <c r="AQ17" s="76">
        <f>((L17+I17+(LOG(J17)*4/3))*0.27)</f>
        <v>1.55455262066412008</v>
      </c>
      <c r="AR17" s="76">
        <f>((L17+I17+(LOG(J17)*4/3))*0.594)</f>
        <v>3.42001576546106012</v>
      </c>
      <c r="AS17" s="76">
        <f>AQ17/2</f>
        <v>0.777276310332060039</v>
      </c>
      <c r="AT17" s="76">
        <f>((M17+I17+(LOG(J17)*4/3))*0.944)</f>
        <v>13.9311765700257002</v>
      </c>
      <c r="AU17" s="76">
        <f>((O17+I17+(LOG(J17)*4/3))*0.13)</f>
        <v>0.488488298838279</v>
      </c>
      <c r="AV17" s="76">
        <f>((P17+I17+(LOG(J17)*4/3))*0.173)+((O17+I17+(LOG(J17)*4/3))*0.12)</f>
        <v>2.13897747353551004</v>
      </c>
      <c r="AW17" s="76">
        <f>AU17/2</f>
        <v>0.244244149419139989</v>
      </c>
      <c r="AX17" s="76">
        <f>((L17+I17+(LOG(J17)*4/3))*0.189)</f>
        <v>1.08818683446487995</v>
      </c>
      <c r="AY17" s="76">
        <f>((L17+I17+(LOG(J17)*4/3))*0.4)</f>
        <v>2.3030409195024002</v>
      </c>
      <c r="AZ17" s="76">
        <f>AX17/2</f>
        <v>0.544093417232439958</v>
      </c>
      <c r="BA17" s="76">
        <f>((M17+I17+(LOG(J17)*4/3))*1)</f>
        <v>14.7576022987559998</v>
      </c>
      <c r="BB17" s="76">
        <f>((O17+I17+(LOG(J17)*4/3))*0.253)</f>
        <v>0.950673381585266064</v>
      </c>
      <c r="BC17" s="76">
        <f>((P17+I17+(LOG(J17)*4/3))*0.21)+((O17+I17+(LOG(J17)*4/3))*0.341)</f>
        <v>3.33043886661454991</v>
      </c>
      <c r="BD17" s="76">
        <f>BB17/2</f>
        <v>0.475336690792633032</v>
      </c>
      <c r="BE17" s="76">
        <f>((L17+I17+(LOG(J17)*4/3))*0.291)</f>
        <v>1.67546226893799011</v>
      </c>
      <c r="BF17" s="76">
        <f>((L17+I17+(LOG(J17)*4/3))*0.348)</f>
        <v>2.00364559996708991</v>
      </c>
      <c r="BG17" s="76">
        <f>((M17+I17+(LOG(J17)*4/3))*0.881)</f>
        <v>13.0014476252039994</v>
      </c>
      <c r="BH17" s="76">
        <f>((N17+I17+(LOG(J17)*4/3))*0.574)+((O17+I17+(LOG(J17)*4/3))*0.315)</f>
        <v>3.91450844359407988</v>
      </c>
      <c r="BI17" s="76">
        <f>((O17+I17+(LOG(J17)*4/3))*0.241)</f>
        <v>0.905582154000193995</v>
      </c>
      <c r="BJ17" s="76">
        <f>((L17+I17+(LOG(J17)*4/3))*0.485)</f>
        <v>2.7924371148966598</v>
      </c>
      <c r="BK17" s="76">
        <f>((L17+I17+(LOG(J17)*4/3))*0.264)</f>
        <v>1.52000700687158012</v>
      </c>
      <c r="BL17" s="76">
        <f>((M17+I17+(LOG(J17)*4/3))*0.381)</f>
        <v>5.62264647582604038</v>
      </c>
      <c r="BM17" s="76">
        <f>((N17+I17+(LOG(J17)*4/3))*0.673)+((O17+I17+(LOG(J17)*4/3))*0.201)</f>
        <v>3.95714440911272991</v>
      </c>
      <c r="BN17" s="76">
        <f>((O17+I17+(LOG(J17)*4/3))*0.052)</f>
        <v>0.195395319535311991</v>
      </c>
      <c r="BO17" s="76">
        <f>((L17+I17+(LOG(J17)*4/3))*0.18)</f>
        <v>1.03636841377608002</v>
      </c>
      <c r="BP17" s="76">
        <f>(L17+I17+(LOG(J17)*4/3))*0.068</f>
        <v>0.391516956315407008</v>
      </c>
      <c r="BQ17" s="76">
        <f>((M17+I17+(LOG(J17)*4/3))*0.305)</f>
        <v>4.50106870112058033</v>
      </c>
      <c r="BR17" s="76">
        <f>((N17+I17+(LOG(J17)*4/3))*1)+((O17+I17+(LOG(J17)*4/3))*0.286)</f>
        <v>5.83227655620019991</v>
      </c>
      <c r="BS17" s="76">
        <f>((O17+I17+(LOG(J17)*4/3))*0.135)</f>
        <v>0.507276310332058955</v>
      </c>
      <c r="BT17" s="76">
        <f>((L17+I17+(LOG(J17)*4/3))*0.284)</f>
        <v>1.63515905284669998</v>
      </c>
      <c r="BU17" s="76">
        <f>(L17+I17+(LOG(J17)*4/3))*0.244</f>
        <v>1.40485496089646</v>
      </c>
      <c r="BV17" s="76">
        <f>((M17+I17+(LOG(J17)*4/3))*0.455)</f>
        <v>6.71470904593398021</v>
      </c>
      <c r="BW17" s="76">
        <f>((N17+I17+(LOG(J17)*4/3))*0.864)+((O17+I17+(LOG(J17)*4/3))*0.244)</f>
        <v>5.02742334702163962</v>
      </c>
      <c r="BX17" s="76">
        <f>((O17+I17+(LOG(J17)*4/3))*0.121)</f>
        <v>0.454669878149474993</v>
      </c>
      <c r="BY17" s="76">
        <f>((L17+I17+(LOG(J17)*4/3))*0.284)</f>
        <v>1.63515905284669998</v>
      </c>
      <c r="BZ17" s="76">
        <f>((L17+I17+(LOG(J17)*4/3))*0.244)</f>
        <v>1.40485496089646</v>
      </c>
      <c r="CA17" s="76">
        <f>((M17+I17+(LOG(J17)*4/3))*0.631)</f>
        <v>9.31204705051504078</v>
      </c>
      <c r="CB17" s="76">
        <f>((N17+I17+(LOG(J17)*4/3))*0.702)+((O17+I17+(LOG(J17)*4/3))*0.193)</f>
        <v>4.06505405738661985</v>
      </c>
      <c r="CC17" s="76">
        <f>((O17+I17+(LOG(J17)*4/3))*0.148)</f>
        <v>0.556125140215887015</v>
      </c>
      <c r="CD17" s="76">
        <f>((M17+I17+(LOG(J17)*4/3))*0.406)</f>
        <v>5.99158653329493962</v>
      </c>
      <c r="CE17" s="76">
        <f>IF(D17="TEC",((N17+I17+(LOG(J17)*4/3))*0.15)+((O17+I17+(LOG(J17)*4/3))*0.324)+((P17+I17+(LOG(J17)*4/3))*0.127),(((N17+I17+(LOG(J17)*4/3))*0.144)+((O17+I17+(LOG(J17)*4/3))*0.25)+((P17+I17+(LOG(J17)*4/3))*0.127)))</f>
        <v>2.86371079765187009</v>
      </c>
      <c r="CF17" s="76">
        <f>((O17+I17+(LOG(J17)*4/3))*0.543)+((P17+I17+(LOG(J17)*4/3))*0.583)</f>
        <v>7.72906018839923981</v>
      </c>
      <c r="CG17" s="76">
        <f>CE17</f>
        <v>2.86371079765187009</v>
      </c>
      <c r="CH17" s="76">
        <f>((P17+1+(LOG(J17)*4/3))*0.26)+((N17+I17+(LOG(J17)*4/3))*0.221)+((O17+I17+(LOG(J17)*4/3))*0.142)</f>
        <v>4.12198623212498028</v>
      </c>
      <c r="CI17" s="76">
        <f>((P17+I17+(LOG(J17)*4/3))*1)+((O17+I17+(LOG(J17)*4/3))*0.369)</f>
        <v>11.1441575469970005</v>
      </c>
      <c r="CJ17" s="76">
        <f>CH17</f>
        <v>4.12198623212498028</v>
      </c>
      <c r="CK17" s="76">
        <f>((M17+I17+(LOG(J17)*4/3))*0.25)</f>
        <v>3.68940057468899996</v>
      </c>
    </row>
    <row r="18" spans="1:89">
      <c r="A18" t="str">
        <f>Plantilla!D19</f>
        <v>M. Bondarewski</v>
      </c>
      <c r="B18" s="62">
        <f>Plantilla!E19</f>
        <v>22</v>
      </c>
      <c r="C18" s="102">
        <f>Plantilla!F19</f>
        <v>33</v>
      </c>
      <c r="D18" s="62" t="str">
        <f>Plantilla!G19</f>
        <v>RAP</v>
      </c>
      <c r="E18" s="211">
        <f>Plantilla!O19</f>
        <v>43627</v>
      </c>
      <c r="F18" s="102">
        <f>Plantilla!Q19</f>
        <v>6</v>
      </c>
      <c r="G18" s="122">
        <f>(F18/7)^0.5</f>
        <v>0.925820099772552041</v>
      </c>
      <c r="H18" s="122">
        <f>IF(F18=7,1,((F18+0.99)/7)^0.5)</f>
        <v>0.999285459001294996</v>
      </c>
      <c r="I18" s="157">
        <f>Plantilla!P19</f>
        <v>1</v>
      </c>
      <c r="J18" s="158">
        <f>Plantilla!I19</f>
        <v>3.9</v>
      </c>
      <c r="K18" s="53">
        <f>Plantilla!X19</f>
        <v>0</v>
      </c>
      <c r="L18" s="53">
        <f>Plantilla!Y19</f>
        <v>2</v>
      </c>
      <c r="M18" s="53">
        <f>Plantilla!Z19</f>
        <v>13</v>
      </c>
      <c r="N18" s="53">
        <f>Plantilla!AA19</f>
        <v>5</v>
      </c>
      <c r="O18" s="53">
        <f>Plantilla!AB19</f>
        <v>4</v>
      </c>
      <c r="P18" s="53">
        <f>Plantilla!AC19</f>
        <v>8</v>
      </c>
      <c r="Q18" s="53">
        <f>Plantilla!AD19</f>
        <v>17</v>
      </c>
      <c r="R18" s="158">
        <f>((2*(O18+1))+(L18+1))/8</f>
        <v>1.625</v>
      </c>
      <c r="S18" s="158">
        <f>1.66*(P18+(LOG(J18)*4/3)+I18)+0.55*(Q18+(LOG(J18)*4/3)+I18)-7.6</f>
        <v>18.9816703753714009</v>
      </c>
      <c r="T18" s="53">
        <f>(0.5*P18+0.3*Q18)/10</f>
        <v>0.909999999999999964</v>
      </c>
      <c r="U18" s="53">
        <f>(0.4*L18+0.3*Q18)/10</f>
        <v>0.589999999999999947</v>
      </c>
      <c r="V18" s="158">
        <f aca="1">IF(TODAY()-E18&gt;335,(Q18+1+(LOG(J18)*4/3))*(F18/7)^0.5,(Q18+((TODAY()-E18)^0.5)/(336^0.5)+(LOG(J18)*4/3))*(F18/7)^0.5)</f>
        <v>17.3943877871716985</v>
      </c>
      <c r="W18" s="158">
        <f aca="1">IF(F18=7,V18,IF(TODAY()-E18&gt;335,(Q18+1+(LOG(J18)*4/3))*((F18+0.99)/7)^0.5,(Q18+((TODAY()-E18)^0.5)/(336^0.5)+(LOG(J18)*4/3))*((F18+0.99)/7)^0.5))</f>
        <v>18.7746612848658003</v>
      </c>
      <c r="X18" s="76">
        <f>((K18+I18+(LOG(J18)*4/3))*0.597)+((L18+I18+(LOG(J18)*4/3))*0.276)</f>
        <v>2.11299920257884022</v>
      </c>
      <c r="Y18" s="76">
        <f>((K18+I18+(LOG(J18)*4/3))*0.866)+((L18+I18+(LOG(J18)*4/3))*0.425)</f>
        <v>3.15841921022827998</v>
      </c>
      <c r="Z18" s="76">
        <f>X18</f>
        <v>2.11299920257884022</v>
      </c>
      <c r="AA18" s="76">
        <f>((L18+I18+(LOG(J18)*4/3))*0.516)</f>
        <v>1.95465244963422986</v>
      </c>
      <c r="AB18" s="76">
        <f>(L18+I18+(LOG(J18)*4/3))*1</f>
        <v>3.78808614270199984</v>
      </c>
      <c r="AC18" s="76">
        <f>AA18/2</f>
        <v>0.977326224817115019</v>
      </c>
      <c r="AD18" s="76">
        <f>(M18+I18+(LOG(J18)*4/3))*0.238</f>
        <v>3.51956450196307991</v>
      </c>
      <c r="AE18" s="76">
        <f>((L18+I18+(LOG(J18)*4/3))*0.378)</f>
        <v>1.43189656194135999</v>
      </c>
      <c r="AF18" s="76">
        <f>(L18+I18+(LOG(J18)*4/3))*0.723</f>
        <v>2.73878628117354994</v>
      </c>
      <c r="AG18" s="76">
        <f>AE18/2</f>
        <v>0.715948280970679996</v>
      </c>
      <c r="AH18" s="76">
        <f>(M18+I18+(LOG(J18)*4/3))*0.385</f>
        <v>5.69341316494026994</v>
      </c>
      <c r="AI18" s="76">
        <f>((L18+I18+(LOG(J18)*4/3))*0.92)</f>
        <v>3.48503925128584013</v>
      </c>
      <c r="AJ18" s="76">
        <f>(L18+I18+(LOG(J18)*4/3))*0.414</f>
        <v>1.56826766307863004</v>
      </c>
      <c r="AK18" s="76">
        <f>((M18+I18+(LOG(J18)*4/3))*0.167)</f>
        <v>2.46961038583122994</v>
      </c>
      <c r="AL18" s="76">
        <f>(N18+I18+(LOG(J18)*4/3))*0.588</f>
        <v>3.99139465190877996</v>
      </c>
      <c r="AM18" s="76">
        <f>((L18+I18+(LOG(J18)*4/3))*0.754)</f>
        <v>2.85621695159731015</v>
      </c>
      <c r="AN18" s="76">
        <f>((L18+I18+(LOG(J18)*4/3))*0.708)</f>
        <v>2.68196498903302016</v>
      </c>
      <c r="AO18" s="76">
        <f>((Q18+I18+(LOG(J18)*4/3))*0.167)</f>
        <v>3.13761038583123009</v>
      </c>
      <c r="AP18" s="76">
        <f>((R18+I18+(LOG(J18)*4/3))*0.288)</f>
        <v>0.982968809098175988</v>
      </c>
      <c r="AQ18" s="76">
        <f>((L18+I18+(LOG(J18)*4/3))*0.27)</f>
        <v>1.02278325852954</v>
      </c>
      <c r="AR18" s="76">
        <f>((L18+I18+(LOG(J18)*4/3))*0.594)</f>
        <v>2.25012316876498986</v>
      </c>
      <c r="AS18" s="76">
        <f>AQ18/2</f>
        <v>0.511391629264769954</v>
      </c>
      <c r="AT18" s="76">
        <f>((M18+I18+(LOG(J18)*4/3))*0.944)</f>
        <v>13.9599533187106992</v>
      </c>
      <c r="AU18" s="76">
        <f>((O18+I18+(LOG(J18)*4/3))*0.13)</f>
        <v>0.752451198551259992</v>
      </c>
      <c r="AV18" s="76">
        <f>((P18+I18+(LOG(J18)*4/3))*0.173)+((O18+I18+(LOG(J18)*4/3))*0.12)</f>
        <v>2.38790923981169012</v>
      </c>
      <c r="AW18" s="76">
        <f>AU18/2</f>
        <v>0.376225599275629996</v>
      </c>
      <c r="AX18" s="76">
        <f>((L18+I18+(LOG(J18)*4/3))*0.189)</f>
        <v>0.715948280970677953</v>
      </c>
      <c r="AY18" s="76">
        <f>((L18+I18+(LOG(J18)*4/3))*0.4)</f>
        <v>1.51523445708080011</v>
      </c>
      <c r="AZ18" s="76">
        <f>AX18/2</f>
        <v>0.357974140485338976</v>
      </c>
      <c r="BA18" s="76">
        <f>((M18+I18+(LOG(J18)*4/3))*1)</f>
        <v>14.7880861427019994</v>
      </c>
      <c r="BB18" s="76">
        <f>((O18+I18+(LOG(J18)*4/3))*0.253)</f>
        <v>1.46438579410361003</v>
      </c>
      <c r="BC18" s="76">
        <f>((P18+I18+(LOG(J18)*4/3))*0.21)+((O18+I18+(LOG(J18)*4/3))*0.341)</f>
        <v>4.02923546462880022</v>
      </c>
      <c r="BD18" s="76">
        <f>BB18/2</f>
        <v>0.73219289705180497</v>
      </c>
      <c r="BE18" s="76">
        <f>((L18+I18+(LOG(J18)*4/3))*0.291)</f>
        <v>1.10233306752627991</v>
      </c>
      <c r="BF18" s="76">
        <f>((L18+I18+(LOG(J18)*4/3))*0.348)</f>
        <v>1.31825397766029995</v>
      </c>
      <c r="BG18" s="76">
        <f>((M18+I18+(LOG(J18)*4/3))*0.881)</f>
        <v>13.0283038917204994</v>
      </c>
      <c r="BH18" s="76">
        <f>((N18+I18+(LOG(J18)*4/3))*0.574)+((O18+I18+(LOG(J18)*4/3))*0.315)</f>
        <v>5.71960858086208024</v>
      </c>
      <c r="BI18" s="76">
        <f>((O18+I18+(LOG(J18)*4/3))*0.241)</f>
        <v>1.39492876039117997</v>
      </c>
      <c r="BJ18" s="76">
        <f>((L18+I18+(LOG(J18)*4/3))*0.485)</f>
        <v>1.83722177921046992</v>
      </c>
      <c r="BK18" s="76">
        <f>((L18+I18+(LOG(J18)*4/3))*0.264)</f>
        <v>1.00005474167333008</v>
      </c>
      <c r="BL18" s="76">
        <f>((M18+I18+(LOG(J18)*4/3))*0.381)</f>
        <v>5.63426082036945974</v>
      </c>
      <c r="BM18" s="76">
        <f>((N18+I18+(LOG(J18)*4/3))*0.673)+((O18+I18+(LOG(J18)*4/3))*0.201)</f>
        <v>5.73178728872155041</v>
      </c>
      <c r="BN18" s="76">
        <f>((O18+I18+(LOG(J18)*4/3))*0.052)</f>
        <v>0.300980479420503988</v>
      </c>
      <c r="BO18" s="76">
        <f>((L18+I18+(LOG(J18)*4/3))*0.18)</f>
        <v>0.681855505686359997</v>
      </c>
      <c r="BP18" s="76">
        <f>(L18+I18+(LOG(J18)*4/3))*0.068</f>
        <v>0.257589857703735969</v>
      </c>
      <c r="BQ18" s="76">
        <f>((M18+I18+(LOG(J18)*4/3))*0.305)</f>
        <v>4.51036627352411035</v>
      </c>
      <c r="BR18" s="76">
        <f>((N18+I18+(LOG(J18)*4/3))*1)+((O18+I18+(LOG(J18)*4/3))*0.286)</f>
        <v>8.44347877951476988</v>
      </c>
      <c r="BS18" s="76">
        <f>((O18+I18+(LOG(J18)*4/3))*0.135)</f>
        <v>0.78139162926477006</v>
      </c>
      <c r="BT18" s="76">
        <f>((L18+I18+(LOG(J18)*4/3))*0.284)</f>
        <v>1.07581646452737001</v>
      </c>
      <c r="BU18" s="76">
        <f>(L18+I18+(LOG(J18)*4/3))*0.244</f>
        <v>0.924293018819288115</v>
      </c>
      <c r="BV18" s="76">
        <f>((M18+I18+(LOG(J18)*4/3))*0.455)</f>
        <v>6.72857919492941026</v>
      </c>
      <c r="BW18" s="76">
        <f>((N18+I18+(LOG(J18)*4/3))*0.864)+((O18+I18+(LOG(J18)*4/3))*0.244)</f>
        <v>7.27719944611382008</v>
      </c>
      <c r="BX18" s="76">
        <f>((O18+I18+(LOG(J18)*4/3))*0.121)</f>
        <v>0.700358423266941976</v>
      </c>
      <c r="BY18" s="76">
        <f>((L18+I18+(LOG(J18)*4/3))*0.284)</f>
        <v>1.07581646452737001</v>
      </c>
      <c r="BZ18" s="76">
        <f>((L18+I18+(LOG(J18)*4/3))*0.244)</f>
        <v>0.924293018819288115</v>
      </c>
      <c r="CA18" s="76">
        <f>((M18+I18+(LOG(J18)*4/3))*0.631)</f>
        <v>9.33128235604496048</v>
      </c>
      <c r="CB18" s="76">
        <f>((N18+I18+(LOG(J18)*4/3))*0.702)+((O18+I18+(LOG(J18)*4/3))*0.193)</f>
        <v>5.88233709771829982</v>
      </c>
      <c r="CC18" s="76">
        <f>((O18+I18+(LOG(J18)*4/3))*0.148)</f>
        <v>0.856636749119896024</v>
      </c>
      <c r="CD18" s="76">
        <f>((M18+I18+(LOG(J18)*4/3))*0.406)</f>
        <v>6.00396297393700973</v>
      </c>
      <c r="CE18" s="76">
        <f>IF(D18="TEC",((N18+I18+(LOG(J18)*4/3))*0.15)+((O18+I18+(LOG(J18)*4/3))*0.324)+((P18+I18+(LOG(J18)*4/3))*0.127),(((N18+I18+(LOG(J18)*4/3))*0.144)+((O18+I18+(LOG(J18)*4/3))*0.25)+((P18+I18+(LOG(J18)*4/3))*0.127)))</f>
        <v>3.66759288034774</v>
      </c>
      <c r="CF18" s="76">
        <f>((O18+I18+(LOG(J18)*4/3))*0.543)+((P18+I18+(LOG(J18)*4/3))*0.583)</f>
        <v>8.84938499668245981</v>
      </c>
      <c r="CG18" s="76">
        <f>CE18</f>
        <v>3.66759288034774</v>
      </c>
      <c r="CH18" s="76">
        <f>((P18+1+(LOG(J18)*4/3))*0.26)+((N18+I18+(LOG(J18)*4/3))*0.221)+((O18+I18+(LOG(J18)*4/3))*0.142)</f>
        <v>4.86697766690334976</v>
      </c>
      <c r="CI18" s="76">
        <f>((P18+I18+(LOG(J18)*4/3))*1)+((O18+I18+(LOG(J18)*4/3))*0.369)</f>
        <v>11.9238899293589995</v>
      </c>
      <c r="CJ18" s="76">
        <f>CH18</f>
        <v>4.86697766690334976</v>
      </c>
      <c r="CK18" s="76">
        <f>((M18+I18+(LOG(J18)*4/3))*0.25)</f>
        <v>3.69702153567549985</v>
      </c>
    </row>
    <row r="19" spans="1:89">
      <c r="A19" t="str">
        <f>Plantilla!D20</f>
        <v>P. Tuderek</v>
      </c>
      <c r="B19" s="62">
        <f>Plantilla!E20</f>
        <v>22</v>
      </c>
      <c r="C19" s="102">
        <f>Plantilla!F20</f>
        <v>19</v>
      </c>
      <c r="D19" s="62" t="str">
        <f>Plantilla!G20</f>
        <v>CAB</v>
      </c>
      <c r="E19" s="211">
        <f>Plantilla!O20</f>
        <v>43626</v>
      </c>
      <c r="F19" s="102">
        <f>Plantilla!Q20</f>
        <v>5</v>
      </c>
      <c r="G19" s="122">
        <f>(F19/7)^0.5</f>
        <v>0.845154254728516108</v>
      </c>
      <c r="H19" s="122">
        <f>IF(F19=7,1,((F19+0.99)/7)^0.5)</f>
        <v>0.925048261289262008</v>
      </c>
      <c r="I19" s="157">
        <f>Plantilla!P20</f>
        <v>1</v>
      </c>
      <c r="J19" s="158">
        <f>Plantilla!I20</f>
        <v>2.9</v>
      </c>
      <c r="K19" s="53">
        <f>Plantilla!X20</f>
        <v>0</v>
      </c>
      <c r="L19" s="53">
        <f>Plantilla!Y20</f>
        <v>6</v>
      </c>
      <c r="M19" s="53">
        <f>Plantilla!Z20</f>
        <v>12</v>
      </c>
      <c r="N19" s="53">
        <f>Plantilla!AA20</f>
        <v>2</v>
      </c>
      <c r="O19" s="53">
        <f>Plantilla!AB20</f>
        <v>3</v>
      </c>
      <c r="P19" s="53">
        <f>Plantilla!AC20</f>
        <v>6</v>
      </c>
      <c r="Q19" s="53">
        <f>Plantilla!AD20</f>
        <v>17.25</v>
      </c>
      <c r="R19" s="158">
        <f>((2*(O19+1))+(L19+1))/8</f>
        <v>1.875</v>
      </c>
      <c r="S19" s="158">
        <f>1.66*(P19+(LOG(J19)*4/3)+I19)+0.55*(Q19+(LOG(J19)*4/3)+I19)-7.6</f>
        <v>15.4200327671421995</v>
      </c>
      <c r="T19" s="53">
        <f>(0.5*P19+0.3*Q19)/10</f>
        <v>0.817500000000000071</v>
      </c>
      <c r="U19" s="53">
        <f>(0.4*L19+0.3*Q19)/10</f>
        <v>0.757499999999999929</v>
      </c>
      <c r="V19" s="158">
        <f aca="1">IF(TODAY()-E19&gt;335,(Q19+1+(LOG(J19)*4/3))*(F19/7)^0.5,(Q19+((TODAY()-E19)^0.5)/(336^0.5)+(LOG(J19)*4/3))*(F19/7)^0.5)</f>
        <v>15.9451286625318005</v>
      </c>
      <c r="W19" s="158">
        <f aca="1">IF(F19=7,V19,IF(TODAY()-E19&gt;335,(Q19+1+(LOG(J19)*4/3))*((F19+0.99)/7)^0.5,(Q19+((TODAY()-E19)^0.5)/(336^0.5)+(LOG(J19)*4/3))*((F19+0.99)/7)^0.5))</f>
        <v>17.4524513871690985</v>
      </c>
      <c r="X19" s="76">
        <f>((K19+I19+(LOG(J19)*4/3))*0.597)+((L19+I19+(LOG(J19)*4/3))*0.276)</f>
        <v>3.06723126955438996</v>
      </c>
      <c r="Y19" s="76">
        <f>((K19+I19+(LOG(J19)*4/3))*0.866)+((L19+I19+(LOG(J19)*4/3))*0.425)</f>
        <v>4.63694108705005981</v>
      </c>
      <c r="Z19" s="76">
        <f>X19</f>
        <v>3.06723126955438996</v>
      </c>
      <c r="AA19" s="76">
        <f>((L19+I19+(LOG(J19)*4/3))*0.516)</f>
        <v>3.93012982255448016</v>
      </c>
      <c r="AB19" s="76">
        <f>(L19+I19+(LOG(J19)*4/3))*1</f>
        <v>7.61653066386527033</v>
      </c>
      <c r="AC19" s="76">
        <f>AA19/2</f>
        <v>1.96506491127724008</v>
      </c>
      <c r="AD19" s="76">
        <f>(M19+I19+(LOG(J19)*4/3))*0.238</f>
        <v>3.24073429799994006</v>
      </c>
      <c r="AE19" s="76">
        <f>((L19+I19+(LOG(J19)*4/3))*0.378)</f>
        <v>2.87904859094106982</v>
      </c>
      <c r="AF19" s="76">
        <f>(L19+I19+(LOG(J19)*4/3))*0.723</f>
        <v>5.50675166997458998</v>
      </c>
      <c r="AG19" s="76">
        <f>AE19/2</f>
        <v>1.43952429547054006</v>
      </c>
      <c r="AH19" s="76">
        <f>(M19+I19+(LOG(J19)*4/3))*0.385</f>
        <v>5.24236430558813993</v>
      </c>
      <c r="AI19" s="76">
        <f>((L19+I19+(LOG(J19)*4/3))*0.92)</f>
        <v>7.00720821075605027</v>
      </c>
      <c r="AJ19" s="76">
        <f>(L19+I19+(LOG(J19)*4/3))*0.414</f>
        <v>3.15324369484021982</v>
      </c>
      <c r="AK19" s="76">
        <f>((M19+I19+(LOG(J19)*4/3))*0.167)</f>
        <v>2.27396062086550987</v>
      </c>
      <c r="AL19" s="76">
        <f>(N19+I19+(LOG(J19)*4/3))*0.588</f>
        <v>2.12652003035278003</v>
      </c>
      <c r="AM19" s="76">
        <f>((L19+I19+(LOG(J19)*4/3))*0.754)</f>
        <v>5.74286412055440998</v>
      </c>
      <c r="AN19" s="76">
        <f>((L19+I19+(LOG(J19)*4/3))*0.708)</f>
        <v>5.39250371001661044</v>
      </c>
      <c r="AO19" s="76">
        <f>((Q19+I19+(LOG(J19)*4/3))*0.167)</f>
        <v>3.15071062086550979</v>
      </c>
      <c r="AP19" s="76">
        <f>((R19+I19+(LOG(J19)*4/3))*0.288)</f>
        <v>1.00556083119320006</v>
      </c>
      <c r="AQ19" s="76">
        <f>((L19+I19+(LOG(J19)*4/3))*0.27)</f>
        <v>2.05646327924362016</v>
      </c>
      <c r="AR19" s="76">
        <f>((L19+I19+(LOG(J19)*4/3))*0.594)</f>
        <v>4.52421921433596985</v>
      </c>
      <c r="AS19" s="76">
        <f>AQ19/2</f>
        <v>1.02823163962181008</v>
      </c>
      <c r="AT19" s="76">
        <f>((M19+I19+(LOG(J19)*4/3))*0.944)</f>
        <v>12.8540049466888</v>
      </c>
      <c r="AU19" s="76">
        <f>((O19+I19+(LOG(J19)*4/3))*0.13)</f>
        <v>0.60014898630248501</v>
      </c>
      <c r="AV19" s="76">
        <f>((P19+I19+(LOG(J19)*4/3))*0.173)+((O19+I19+(LOG(J19)*4/3))*0.12)</f>
        <v>1.87164348451251996</v>
      </c>
      <c r="AW19" s="76">
        <f>AU19/2</f>
        <v>0.300074493151242994</v>
      </c>
      <c r="AX19" s="76">
        <f>((L19+I19+(LOG(J19)*4/3))*0.189)</f>
        <v>1.43952429547054006</v>
      </c>
      <c r="AY19" s="76">
        <f>((L19+I19+(LOG(J19)*4/3))*0.4)</f>
        <v>3.04661226554611009</v>
      </c>
      <c r="AZ19" s="76">
        <f>AX19/2</f>
        <v>0.71976214773527003</v>
      </c>
      <c r="BA19" s="76">
        <f>((M19+I19+(LOG(J19)*4/3))*1)</f>
        <v>13.6165306638652996</v>
      </c>
      <c r="BB19" s="76">
        <f>((O19+I19+(LOG(J19)*4/3))*0.253)</f>
        <v>1.16798225795791</v>
      </c>
      <c r="BC19" s="76">
        <f>((P19+I19+(LOG(J19)*4/3))*0.21)+((O19+I19+(LOG(J19)*4/3))*0.341)</f>
        <v>3.17370839578976982</v>
      </c>
      <c r="BD19" s="76">
        <f>BB19/2</f>
        <v>0.583991128978954954</v>
      </c>
      <c r="BE19" s="76">
        <f>((L19+I19+(LOG(J19)*4/3))*0.291)</f>
        <v>2.21641042318479009</v>
      </c>
      <c r="BF19" s="76">
        <f>((L19+I19+(LOG(J19)*4/3))*0.348)</f>
        <v>2.65055267102510994</v>
      </c>
      <c r="BG19" s="76">
        <f>((M19+I19+(LOG(J19)*4/3))*0.881)</f>
        <v>11.9961635148652999</v>
      </c>
      <c r="BH19" s="76">
        <f>((N19+I19+(LOG(J19)*4/3))*0.574)+((O19+I19+(LOG(J19)*4/3))*0.315)</f>
        <v>3.53009576017623017</v>
      </c>
      <c r="BI19" s="76">
        <f>((O19+I19+(LOG(J19)*4/3))*0.241)</f>
        <v>1.11258388999152991</v>
      </c>
      <c r="BJ19" s="76">
        <f>((L19+I19+(LOG(J19)*4/3))*0.485)</f>
        <v>3.69401737197466007</v>
      </c>
      <c r="BK19" s="76">
        <f>((L19+I19+(LOG(J19)*4/3))*0.264)</f>
        <v>2.01076409526043021</v>
      </c>
      <c r="BL19" s="76">
        <f>((M19+I19+(LOG(J19)*4/3))*0.381)</f>
        <v>5.18789818293268024</v>
      </c>
      <c r="BM19" s="76">
        <f>((N19+I19+(LOG(J19)*4/3))*0.673)+((O19+I19+(LOG(J19)*4/3))*0.201)</f>
        <v>3.36184780021824992</v>
      </c>
      <c r="BN19" s="76">
        <f>((O19+I19+(LOG(J19)*4/3))*0.052)</f>
        <v>0.240059594520994013</v>
      </c>
      <c r="BO19" s="76">
        <f>((L19+I19+(LOG(J19)*4/3))*0.18)</f>
        <v>1.37097551949575003</v>
      </c>
      <c r="BP19" s="76">
        <f>(L19+I19+(LOG(J19)*4/3))*0.068</f>
        <v>0.517924085142838031</v>
      </c>
      <c r="BQ19" s="76">
        <f>((M19+I19+(LOG(J19)*4/3))*0.305)</f>
        <v>4.15304185247892033</v>
      </c>
      <c r="BR19" s="76">
        <f>((N19+I19+(LOG(J19)*4/3))*1)+((O19+I19+(LOG(J19)*4/3))*0.286)</f>
        <v>4.93685843373074018</v>
      </c>
      <c r="BS19" s="76">
        <f>((O19+I19+(LOG(J19)*4/3))*0.135)</f>
        <v>0.62323163962181205</v>
      </c>
      <c r="BT19" s="76">
        <f>((L19+I19+(LOG(J19)*4/3))*0.284)</f>
        <v>2.16309470853774011</v>
      </c>
      <c r="BU19" s="76">
        <f>(L19+I19+(LOG(J19)*4/3))*0.244</f>
        <v>1.85843348198313016</v>
      </c>
      <c r="BV19" s="76">
        <f>((M19+I19+(LOG(J19)*4/3))*0.455)</f>
        <v>6.19552145205870985</v>
      </c>
      <c r="BW19" s="76">
        <f>((N19+I19+(LOG(J19)*4/3))*0.864)+((O19+I19+(LOG(J19)*4/3))*0.244)</f>
        <v>4.25111597556271992</v>
      </c>
      <c r="BX19" s="76">
        <f>((O19+I19+(LOG(J19)*4/3))*0.121)</f>
        <v>0.558600210327698043</v>
      </c>
      <c r="BY19" s="76">
        <f>((L19+I19+(LOG(J19)*4/3))*0.284)</f>
        <v>2.16309470853774011</v>
      </c>
      <c r="BZ19" s="76">
        <f>((L19+I19+(LOG(J19)*4/3))*0.244)</f>
        <v>1.85843348198313016</v>
      </c>
      <c r="CA19" s="76">
        <f>((M19+I19+(LOG(J19)*4/3))*0.631)</f>
        <v>8.59203084889900914</v>
      </c>
      <c r="CB19" s="76">
        <f>((N19+I19+(LOG(J19)*4/3))*0.702)+((O19+I19+(LOG(J19)*4/3))*0.193)</f>
        <v>3.42979494415942021</v>
      </c>
      <c r="CC19" s="76">
        <f>((O19+I19+(LOG(J19)*4/3))*0.148)</f>
        <v>0.683246538252060098</v>
      </c>
      <c r="CD19" s="76">
        <f>((M19+I19+(LOG(J19)*4/3))*0.406)</f>
        <v>5.5283114495293102</v>
      </c>
      <c r="CE19" s="76">
        <f>IF(D19="TEC",((N19+I19+(LOG(J19)*4/3))*0.15)+((O19+I19+(LOG(J19)*4/3))*0.324)+((P19+I19+(LOG(J19)*4/3))*0.127),(((N19+I19+(LOG(J19)*4/3))*0.144)+((O19+I19+(LOG(J19)*4/3))*0.25)+((P19+I19+(LOG(J19)*4/3))*0.127)))</f>
        <v>2.64221247587380992</v>
      </c>
      <c r="CF19" s="76">
        <f>((O19+I19+(LOG(J19)*4/3))*0.543)+((P19+I19+(LOG(J19)*4/3))*0.583)</f>
        <v>6.94721352751229038</v>
      </c>
      <c r="CG19" s="76">
        <f>CE19</f>
        <v>2.64221247587380992</v>
      </c>
      <c r="CH19" s="76">
        <f>((P19+1+(LOG(J19)*4/3))*0.26)+((N19+I19+(LOG(J19)*4/3))*0.221)+((O19+I19+(LOG(J19)*4/3))*0.142)</f>
        <v>3.43509860358807018</v>
      </c>
      <c r="CI19" s="76">
        <f>((P19+I19+(LOG(J19)*4/3))*1)+((O19+I19+(LOG(J19)*4/3))*0.369)</f>
        <v>9.32003047883154956</v>
      </c>
      <c r="CJ19" s="76">
        <f>CH19</f>
        <v>3.43509860358807018</v>
      </c>
      <c r="CK19" s="76">
        <f>((M19+I19+(LOG(J19)*4/3))*0.25)</f>
        <v>3.4041326659663298</v>
      </c>
    </row>
    <row r="20" spans="1:89">
      <c r="A20" t="str">
        <f>Plantilla!D21</f>
        <v>R. Forsyth</v>
      </c>
      <c r="B20" s="62">
        <f>Plantilla!E21</f>
        <v>22</v>
      </c>
      <c r="C20" s="102">
        <f>Plantilla!F21</f>
        <v>74</v>
      </c>
      <c r="D20" s="62" t="str">
        <f>Plantilla!G21</f>
        <v>POT</v>
      </c>
      <c r="E20" s="211">
        <f>Plantilla!O21</f>
        <v>43626</v>
      </c>
      <c r="F20" s="102">
        <f>Plantilla!Q21</f>
        <v>7</v>
      </c>
      <c r="G20" s="122">
        <f>(F20/7)^0.5</f>
        <v>1</v>
      </c>
      <c r="H20" s="122">
        <f>IF(F20=7,1,((F20+0.99)/7)^0.5)</f>
        <v>1</v>
      </c>
      <c r="I20" s="157">
        <f>Plantilla!P21</f>
        <v>1</v>
      </c>
      <c r="J20" s="158">
        <f>Plantilla!I21</f>
        <v>3.9</v>
      </c>
      <c r="K20" s="53">
        <f>Plantilla!X21</f>
        <v>0</v>
      </c>
      <c r="L20" s="53">
        <f>Plantilla!Y21</f>
        <v>7</v>
      </c>
      <c r="M20" s="53">
        <f>Plantilla!Z21</f>
        <v>13</v>
      </c>
      <c r="N20" s="53">
        <f>Plantilla!AA21</f>
        <v>3</v>
      </c>
      <c r="O20" s="53">
        <f>Plantilla!AB21</f>
        <v>4</v>
      </c>
      <c r="P20" s="53">
        <f>Plantilla!AC21</f>
        <v>6</v>
      </c>
      <c r="Q20" s="53">
        <f>Plantilla!AD21</f>
        <v>15</v>
      </c>
      <c r="R20" s="158">
        <f>((2*(O20+1))+(L20+1))/8</f>
        <v>2.25</v>
      </c>
      <c r="S20" s="158">
        <f>1.66*(P20+(LOG(J20)*4/3)+I20)+0.55*(Q20+(LOG(J20)*4/3)+I20)-7.6</f>
        <v>14.5616703753713992</v>
      </c>
      <c r="T20" s="53">
        <f>(0.5*P20+0.3*Q20)/10</f>
        <v>0.75</v>
      </c>
      <c r="U20" s="53">
        <f>(0.4*L20+0.3*Q20)/10</f>
        <v>0.729999999999999982</v>
      </c>
      <c r="V20" s="158">
        <f aca="1">IF(TODAY()-E20&gt;335,(Q20+1+(LOG(J20)*4/3))*(F20/7)^0.5,(Q20+((TODAY()-E20)^0.5)/(336^0.5)+(LOG(J20)*4/3))*(F20/7)^0.5)</f>
        <v>16.7880861427019994</v>
      </c>
      <c r="W20" s="158">
        <f aca="1">IF(F20=7,V20,IF(TODAY()-E20&gt;335,(Q20+1+(LOG(J20)*4/3))*((F20+0.99)/7)^0.5,(Q20+((TODAY()-E20)^0.5)/(336^0.5)+(LOG(J20)*4/3))*((F20+0.99)/7)^0.5))</f>
        <v>16.7880861427019994</v>
      </c>
      <c r="X20" s="76">
        <f>((K20+I20+(LOG(J20)*4/3))*0.597)+((L20+I20+(LOG(J20)*4/3))*0.276)</f>
        <v>3.49299920257884011</v>
      </c>
      <c r="Y20" s="76">
        <f>((K20+I20+(LOG(J20)*4/3))*0.866)+((L20+I20+(LOG(J20)*4/3))*0.425)</f>
        <v>5.28341921022828043</v>
      </c>
      <c r="Z20" s="76">
        <f>X20</f>
        <v>3.49299920257884011</v>
      </c>
      <c r="AA20" s="76">
        <f>((L20+I20+(LOG(J20)*4/3))*0.516)</f>
        <v>4.53465244963422975</v>
      </c>
      <c r="AB20" s="76">
        <f>(L20+I20+(LOG(J20)*4/3))*1</f>
        <v>8.78808614270199939</v>
      </c>
      <c r="AC20" s="76">
        <f>AA20/2</f>
        <v>2.26732622481712021</v>
      </c>
      <c r="AD20" s="76">
        <f>(M20+I20+(LOG(J20)*4/3))*0.238</f>
        <v>3.51956450196307991</v>
      </c>
      <c r="AE20" s="76">
        <f>((L20+I20+(LOG(J20)*4/3))*0.378)</f>
        <v>3.32189656194135985</v>
      </c>
      <c r="AF20" s="76">
        <f>(L20+I20+(LOG(J20)*4/3))*0.723</f>
        <v>6.35378628117354971</v>
      </c>
      <c r="AG20" s="76">
        <f>AE20/2</f>
        <v>1.66094828097067992</v>
      </c>
      <c r="AH20" s="76">
        <f>(M20+I20+(LOG(J20)*4/3))*0.385</f>
        <v>5.69341316494026994</v>
      </c>
      <c r="AI20" s="76">
        <f>((L20+I20+(LOG(J20)*4/3))*0.92)</f>
        <v>8.08503925128584022</v>
      </c>
      <c r="AJ20" s="76">
        <f>(L20+I20+(LOG(J20)*4/3))*0.414</f>
        <v>3.63826766307863014</v>
      </c>
      <c r="AK20" s="76">
        <f>((M20+I20+(LOG(J20)*4/3))*0.167)</f>
        <v>2.46961038583122994</v>
      </c>
      <c r="AL20" s="76">
        <f>(N20+I20+(LOG(J20)*4/3))*0.588</f>
        <v>2.8153946519087798</v>
      </c>
      <c r="AM20" s="76">
        <f>((L20+I20+(LOG(J20)*4/3))*0.754)</f>
        <v>6.62621695159730972</v>
      </c>
      <c r="AN20" s="76">
        <f>((L20+I20+(LOG(J20)*4/3))*0.708)</f>
        <v>6.22196498903301976</v>
      </c>
      <c r="AO20" s="76">
        <f>((Q20+I20+(LOG(J20)*4/3))*0.167)</f>
        <v>2.80361038583123001</v>
      </c>
      <c r="AP20" s="76">
        <f>((R20+I20+(LOG(J20)*4/3))*0.288)</f>
        <v>1.16296880909818001</v>
      </c>
      <c r="AQ20" s="76">
        <f>((L20+I20+(LOG(J20)*4/3))*0.27)</f>
        <v>2.37278325852954008</v>
      </c>
      <c r="AR20" s="76">
        <f>((L20+I20+(LOG(J20)*4/3))*0.594)</f>
        <v>5.22012316876498961</v>
      </c>
      <c r="AS20" s="76">
        <f>AQ20/2</f>
        <v>1.18639162926477004</v>
      </c>
      <c r="AT20" s="76">
        <f>((M20+I20+(LOG(J20)*4/3))*0.944)</f>
        <v>13.9599533187106992</v>
      </c>
      <c r="AU20" s="76">
        <f>((O20+I20+(LOG(J20)*4/3))*0.13)</f>
        <v>0.752451198551259992</v>
      </c>
      <c r="AV20" s="76">
        <f>((P20+I20+(LOG(J20)*4/3))*0.173)+((O20+I20+(LOG(J20)*4/3))*0.12)</f>
        <v>2.04190923981169004</v>
      </c>
      <c r="AW20" s="76">
        <f>AU20/2</f>
        <v>0.376225599275629996</v>
      </c>
      <c r="AX20" s="76">
        <f>((L20+I20+(LOG(J20)*4/3))*0.189)</f>
        <v>1.66094828097067992</v>
      </c>
      <c r="AY20" s="76">
        <f>((L20+I20+(LOG(J20)*4/3))*0.4)</f>
        <v>3.51523445708079985</v>
      </c>
      <c r="AZ20" s="76">
        <f>AX20/2</f>
        <v>0.830474140485339873</v>
      </c>
      <c r="BA20" s="76">
        <f>((M20+I20+(LOG(J20)*4/3))*1)</f>
        <v>14.7880861427019994</v>
      </c>
      <c r="BB20" s="76">
        <f>((O20+I20+(LOG(J20)*4/3))*0.253)</f>
        <v>1.46438579410361003</v>
      </c>
      <c r="BC20" s="76">
        <f>((P20+I20+(LOG(J20)*4/3))*0.21)+((O20+I20+(LOG(J20)*4/3))*0.341)</f>
        <v>3.60923546462879985</v>
      </c>
      <c r="BD20" s="76">
        <f>BB20/2</f>
        <v>0.73219289705180497</v>
      </c>
      <c r="BE20" s="76">
        <f>((L20+I20+(LOG(J20)*4/3))*0.291)</f>
        <v>2.55733306752627998</v>
      </c>
      <c r="BF20" s="76">
        <f>((L20+I20+(LOG(J20)*4/3))*0.348)</f>
        <v>3.05825397766029994</v>
      </c>
      <c r="BG20" s="76">
        <f>((M20+I20+(LOG(J20)*4/3))*0.881)</f>
        <v>13.0283038917204994</v>
      </c>
      <c r="BH20" s="76">
        <f>((N20+I20+(LOG(J20)*4/3))*0.574)+((O20+I20+(LOG(J20)*4/3))*0.315)</f>
        <v>4.57160858086207966</v>
      </c>
      <c r="BI20" s="76">
        <f>((O20+I20+(LOG(J20)*4/3))*0.241)</f>
        <v>1.39492876039117997</v>
      </c>
      <c r="BJ20" s="76">
        <f>((L20+I20+(LOG(J20)*4/3))*0.485)</f>
        <v>4.26222177921046974</v>
      </c>
      <c r="BK20" s="76">
        <f>((L20+I20+(LOG(J20)*4/3))*0.264)</f>
        <v>2.32005474167333015</v>
      </c>
      <c r="BL20" s="76">
        <f>((M20+I20+(LOG(J20)*4/3))*0.381)</f>
        <v>5.63426082036945974</v>
      </c>
      <c r="BM20" s="76">
        <f>((N20+I20+(LOG(J20)*4/3))*0.673)+((O20+I20+(LOG(J20)*4/3))*0.201)</f>
        <v>4.38578728872155033</v>
      </c>
      <c r="BN20" s="76">
        <f>((O20+I20+(LOG(J20)*4/3))*0.052)</f>
        <v>0.300980479420503988</v>
      </c>
      <c r="BO20" s="76">
        <f>((L20+I20+(LOG(J20)*4/3))*0.18)</f>
        <v>1.58185550568635991</v>
      </c>
      <c r="BP20" s="76">
        <f>(L20+I20+(LOG(J20)*4/3))*0.068</f>
        <v>0.597589857703735916</v>
      </c>
      <c r="BQ20" s="76">
        <f>((M20+I20+(LOG(J20)*4/3))*0.305)</f>
        <v>4.51036627352411035</v>
      </c>
      <c r="BR20" s="76">
        <f>((N20+I20+(LOG(J20)*4/3))*1)+((O20+I20+(LOG(J20)*4/3))*0.286)</f>
        <v>6.44347877951476988</v>
      </c>
      <c r="BS20" s="76">
        <f>((O20+I20+(LOG(J20)*4/3))*0.135)</f>
        <v>0.78139162926477006</v>
      </c>
      <c r="BT20" s="76">
        <f>((L20+I20+(LOG(J20)*4/3))*0.284)</f>
        <v>2.49581646452736994</v>
      </c>
      <c r="BU20" s="76">
        <f>(L20+I20+(LOG(J20)*4/3))*0.244</f>
        <v>2.14429301881928991</v>
      </c>
      <c r="BV20" s="76">
        <f>((M20+I20+(LOG(J20)*4/3))*0.455)</f>
        <v>6.72857919492941026</v>
      </c>
      <c r="BW20" s="76">
        <f>((N20+I20+(LOG(J20)*4/3))*0.864)+((O20+I20+(LOG(J20)*4/3))*0.244)</f>
        <v>5.54919944611382032</v>
      </c>
      <c r="BX20" s="76">
        <f>((O20+I20+(LOG(J20)*4/3))*0.121)</f>
        <v>0.700358423266941976</v>
      </c>
      <c r="BY20" s="76">
        <f>((L20+I20+(LOG(J20)*4/3))*0.284)</f>
        <v>2.49581646452736994</v>
      </c>
      <c r="BZ20" s="76">
        <f>((L20+I20+(LOG(J20)*4/3))*0.244)</f>
        <v>2.14429301881928991</v>
      </c>
      <c r="CA20" s="76">
        <f>((M20+I20+(LOG(J20)*4/3))*0.631)</f>
        <v>9.33128235604496048</v>
      </c>
      <c r="CB20" s="76">
        <f>((N20+I20+(LOG(J20)*4/3))*0.702)+((O20+I20+(LOG(J20)*4/3))*0.193)</f>
        <v>4.47833709771829014</v>
      </c>
      <c r="CC20" s="76">
        <f>((O20+I20+(LOG(J20)*4/3))*0.148)</f>
        <v>0.856636749119896024</v>
      </c>
      <c r="CD20" s="76">
        <f>((M20+I20+(LOG(J20)*4/3))*0.406)</f>
        <v>6.00396297393700973</v>
      </c>
      <c r="CE20" s="76">
        <f>IF(D20="TEC",((N20+I20+(LOG(J20)*4/3))*0.15)+((O20+I20+(LOG(J20)*4/3))*0.324)+((P20+I20+(LOG(J20)*4/3))*0.127),(((N20+I20+(LOG(J20)*4/3))*0.144)+((O20+I20+(LOG(J20)*4/3))*0.25)+((P20+I20+(LOG(J20)*4/3))*0.127)))</f>
        <v>3.12559288034774019</v>
      </c>
      <c r="CF20" s="76">
        <f>((O20+I20+(LOG(J20)*4/3))*0.543)+((P20+I20+(LOG(J20)*4/3))*0.583)</f>
        <v>7.68338499668246033</v>
      </c>
      <c r="CG20" s="76">
        <f>CE20</f>
        <v>3.12559288034774019</v>
      </c>
      <c r="CH20" s="76">
        <f>((P20+1+(LOG(J20)*4/3))*0.26)+((N20+I20+(LOG(J20)*4/3))*0.221)+((O20+I20+(LOG(J20)*4/3))*0.142)</f>
        <v>3.90497766690333989</v>
      </c>
      <c r="CI20" s="76">
        <f>((P20+I20+(LOG(J20)*4/3))*1)+((O20+I20+(LOG(J20)*4/3))*0.369)</f>
        <v>9.92388992935904035</v>
      </c>
      <c r="CJ20" s="76">
        <f>CH20</f>
        <v>3.90497766690333989</v>
      </c>
      <c r="CK20" s="76">
        <f>((M20+I20+(LOG(J20)*4/3))*0.25)</f>
        <v>3.69702153567549985</v>
      </c>
    </row>
    <row r="21" spans="1:89">
      <c r="A21" t="str">
        <f>Plantilla!D22</f>
        <v>J-P. Kechele</v>
      </c>
      <c r="B21" s="62">
        <f>Plantilla!E22</f>
        <v>29</v>
      </c>
      <c r="C21" s="102">
        <f>Plantilla!F22</f>
        <v>107</v>
      </c>
      <c r="D21" s="62" t="str">
        <f>Plantilla!G22</f>
        <v>CAB</v>
      </c>
      <c r="E21" s="211">
        <f>Plantilla!O22</f>
        <v>43982</v>
      </c>
      <c r="F21" s="102">
        <f>Plantilla!Q22</f>
        <v>6</v>
      </c>
      <c r="G21" s="122">
        <f>(F21/7)^0.5</f>
        <v>0.925820099772552041</v>
      </c>
      <c r="H21" s="122">
        <f>IF(F21=7,1,((F21+0.99)/7)^0.5)</f>
        <v>0.999285459001294996</v>
      </c>
      <c r="I21" s="157">
        <f>Plantilla!P22</f>
        <v>0.310366521471105994</v>
      </c>
      <c r="J21" s="158">
        <f>Plantilla!I22</f>
        <v>7.59999999999999964</v>
      </c>
      <c r="K21" s="53">
        <f>Plantilla!X22</f>
        <v>0</v>
      </c>
      <c r="L21" s="53">
        <f>Plantilla!Y22</f>
        <v>4</v>
      </c>
      <c r="M21" s="53">
        <f>Plantilla!Z22</f>
        <v>14</v>
      </c>
      <c r="N21" s="53">
        <f>Plantilla!AA22</f>
        <v>4</v>
      </c>
      <c r="O21" s="53">
        <f>Plantilla!AB22</f>
        <v>9</v>
      </c>
      <c r="P21" s="53">
        <f>Plantilla!AC22</f>
        <v>8</v>
      </c>
      <c r="Q21" s="53">
        <f>Plantilla!AD22</f>
        <v>19.25</v>
      </c>
      <c r="R21" s="158">
        <f>((2*(O21+1))+(L21+1))/8</f>
        <v>3.125</v>
      </c>
      <c r="S21" s="158">
        <f>1.66*(P21+(LOG(J21)*4/3)+I21)+0.55*(Q21+(LOG(J21)*4/3)+I21)-7.6</f>
        <v>19.5488740643719012</v>
      </c>
      <c r="T21" s="53">
        <f>(0.5*P21+0.3*Q21)/10</f>
        <v>0.977500000000000036</v>
      </c>
      <c r="U21" s="53">
        <f>(0.4*L21+0.3*Q21)/10</f>
        <v>0.7375</v>
      </c>
      <c r="V21" s="158">
        <f aca="1">IF(TODAY()-E21&gt;335,(Q21+1+(LOG(J21)*4/3))*(F21/7)^0.5,(Q21+((TODAY()-E21)^0.5)/(336^0.5)+(LOG(J21)*4/3))*(F21/7)^0.5)</f>
        <v>19.280490568949201</v>
      </c>
      <c r="W21" s="158">
        <f aca="1">IF(F21=7,V21,IF(TODAY()-E21&gt;335,(Q21+1+(LOG(J21)*4/3))*((F21+0.99)/7)^0.5,(Q21+((TODAY()-E21)^0.5)/(336^0.5)+(LOG(J21)*4/3))*((F21+0.99)/7)^0.5))</f>
        <v>20.8104294481140002</v>
      </c>
      <c r="X21" s="76">
        <f>((K21+I21+(LOG(J21)*4/3))*0.597)+((L21+I21+(LOG(J21)*4/3))*0.276)</f>
        <v>2.40021699465913008</v>
      </c>
      <c r="Y21" s="76">
        <f>((K21+I21+(LOG(J21)*4/3))*0.866)+((L21+I21+(LOG(J21)*4/3))*0.425)</f>
        <v>3.61685697606520984</v>
      </c>
      <c r="Z21" s="76">
        <f>X21</f>
        <v>2.40021699465913008</v>
      </c>
      <c r="AA21" s="76">
        <f>((L21+I21+(LOG(J21)*4/3))*0.516)</f>
        <v>2.83014887656828016</v>
      </c>
      <c r="AB21" s="76">
        <f>(L21+I21+(LOG(J21)*4/3))*1</f>
        <v>5.48478464451217018</v>
      </c>
      <c r="AC21" s="76">
        <f>AA21/2</f>
        <v>1.41507443828414008</v>
      </c>
      <c r="AD21" s="76">
        <f>(M21+I21+(LOG(J21)*4/3))*0.238</f>
        <v>3.68537874539389998</v>
      </c>
      <c r="AE21" s="76">
        <f>((L21+I21+(LOG(J21)*4/3))*0.378)</f>
        <v>2.07324859562559993</v>
      </c>
      <c r="AF21" s="76">
        <f>(L21+I21+(LOG(J21)*4/3))*0.723</f>
        <v>3.96549929798229996</v>
      </c>
      <c r="AG21" s="76">
        <f>AE21/2</f>
        <v>1.03662429781279997</v>
      </c>
      <c r="AH21" s="76">
        <f>(M21+I21+(LOG(J21)*4/3))*0.385</f>
        <v>5.96164208813720009</v>
      </c>
      <c r="AI21" s="76">
        <f>((L21+I21+(LOG(J21)*4/3))*0.92)</f>
        <v>5.04600187295119973</v>
      </c>
      <c r="AJ21" s="76">
        <f>(L21+I21+(LOG(J21)*4/3))*0.414</f>
        <v>2.27070084282803997</v>
      </c>
      <c r="AK21" s="76">
        <f>((M21+I21+(LOG(J21)*4/3))*0.167)</f>
        <v>2.58595903563354002</v>
      </c>
      <c r="AL21" s="76">
        <f>(N21+I21+(LOG(J21)*4/3))*0.588</f>
        <v>3.22505337097316014</v>
      </c>
      <c r="AM21" s="76">
        <f>((L21+I21+(LOG(J21)*4/3))*0.754)</f>
        <v>4.13552762196218016</v>
      </c>
      <c r="AN21" s="76">
        <f>((L21+I21+(LOG(J21)*4/3))*0.708)</f>
        <v>3.8832275283146199</v>
      </c>
      <c r="AO21" s="76">
        <f>((Q21+I21+(LOG(J21)*4/3))*0.167)</f>
        <v>3.46270903563353993</v>
      </c>
      <c r="AP21" s="76">
        <f>((R21+I21+(LOG(J21)*4/3))*0.288)</f>
        <v>1.32761797761951006</v>
      </c>
      <c r="AQ21" s="76">
        <f>((L21+I21+(LOG(J21)*4/3))*0.27)</f>
        <v>1.48089185401829004</v>
      </c>
      <c r="AR21" s="76">
        <f>((L21+I21+(LOG(J21)*4/3))*0.594)</f>
        <v>3.25796207884022992</v>
      </c>
      <c r="AS21" s="76">
        <f>AQ21/2</f>
        <v>0.740445927009145066</v>
      </c>
      <c r="AT21" s="76">
        <f>((M21+I21+(LOG(J21)*4/3))*0.944)</f>
        <v>14.6176367044194997</v>
      </c>
      <c r="AU21" s="76">
        <f>((O21+I21+(LOG(J21)*4/3))*0.13)</f>
        <v>1.36302200378659011</v>
      </c>
      <c r="AV21" s="76">
        <f>((P21+I21+(LOG(J21)*4/3))*0.173)+((O21+I21+(LOG(J21)*4/3))*0.12)</f>
        <v>2.89904190084206981</v>
      </c>
      <c r="AW21" s="76">
        <f>AU21/2</f>
        <v>0.68151100189329501</v>
      </c>
      <c r="AX21" s="76">
        <f>((L21+I21+(LOG(J21)*4/3))*0.189)</f>
        <v>1.03662429781279997</v>
      </c>
      <c r="AY21" s="76">
        <f>((L21+I21+(LOG(J21)*4/3))*0.4)</f>
        <v>2.19391385780487003</v>
      </c>
      <c r="AZ21" s="76">
        <f>AX21/2</f>
        <v>0.518312148906399983</v>
      </c>
      <c r="BA21" s="76">
        <f>((M21+I21+(LOG(J21)*4/3))*1)</f>
        <v>15.4847846445121995</v>
      </c>
      <c r="BB21" s="76">
        <f>((O21+I21+(LOG(J21)*4/3))*0.253)</f>
        <v>2.65265051506159022</v>
      </c>
      <c r="BC21" s="76">
        <f>((P21+I21+(LOG(J21)*4/3))*0.21)+((O21+I21+(LOG(J21)*4/3))*0.341)</f>
        <v>5.56711633912621995</v>
      </c>
      <c r="BD21" s="76">
        <f>BB21/2</f>
        <v>1.32632525753079999</v>
      </c>
      <c r="BE21" s="76">
        <f>((L21+I21+(LOG(J21)*4/3))*0.291)</f>
        <v>1.59607233155304007</v>
      </c>
      <c r="BF21" s="76">
        <f>((L21+I21+(LOG(J21)*4/3))*0.348)</f>
        <v>1.90870505629023981</v>
      </c>
      <c r="BG21" s="76">
        <f>((M21+I21+(LOG(J21)*4/3))*0.881)</f>
        <v>13.6420952718152009</v>
      </c>
      <c r="BH21" s="76">
        <f>((N21+I21+(LOG(J21)*4/3))*0.574)+((O21+I21+(LOG(J21)*4/3))*0.315)</f>
        <v>6.45097354897133002</v>
      </c>
      <c r="BI21" s="76">
        <f>((O21+I21+(LOG(J21)*4/3))*0.241)</f>
        <v>2.52683309932743994</v>
      </c>
      <c r="BJ21" s="76">
        <f>((L21+I21+(LOG(J21)*4/3))*0.485)</f>
        <v>2.66012055258839997</v>
      </c>
      <c r="BK21" s="76">
        <f>((L21+I21+(LOG(J21)*4/3))*0.264)</f>
        <v>1.44798314615121004</v>
      </c>
      <c r="BL21" s="76">
        <f>((M21+I21+(LOG(J21)*4/3))*0.381)</f>
        <v>5.89970294955914998</v>
      </c>
      <c r="BM21" s="76">
        <f>((N21+I21+(LOG(J21)*4/3))*0.673)+((O21+I21+(LOG(J21)*4/3))*0.201)</f>
        <v>5.79870177930363973</v>
      </c>
      <c r="BN21" s="76">
        <f>((O21+I21+(LOG(J21)*4/3))*0.052)</f>
        <v>0.545208801514634001</v>
      </c>
      <c r="BO21" s="76">
        <f>((L21+I21+(LOG(J21)*4/3))*0.18)</f>
        <v>0.987261236012190935</v>
      </c>
      <c r="BP21" s="76">
        <f>(L21+I21+(LOG(J21)*4/3))*0.068</f>
        <v>0.372965355826827993</v>
      </c>
      <c r="BQ21" s="76">
        <f>((M21+I21+(LOG(J21)*4/3))*0.305)</f>
        <v>4.72285931657622005</v>
      </c>
      <c r="BR21" s="76">
        <f>((N21+I21+(LOG(J21)*4/3))*1)+((O21+I21+(LOG(J21)*4/3))*0.286)</f>
        <v>8.48343305284265981</v>
      </c>
      <c r="BS21" s="76">
        <f>((O21+I21+(LOG(J21)*4/3))*0.135)</f>
        <v>1.41544592700914995</v>
      </c>
      <c r="BT21" s="76">
        <f>((L21+I21+(LOG(J21)*4/3))*0.284)</f>
        <v>1.55767883904145998</v>
      </c>
      <c r="BU21" s="76">
        <f>(L21+I21+(LOG(J21)*4/3))*0.244</f>
        <v>1.33828745326097009</v>
      </c>
      <c r="BV21" s="76">
        <f>((M21+I21+(LOG(J21)*4/3))*0.455)</f>
        <v>7.04557701325304997</v>
      </c>
      <c r="BW21" s="76">
        <f>((N21+I21+(LOG(J21)*4/3))*0.864)+((O21+I21+(LOG(J21)*4/3))*0.244)</f>
        <v>7.29714138611949981</v>
      </c>
      <c r="BX21" s="76">
        <f>((O21+I21+(LOG(J21)*4/3))*0.121)</f>
        <v>1.26865894198597995</v>
      </c>
      <c r="BY21" s="76">
        <f>((L21+I21+(LOG(J21)*4/3))*0.284)</f>
        <v>1.55767883904145998</v>
      </c>
      <c r="BZ21" s="76">
        <f>((L21+I21+(LOG(J21)*4/3))*0.244)</f>
        <v>1.33828745326097009</v>
      </c>
      <c r="CA21" s="76">
        <f>((M21+I21+(LOG(J21)*4/3))*0.631)</f>
        <v>9.77089911068719985</v>
      </c>
      <c r="CB21" s="76">
        <f>((N21+I21+(LOG(J21)*4/3))*0.702)+((O21+I21+(LOG(J21)*4/3))*0.193)</f>
        <v>5.87388225683838971</v>
      </c>
      <c r="CC21" s="76">
        <f>((O21+I21+(LOG(J21)*4/3))*0.148)</f>
        <v>1.55174812738780998</v>
      </c>
      <c r="CD21" s="76">
        <f>((M21+I21+(LOG(J21)*4/3))*0.406)</f>
        <v>6.28682256567195008</v>
      </c>
      <c r="CE21" s="76">
        <f>IF(D21="TEC",((N21+I21+(LOG(J21)*4/3))*0.15)+((O21+I21+(LOG(J21)*4/3))*0.324)+((P21+I21+(LOG(J21)*4/3))*0.127),(((N21+I21+(LOG(J21)*4/3))*0.144)+((O21+I21+(LOG(J21)*4/3))*0.25)+((P21+I21+(LOG(J21)*4/3))*0.127)))</f>
        <v>4.61557279979084978</v>
      </c>
      <c r="CF21" s="76">
        <f>((O21+I21+(LOG(J21)*4/3))*0.543)+((P21+I21+(LOG(J21)*4/3))*0.583)</f>
        <v>11.2228675097207002</v>
      </c>
      <c r="CG21" s="76">
        <f>CE21</f>
        <v>4.61557279979084978</v>
      </c>
      <c r="CH21" s="76">
        <f>((P21+1+(LOG(J21)*4/3))*0.26)+((N21+I21+(LOG(J21)*4/3))*0.221)+((O21+I21+(LOG(J21)*4/3))*0.142)</f>
        <v>5.34632553794861032</v>
      </c>
      <c r="CI21" s="76">
        <f>((P21+I21+(LOG(J21)*4/3))*1)+((O21+I21+(LOG(J21)*4/3))*0.369)</f>
        <v>13.3536701783372003</v>
      </c>
      <c r="CJ21" s="76">
        <f>CH21</f>
        <v>5.34632553794861032</v>
      </c>
      <c r="CK21" s="76">
        <f>((M21+I21+(LOG(J21)*4/3))*0.25)</f>
        <v>3.87119616112804987</v>
      </c>
    </row>
    <row r="22" spans="1:89">
      <c r="A22" t="str">
        <f>Plantilla!D23</f>
        <v>S. Zobbe</v>
      </c>
      <c r="B22" s="62">
        <f>Plantilla!E23</f>
        <v>35</v>
      </c>
      <c r="C22" s="102">
        <f>Plantilla!F23</f>
        <v>109</v>
      </c>
      <c r="D22" s="62" t="str">
        <f>Plantilla!G23</f>
        <v>CAB</v>
      </c>
      <c r="E22" s="211" t="str">
        <f>Plantilla!O23</f>
        <v>Cantera</v>
      </c>
      <c r="F22" s="102">
        <f>Plantilla!Q23</f>
        <v>5</v>
      </c>
      <c r="G22" s="122">
        <f>(F22/7)^0.5</f>
        <v>0.845154254728516108</v>
      </c>
      <c r="H22" s="122">
        <f>IF(F22=7,1,((F22+0.99)/7)^0.5)</f>
        <v>0.925048261289262008</v>
      </c>
      <c r="I22" s="157">
        <f>Plantilla!P23</f>
        <v>1.5</v>
      </c>
      <c r="J22" s="158">
        <f>Plantilla!I23</f>
        <v>15</v>
      </c>
      <c r="K22" s="53">
        <f>Plantilla!X23</f>
        <v>0</v>
      </c>
      <c r="L22" s="53">
        <f>Plantilla!Y23</f>
        <v>7.95000000000000018</v>
      </c>
      <c r="M22" s="53">
        <f>Plantilla!Z23</f>
        <v>11.9499999999999993</v>
      </c>
      <c r="N22" s="53">
        <f>Plantilla!AA23</f>
        <v>11.9499999999999993</v>
      </c>
      <c r="O22" s="53">
        <f>Plantilla!AB23</f>
        <v>9.94999999999999929</v>
      </c>
      <c r="P22" s="53">
        <f>Plantilla!AC23</f>
        <v>4.95000000000000018</v>
      </c>
      <c r="Q22" s="53">
        <f>Plantilla!AD23</f>
        <v>18</v>
      </c>
      <c r="R22" s="158">
        <f>((2*(O22+1))+(L22+1))/8</f>
        <v>3.85625000000000018</v>
      </c>
      <c r="S22" s="158">
        <f>1.66*(P22+(LOG(J22)*4/3)+I22)+0.55*(Q22+(LOG(J22)*4/3)+I22)-7.6</f>
        <v>17.2975489100174009</v>
      </c>
      <c r="T22" s="53">
        <f>(0.5*P22+0.3*Q22)/10</f>
        <v>0.7875</v>
      </c>
      <c r="U22" s="53">
        <f>(0.4*L22+0.3*Q22)/10</f>
        <v>0.858000000000000007</v>
      </c>
      <c r="V22" s="158" t="e">
        <f aca="1">IF(TODAY()-E22&gt;335,(Q22+1+(LOG(J22)*4/3))*(F22/7)^0.5,(Q22+((TODAY()-E22)^0.5)/(336^0.5)+(LOG(J22)*4/3))*(F22/7)^0.5)</f>
        <v>#VALUE!</v>
      </c>
      <c r="W22" s="158" t="e">
        <f aca="1">IF(F22=7,V22,IF(TODAY()-E22&gt;335,(Q22+1+(LOG(J22)*4/3))*((F22+0.99)/7)^0.5,(Q22+((TODAY()-E22)^0.5)/(336^0.5)+(LOG(J22)*4/3))*((F22+0.99)/7)^0.5))</f>
        <v>#VALUE!</v>
      </c>
      <c r="X22" s="76">
        <f>((K22+I22+(LOG(J22)*4/3))*0.597)+((L22+I22+(LOG(J22)*4/3))*0.276)</f>
        <v>4.87267022554081031</v>
      </c>
      <c r="Y22" s="76">
        <f>((K22+I22+(LOG(J22)*4/3))*0.866)+((L22+I22+(LOG(J22)*4/3))*0.425)</f>
        <v>7.33969508725451014</v>
      </c>
      <c r="Z22" s="76">
        <f>X22</f>
        <v>4.87267022554081031</v>
      </c>
      <c r="AA22" s="76">
        <f>((L22+I22+(LOG(J22)*4/3))*0.516)</f>
        <v>5.68535078623030987</v>
      </c>
      <c r="AB22" s="76">
        <f>(L22+I22+(LOG(J22)*4/3))*1</f>
        <v>11.0181216787409006</v>
      </c>
      <c r="AC22" s="76">
        <f>AA22/2</f>
        <v>2.84267539311515982</v>
      </c>
      <c r="AD22" s="76">
        <f>(M22+I22+(LOG(J22)*4/3))*0.238</f>
        <v>3.57431295954032979</v>
      </c>
      <c r="AE22" s="76">
        <f>((L22+I22+(LOG(J22)*4/3))*0.378)</f>
        <v>4.1648499945640598</v>
      </c>
      <c r="AF22" s="76">
        <f>(L22+I22+(LOG(J22)*4/3))*0.723</f>
        <v>7.96610197372967033</v>
      </c>
      <c r="AG22" s="76">
        <f>AE22/2</f>
        <v>2.0824249972820299</v>
      </c>
      <c r="AH22" s="76">
        <f>(M22+I22+(LOG(J22)*4/3))*0.385</f>
        <v>5.78197684631525011</v>
      </c>
      <c r="AI22" s="76">
        <f>((L22+I22+(LOG(J22)*4/3))*0.92)</f>
        <v>10.1366719444416002</v>
      </c>
      <c r="AJ22" s="76">
        <f>(L22+I22+(LOG(J22)*4/3))*0.414</f>
        <v>4.56150237499872979</v>
      </c>
      <c r="AK22" s="76">
        <f>((M22+I22+(LOG(J22)*4/3))*0.167)</f>
        <v>2.50802632034972994</v>
      </c>
      <c r="AL22" s="76">
        <f>(N22+I22+(LOG(J22)*4/3))*0.588</f>
        <v>8.83065554709964928</v>
      </c>
      <c r="AM22" s="76">
        <f>((L22+I22+(LOG(J22)*4/3))*0.754)</f>
        <v>8.30766374577063971</v>
      </c>
      <c r="AN22" s="76">
        <f>((L22+I22+(LOG(J22)*4/3))*0.708)</f>
        <v>7.80083014854855961</v>
      </c>
      <c r="AO22" s="76">
        <f>((Q22+I22+(LOG(J22)*4/3))*0.167)</f>
        <v>3.5183763203497298</v>
      </c>
      <c r="AP22" s="76">
        <f>((R22+I22+(LOG(J22)*4/3))*0.288)</f>
        <v>1.9942190434773801</v>
      </c>
      <c r="AQ22" s="76">
        <f>((L22+I22+(LOG(J22)*4/3))*0.27)</f>
        <v>2.97489285326004005</v>
      </c>
      <c r="AR22" s="76">
        <f>((L22+I22+(LOG(J22)*4/3))*0.594)</f>
        <v>6.54476427717210019</v>
      </c>
      <c r="AS22" s="76">
        <f>AQ22/2</f>
        <v>1.48744642663002002</v>
      </c>
      <c r="AT22" s="76">
        <f>((M22+I22+(LOG(J22)*4/3))*0.944)</f>
        <v>14.1771068647313996</v>
      </c>
      <c r="AU22" s="76">
        <f>((O22+I22+(LOG(J22)*4/3))*0.13)</f>
        <v>1.69235581823632009</v>
      </c>
      <c r="AV22" s="76">
        <f>((P22+I22+(LOG(J22)*4/3))*0.173)+((O22+I22+(LOG(J22)*4/3))*0.12)</f>
        <v>2.94930965187108995</v>
      </c>
      <c r="AW22" s="76">
        <f>AU22/2</f>
        <v>0.846177909118160088</v>
      </c>
      <c r="AX22" s="76">
        <f>((L22+I22+(LOG(J22)*4/3))*0.189)</f>
        <v>2.0824249972820299</v>
      </c>
      <c r="AY22" s="76">
        <f>((L22+I22+(LOG(J22)*4/3))*0.4)</f>
        <v>4.4072486714963599</v>
      </c>
      <c r="AZ22" s="76">
        <f>AX22/2</f>
        <v>1.04121249864102006</v>
      </c>
      <c r="BA22" s="76">
        <f>((M22+I22+(LOG(J22)*4/3))*1)</f>
        <v>15.0181216787409006</v>
      </c>
      <c r="BB22" s="76">
        <f>((O22+I22+(LOG(J22)*4/3))*0.253)</f>
        <v>3.29358478472145011</v>
      </c>
      <c r="BC22" s="76">
        <f>((P22+I22+(LOG(J22)*4/3))*0.21)+((O22+I22+(LOG(J22)*4/3))*0.341)</f>
        <v>6.12298504498624041</v>
      </c>
      <c r="BD22" s="76">
        <f>BB22/2</f>
        <v>1.64679239236072998</v>
      </c>
      <c r="BE22" s="76">
        <f>((L22+I22+(LOG(J22)*4/3))*0.291)</f>
        <v>3.20627340851360021</v>
      </c>
      <c r="BF22" s="76">
        <f>((L22+I22+(LOG(J22)*4/3))*0.348)</f>
        <v>3.83430634420182983</v>
      </c>
      <c r="BG22" s="76">
        <f>((M22+I22+(LOG(J22)*4/3))*0.881)</f>
        <v>13.2309651989707007</v>
      </c>
      <c r="BH22" s="76">
        <f>((N22+I22+(LOG(J22)*4/3))*0.574)+((O22+I22+(LOG(J22)*4/3))*0.315)</f>
        <v>12.7211101724006994</v>
      </c>
      <c r="BI22" s="76">
        <f>((O22+I22+(LOG(J22)*4/3))*0.241)</f>
        <v>3.13736732457656009</v>
      </c>
      <c r="BJ22" s="76">
        <f>((L22+I22+(LOG(J22)*4/3))*0.485)</f>
        <v>5.3437890141893396</v>
      </c>
      <c r="BK22" s="76">
        <f>((L22+I22+(LOG(J22)*4/3))*0.264)</f>
        <v>2.90878412318759985</v>
      </c>
      <c r="BL22" s="76">
        <f>((M22+I22+(LOG(J22)*4/3))*0.381)</f>
        <v>5.72190435960027965</v>
      </c>
      <c r="BM22" s="76">
        <f>((N22+I22+(LOG(J22)*4/3))*0.673)+((O22+I22+(LOG(J22)*4/3))*0.201)</f>
        <v>12.7238383472195</v>
      </c>
      <c r="BN22" s="76">
        <f>((O22+I22+(LOG(J22)*4/3))*0.052)</f>
        <v>0.676942327294526969</v>
      </c>
      <c r="BO22" s="76">
        <f>((L22+I22+(LOG(J22)*4/3))*0.18)</f>
        <v>1.98326190217335991</v>
      </c>
      <c r="BP22" s="76">
        <f>(L22+I22+(LOG(J22)*4/3))*0.068</f>
        <v>0.749232274154381006</v>
      </c>
      <c r="BQ22" s="76">
        <f>((M22+I22+(LOG(J22)*4/3))*0.305)</f>
        <v>4.58052711201597962</v>
      </c>
      <c r="BR22" s="76">
        <f>((N22+I22+(LOG(J22)*4/3))*1)+((O22+I22+(LOG(J22)*4/3))*0.286)</f>
        <v>18.7413044788608012</v>
      </c>
      <c r="BS22" s="76">
        <f>((O22+I22+(LOG(J22)*4/3))*0.135)</f>
        <v>1.75744642663002004</v>
      </c>
      <c r="BT22" s="76">
        <f>((L22+I22+(LOG(J22)*4/3))*0.284)</f>
        <v>3.12914655676242015</v>
      </c>
      <c r="BU22" s="76">
        <f>(L22+I22+(LOG(J22)*4/3))*0.244</f>
        <v>2.68842168961278016</v>
      </c>
      <c r="BV22" s="76">
        <f>((M22+I22+(LOG(J22)*4/3))*0.455)</f>
        <v>6.83324536382710956</v>
      </c>
      <c r="BW22" s="76">
        <f>((N22+I22+(LOG(J22)*4/3))*0.864)+((O22+I22+(LOG(J22)*4/3))*0.244)</f>
        <v>16.152078820044899</v>
      </c>
      <c r="BX22" s="76">
        <f>((O22+I22+(LOG(J22)*4/3))*0.121)</f>
        <v>1.57519272312764986</v>
      </c>
      <c r="BY22" s="76">
        <f>((L22+I22+(LOG(J22)*4/3))*0.284)</f>
        <v>3.12914655676242015</v>
      </c>
      <c r="BZ22" s="76">
        <f>((L22+I22+(LOG(J22)*4/3))*0.244)</f>
        <v>2.68842168961278016</v>
      </c>
      <c r="CA22" s="76">
        <f>((M22+I22+(LOG(J22)*4/3))*0.631)</f>
        <v>9.47643477928551015</v>
      </c>
      <c r="CB22" s="76">
        <f>((N22+I22+(LOG(J22)*4/3))*0.702)+((O22+I22+(LOG(J22)*4/3))*0.193)</f>
        <v>13.0552189024731007</v>
      </c>
      <c r="CC22" s="76">
        <f>((O22+I22+(LOG(J22)*4/3))*0.148)</f>
        <v>1.92668200845364996</v>
      </c>
      <c r="CD22" s="76">
        <f>((M22+I22+(LOG(J22)*4/3))*0.406)</f>
        <v>6.0973574015688099</v>
      </c>
      <c r="CE22" s="76">
        <f>IF(D22="TEC",((N22+I22+(LOG(J22)*4/3))*0.15)+((O22+I22+(LOG(J22)*4/3))*0.324)+((P22+I22+(LOG(J22)*4/3))*0.127),(((N22+I22+(LOG(J22)*4/3))*0.144)+((O22+I22+(LOG(J22)*4/3))*0.25)+((P22+I22+(LOG(J22)*4/3))*0.127)))</f>
        <v>6.43544139462401965</v>
      </c>
      <c r="CF22" s="76">
        <f>((O22+I22+(LOG(J22)*4/3))*0.543)+((P22+I22+(LOG(J22)*4/3))*0.583)</f>
        <v>11.7434050102623004</v>
      </c>
      <c r="CG22" s="76">
        <f>CE22</f>
        <v>6.43544139462401965</v>
      </c>
      <c r="CH22" s="76">
        <f>((P22+1+(LOG(J22)*4/3))*0.26)+((N22+I22+(LOG(J22)*4/3))*0.221)+((O22+I22+(LOG(J22)*4/3))*0.142)</f>
        <v>7.12228980585558968</v>
      </c>
      <c r="CI22" s="76">
        <f>((P22+I22+(LOG(J22)*4/3))*1)+((O22+I22+(LOG(J22)*4/3))*0.369)</f>
        <v>12.8218085781963005</v>
      </c>
      <c r="CJ22" s="76">
        <f>CH22</f>
        <v>7.12228980585558968</v>
      </c>
      <c r="CK22" s="76">
        <f>((M22+I22+(LOG(J22)*4/3))*0.25)</f>
        <v>3.75453041968523005</v>
      </c>
    </row>
    <row r="23" spans="1:89">
      <c r="A23" t="str">
        <f>Plantilla!D24</f>
        <v>P .Trivadi</v>
      </c>
      <c r="B23" s="62">
        <f>Plantilla!E24</f>
        <v>35</v>
      </c>
      <c r="C23" s="102">
        <f>Plantilla!F24</f>
        <v>65</v>
      </c>
      <c r="D23" s="62">
        <f>Plantilla!G24</f>
        <v>0</v>
      </c>
      <c r="E23" s="211" t="str">
        <f>Plantilla!O24</f>
        <v>Cantera</v>
      </c>
      <c r="F23" s="102">
        <f>Plantilla!Q24</f>
        <v>3</v>
      </c>
      <c r="G23" s="122">
        <f>(F23/7)^0.5</f>
        <v>0.65465367070797793</v>
      </c>
      <c r="H23" s="122">
        <f>IF(F23=7,1,((F23+0.99)/7)^0.5)</f>
        <v>0.754983443527074982</v>
      </c>
      <c r="I23" s="157">
        <f>Plantilla!P24</f>
        <v>1.5</v>
      </c>
      <c r="J23" s="158">
        <f>Plantilla!I24</f>
        <v>6.29999999999999982</v>
      </c>
      <c r="K23" s="53">
        <f>Plantilla!X24</f>
        <v>0</v>
      </c>
      <c r="L23" s="53">
        <f>Plantilla!Y24</f>
        <v>3.95000000000000018</v>
      </c>
      <c r="M23" s="53">
        <f>Plantilla!Z24</f>
        <v>5.95000000000000018</v>
      </c>
      <c r="N23" s="53">
        <f>Plantilla!AA24</f>
        <v>4.95000000000000018</v>
      </c>
      <c r="O23" s="53">
        <f>Plantilla!AB24</f>
        <v>9.94999999999999929</v>
      </c>
      <c r="P23" s="53">
        <f>Plantilla!AC24</f>
        <v>6.95000000000000018</v>
      </c>
      <c r="Q23" s="53">
        <f>Plantilla!AD24</f>
        <v>15</v>
      </c>
      <c r="R23" s="158">
        <f>((2*(O23+1))+(L23+1))/8</f>
        <v>3.35625000000000018</v>
      </c>
      <c r="S23" s="158">
        <f>1.66*(P23+(LOG(J23)*4/3)+I23)+0.55*(Q23+(LOG(J23)*4/3)+I23)-7.6</f>
        <v>17.8573901523899004</v>
      </c>
      <c r="T23" s="53">
        <f>(0.5*P23+0.3*Q23)/10</f>
        <v>0.797499999999999964</v>
      </c>
      <c r="U23" s="53">
        <f>(0.4*L23+0.3*Q23)/10</f>
        <v>0.608000000000000007</v>
      </c>
      <c r="V23" s="158" t="e">
        <f aca="1">IF(TODAY()-E23&gt;335,(Q23+1+(LOG(J23)*4/3))*(F23/7)^0.5,(Q23+((TODAY()-E23)^0.5)/(336^0.5)+(LOG(J23)*4/3))*(F23/7)^0.5)</f>
        <v>#VALUE!</v>
      </c>
      <c r="W23" s="158" t="e">
        <f aca="1">IF(F23=7,V23,IF(TODAY()-E23&gt;335,(Q23+1+(LOG(J23)*4/3))*((F23+0.99)/7)^0.5,(Q23+((TODAY()-E23)^0.5)/(336^0.5)+(LOG(J23)*4/3))*((F23+0.99)/7)^0.5))</f>
        <v>#VALUE!</v>
      </c>
      <c r="X23" s="76">
        <f>((K23+I23+(LOG(J23)*4/3))*0.597)+((L23+I23+(LOG(J23)*4/3))*0.276)</f>
        <v>3.33013239956396978</v>
      </c>
      <c r="Y23" s="76">
        <f>((K23+I23+(LOG(J23)*4/3))*0.866)+((L23+I23+(LOG(J23)*4/3))*0.425)</f>
        <v>4.99118153245943041</v>
      </c>
      <c r="Z23" s="76">
        <f>X23</f>
        <v>3.33013239956396978</v>
      </c>
      <c r="AA23" s="76">
        <f>((L23+I23+(LOG(J23)*4/3))*0.516)</f>
        <v>3.36214629802406018</v>
      </c>
      <c r="AB23" s="76">
        <f>(L23+I23+(LOG(J23)*4/3))*1</f>
        <v>6.51578739927144035</v>
      </c>
      <c r="AC23" s="76">
        <f>AA23/2</f>
        <v>1.68107314901203004</v>
      </c>
      <c r="AD23" s="76">
        <f>(M23+I23+(LOG(J23)*4/3))*0.238</f>
        <v>2.02675740102659985</v>
      </c>
      <c r="AE23" s="76">
        <f>((L23+I23+(LOG(J23)*4/3))*0.378)</f>
        <v>2.46296763692460008</v>
      </c>
      <c r="AF23" s="76">
        <f>(L23+I23+(LOG(J23)*4/3))*0.723</f>
        <v>4.71091428967324966</v>
      </c>
      <c r="AG23" s="76">
        <f>AE23/2</f>
        <v>1.23148381846230004</v>
      </c>
      <c r="AH23" s="76">
        <f>(M23+I23+(LOG(J23)*4/3))*0.385</f>
        <v>3.27857814871951003</v>
      </c>
      <c r="AI23" s="76">
        <f>((L23+I23+(LOG(J23)*4/3))*0.92)</f>
        <v>5.99452440732973013</v>
      </c>
      <c r="AJ23" s="76">
        <f>(L23+I23+(LOG(J23)*4/3))*0.414</f>
        <v>2.69753598329837985</v>
      </c>
      <c r="AK23" s="76">
        <f>((M23+I23+(LOG(J23)*4/3))*0.167)</f>
        <v>1.42213649567833</v>
      </c>
      <c r="AL23" s="76">
        <f>(N23+I23+(LOG(J23)*4/3))*0.588</f>
        <v>4.41928299077160958</v>
      </c>
      <c r="AM23" s="76">
        <f>((L23+I23+(LOG(J23)*4/3))*0.754)</f>
        <v>4.91290369905066981</v>
      </c>
      <c r="AN23" s="76">
        <f>((L23+I23+(LOG(J23)*4/3))*0.708)</f>
        <v>4.61317747868417971</v>
      </c>
      <c r="AO23" s="76">
        <f>((Q23+I23+(LOG(J23)*4/3))*0.167)</f>
        <v>2.93348649567831998</v>
      </c>
      <c r="AP23" s="76">
        <f>((R23+I23+(LOG(J23)*4/3))*0.288)</f>
        <v>1.70554677099016994</v>
      </c>
      <c r="AQ23" s="76">
        <f>((L23+I23+(LOG(J23)*4/3))*0.27)</f>
        <v>1.75926259780329008</v>
      </c>
      <c r="AR23" s="76">
        <f>((L23+I23+(LOG(J23)*4/3))*0.594)</f>
        <v>3.87037771516724014</v>
      </c>
      <c r="AS23" s="76">
        <f>AQ23/2</f>
        <v>0.879631298901644954</v>
      </c>
      <c r="AT23" s="76">
        <f>((M23+I23+(LOG(J23)*4/3))*0.944)</f>
        <v>8.0389033049122407</v>
      </c>
      <c r="AU23" s="76">
        <f>((O23+I23+(LOG(J23)*4/3))*0.13)</f>
        <v>1.62705236190527991</v>
      </c>
      <c r="AV23" s="76">
        <f>((P23+I23+(LOG(J23)*4/3))*0.173)+((O23+I23+(LOG(J23)*4/3))*0.12)</f>
        <v>3.14812570798653013</v>
      </c>
      <c r="AW23" s="76">
        <f>AU23/2</f>
        <v>0.813526180952639955</v>
      </c>
      <c r="AX23" s="76">
        <f>((L23+I23+(LOG(J23)*4/3))*0.189)</f>
        <v>1.23148381846230004</v>
      </c>
      <c r="AY23" s="76">
        <f>((L23+I23+(LOG(J23)*4/3))*0.4)</f>
        <v>2.60631495970857996</v>
      </c>
      <c r="AZ23" s="76">
        <f>AX23/2</f>
        <v>0.615741909231149975</v>
      </c>
      <c r="BA23" s="76">
        <f>((M23+I23+(LOG(J23)*4/3))*1)</f>
        <v>8.51578739927144035</v>
      </c>
      <c r="BB23" s="76">
        <f>((O23+I23+(LOG(J23)*4/3))*0.253)</f>
        <v>3.16649421201565984</v>
      </c>
      <c r="BC23" s="76">
        <f>((P23+I23+(LOG(J23)*4/3))*0.21)+((O23+I23+(LOG(J23)*4/3))*0.341)</f>
        <v>6.26619885699854962</v>
      </c>
      <c r="BD23" s="76">
        <f>BB23/2</f>
        <v>1.58324710600782996</v>
      </c>
      <c r="BE23" s="76">
        <f>((L23+I23+(LOG(J23)*4/3))*0.291)</f>
        <v>1.89609413318798996</v>
      </c>
      <c r="BF23" s="76">
        <f>((L23+I23+(LOG(J23)*4/3))*0.348)</f>
        <v>2.26749401494646019</v>
      </c>
      <c r="BG23" s="76">
        <f>((M23+I23+(LOG(J23)*4/3))*0.881)</f>
        <v>7.5024086987581402</v>
      </c>
      <c r="BH23" s="76">
        <f>((N23+I23+(LOG(J23)*4/3))*0.574)+((O23+I23+(LOG(J23)*4/3))*0.315)</f>
        <v>8.25653499795230061</v>
      </c>
      <c r="BI23" s="76">
        <f>((O23+I23+(LOG(J23)*4/3))*0.241)</f>
        <v>3.01630476322441021</v>
      </c>
      <c r="BJ23" s="76">
        <f>((L23+I23+(LOG(J23)*4/3))*0.485)</f>
        <v>3.16015688864664979</v>
      </c>
      <c r="BK23" s="76">
        <f>((L23+I23+(LOG(J23)*4/3))*0.264)</f>
        <v>1.72016787340765998</v>
      </c>
      <c r="BL23" s="76">
        <f>((M23+I23+(LOG(J23)*4/3))*0.381)</f>
        <v>3.24451499912242003</v>
      </c>
      <c r="BM23" s="76">
        <f>((N23+I23+(LOG(J23)*4/3))*0.673)+((O23+I23+(LOG(J23)*4/3))*0.201)</f>
        <v>7.57379818696322982</v>
      </c>
      <c r="BN23" s="76">
        <f>((O23+I23+(LOG(J23)*4/3))*0.052)</f>
        <v>0.650820944762113029</v>
      </c>
      <c r="BO23" s="76">
        <f>((L23+I23+(LOG(J23)*4/3))*0.18)</f>
        <v>1.17284173186885998</v>
      </c>
      <c r="BP23" s="76">
        <f>(L23+I23+(LOG(J23)*4/3))*0.068</f>
        <v>0.443073543150457994</v>
      </c>
      <c r="BQ23" s="76">
        <f>((M23+I23+(LOG(J23)*4/3))*0.305)</f>
        <v>2.5973151567777899</v>
      </c>
      <c r="BR23" s="76">
        <f>((N23+I23+(LOG(J23)*4/3))*1)+((O23+I23+(LOG(J23)*4/3))*0.286)</f>
        <v>11.0953025954630995</v>
      </c>
      <c r="BS23" s="76">
        <f>((O23+I23+(LOG(J23)*4/3))*0.135)</f>
        <v>1.68963129890163994</v>
      </c>
      <c r="BT23" s="76">
        <f>((L23+I23+(LOG(J23)*4/3))*0.284)</f>
        <v>1.85048362139309006</v>
      </c>
      <c r="BU23" s="76">
        <f>(L23+I23+(LOG(J23)*4/3))*0.244</f>
        <v>1.58985212542222998</v>
      </c>
      <c r="BV23" s="76">
        <f>((M23+I23+(LOG(J23)*4/3))*0.455)</f>
        <v>3.87468326666851013</v>
      </c>
      <c r="BW23" s="76">
        <f>((N23+I23+(LOG(J23)*4/3))*0.864)+((O23+I23+(LOG(J23)*4/3))*0.244)</f>
        <v>9.54749243839274975</v>
      </c>
      <c r="BX23" s="76">
        <f>((O23+I23+(LOG(J23)*4/3))*0.121)</f>
        <v>1.51441027531183998</v>
      </c>
      <c r="BY23" s="76">
        <f>((L23+I23+(LOG(J23)*4/3))*0.284)</f>
        <v>1.85048362139309006</v>
      </c>
      <c r="BZ23" s="76">
        <f>((L23+I23+(LOG(J23)*4/3))*0.244)</f>
        <v>1.58985212542222998</v>
      </c>
      <c r="CA23" s="76">
        <f>((M23+I23+(LOG(J23)*4/3))*0.631)</f>
        <v>5.37346184894027967</v>
      </c>
      <c r="CB23" s="76">
        <f>((N23+I23+(LOG(J23)*4/3))*0.702)+((O23+I23+(LOG(J23)*4/3))*0.193)</f>
        <v>7.69162972234792974</v>
      </c>
      <c r="CC23" s="76">
        <f>((O23+I23+(LOG(J23)*4/3))*0.148)</f>
        <v>1.85233653509216989</v>
      </c>
      <c r="CD23" s="76">
        <f>((M23+I23+(LOG(J23)*4/3))*0.406)</f>
        <v>3.4574096841042099</v>
      </c>
      <c r="CE23" s="76">
        <f>IF(D23="TEC",((N23+I23+(LOG(J23)*4/3))*0.15)+((O23+I23+(LOG(J23)*4/3))*0.324)+((P23+I23+(LOG(J23)*4/3))*0.127),(((N23+I23+(LOG(J23)*4/3))*0.144)+((O23+I23+(LOG(J23)*4/3))*0.25)+((P23+I23+(LOG(J23)*4/3))*0.127)))</f>
        <v>5.41972523502040993</v>
      </c>
      <c r="CF23" s="76">
        <f>((O23+I23+(LOG(J23)*4/3))*0.543)+((P23+I23+(LOG(J23)*4/3))*0.583)</f>
        <v>12.3437766115795995</v>
      </c>
      <c r="CG23" s="76">
        <f>CE23</f>
        <v>5.41972523502040993</v>
      </c>
      <c r="CH23" s="76">
        <f>((P23+1+(LOG(J23)*4/3))*0.26)+((N23+I23+(LOG(J23)*4/3))*0.221)+((O23+I23+(LOG(J23)*4/3))*0.142)</f>
        <v>5.78233554974610975</v>
      </c>
      <c r="CI23" s="76">
        <f>((P23+I23+(LOG(J23)*4/3))*1)+((O23+I23+(LOG(J23)*4/3))*0.369)</f>
        <v>14.1341129496025992</v>
      </c>
      <c r="CJ23" s="76">
        <f>CH23</f>
        <v>5.78233554974610975</v>
      </c>
      <c r="CK23" s="76">
        <f>((M23+I23+(LOG(J23)*4/3))*0.25)</f>
        <v>2.12894684981786009</v>
      </c>
    </row>
    <row r="24" spans="1:89">
      <c r="A24"/>
      <c r="B24" s="62"/>
      <c r="C24" s="102"/>
      <c r="D24" s="62"/>
      <c r="E24" s="211"/>
      <c r="F24" s="102"/>
      <c r="G24" s="122"/>
      <c r="H24" s="122"/>
      <c r="I24" s="157"/>
      <c r="J24" s="158"/>
      <c r="K24" s="53"/>
      <c r="L24" s="53"/>
      <c r="M24" s="53"/>
      <c r="N24" s="53"/>
      <c r="O24" s="53"/>
      <c r="P24" s="53"/>
      <c r="Q24" s="53"/>
      <c r="R24" s="158"/>
      <c r="S24" s="158"/>
      <c r="T24" s="53"/>
      <c r="U24" s="53"/>
      <c r="V24" s="158"/>
      <c r="W24" s="158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6"/>
      <c r="AX24" s="76"/>
      <c r="AY24" s="76"/>
      <c r="AZ24" s="76"/>
      <c r="BA24" s="76"/>
      <c r="BB24" s="76"/>
      <c r="BC24" s="76"/>
      <c r="BD24" s="76"/>
      <c r="BE24" s="76"/>
      <c r="BF24" s="76"/>
      <c r="BG24" s="76"/>
      <c r="BH24" s="76"/>
      <c r="BI24" s="76"/>
      <c r="BJ24" s="76"/>
      <c r="BK24" s="76"/>
      <c r="BL24" s="76"/>
      <c r="BM24" s="76"/>
      <c r="BN24" s="76"/>
      <c r="BO24" s="76"/>
      <c r="BP24" s="76"/>
      <c r="BQ24" s="76"/>
      <c r="BR24" s="76"/>
      <c r="BS24" s="76"/>
      <c r="BT24" s="76"/>
      <c r="BU24" s="76"/>
      <c r="BV24" s="76"/>
      <c r="BW24" s="76"/>
      <c r="BX24" s="76"/>
      <c r="BY24" s="76"/>
      <c r="BZ24" s="76"/>
      <c r="CA24" s="76"/>
      <c r="CB24" s="76"/>
      <c r="CC24" s="76"/>
      <c r="CD24" s="76"/>
      <c r="CE24" s="76"/>
      <c r="CF24" s="76"/>
      <c r="CG24" s="76"/>
      <c r="CH24" s="76"/>
      <c r="CI24" s="76"/>
      <c r="CJ24" s="76"/>
      <c r="CK24" s="76"/>
    </row>
    <row r="25" spans="1:89">
      <c r="A25"/>
      <c r="B25" s="62"/>
      <c r="C25" s="102"/>
      <c r="D25" s="62"/>
      <c r="E25" s="211"/>
      <c r="F25" s="102"/>
      <c r="G25" s="122"/>
      <c r="H25" s="122"/>
      <c r="I25" s="157"/>
      <c r="J25" s="158"/>
      <c r="K25" s="53"/>
      <c r="L25" s="53"/>
      <c r="M25" s="53"/>
      <c r="N25" s="53"/>
      <c r="O25" s="53"/>
      <c r="P25" s="53"/>
      <c r="Q25" s="53"/>
      <c r="R25" s="158"/>
      <c r="S25" s="158"/>
      <c r="T25" s="53"/>
      <c r="U25" s="53"/>
      <c r="V25" s="158"/>
      <c r="W25" s="158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  <c r="BV25" s="76"/>
      <c r="BW25" s="76"/>
      <c r="BX25" s="76"/>
      <c r="BY25" s="76"/>
      <c r="BZ25" s="76"/>
      <c r="CA25" s="76"/>
      <c r="CB25" s="76"/>
      <c r="CC25" s="76"/>
      <c r="CD25" s="76"/>
      <c r="CE25" s="76"/>
      <c r="CF25" s="76"/>
      <c r="CG25" s="76"/>
      <c r="CH25" s="76"/>
      <c r="CI25" s="76"/>
      <c r="CJ25" s="76"/>
      <c r="CK25" s="76"/>
    </row>
    <row r="26" spans="1:89">
      <c r="A26"/>
      <c r="B26" s="62"/>
      <c r="C26" s="102"/>
      <c r="D26" s="62"/>
      <c r="E26" s="211"/>
      <c r="F26" s="102"/>
      <c r="G26" s="122"/>
      <c r="H26" s="122"/>
      <c r="I26" s="157"/>
      <c r="J26" s="158"/>
      <c r="K26" s="53"/>
      <c r="L26" s="53"/>
      <c r="M26" s="53"/>
      <c r="N26" s="53"/>
      <c r="O26" s="53"/>
      <c r="P26" s="53"/>
      <c r="Q26" s="53"/>
      <c r="R26" s="158"/>
      <c r="S26" s="158"/>
      <c r="T26" s="53"/>
      <c r="U26" s="53"/>
      <c r="V26" s="158"/>
      <c r="W26" s="158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  <c r="CC26" s="76"/>
      <c r="CD26" s="76"/>
      <c r="CE26" s="76"/>
      <c r="CF26" s="76"/>
      <c r="CG26" s="76"/>
      <c r="CH26" s="76"/>
      <c r="CI26" s="76"/>
      <c r="CJ26" s="76"/>
      <c r="CK26" s="76"/>
    </row>
    <row r="27" spans="4:4">
      <c r="D27" s="62"/>
    </row>
    <row r="28" spans="1:13">
      <c r="A28" s="140" t="s">
        <v>488</v>
      </c>
      <c r="B28" s="140" t="s">
        <v>489</v>
      </c>
      <c r="C28" s="140"/>
      <c r="D28" s="141"/>
      <c r="L28" s="49"/>
      <c r="M28" s="49"/>
    </row>
    <row r="29" spans="1:4">
      <c r="A29" s="74" t="s">
        <v>490</v>
      </c>
      <c r="B29" s="142" t="n">
        <v>1</v>
      </c>
      <c r="C29" s="159" t="n">
        <v>0.624000000000000021</v>
      </c>
      <c r="D29" s="160" t="n">
        <v>0.245000000000000018</v>
      </c>
    </row>
    <row r="30" spans="1:4">
      <c r="A30" s="74" t="s">
        <v>491</v>
      </c>
      <c r="B30" s="142" t="n">
        <v>1</v>
      </c>
      <c r="C30" s="159" t="n">
        <v>1.002</v>
      </c>
      <c r="D30" s="160" t="n">
        <v>0.34000000000000008</v>
      </c>
    </row>
    <row r="31" spans="1:4">
      <c r="A31" s="74" t="s">
        <v>492</v>
      </c>
      <c r="B31" s="142" t="n">
        <v>1</v>
      </c>
      <c r="C31" s="159" t="n">
        <v>0.46800000000000006</v>
      </c>
      <c r="D31" s="160" t="n">
        <v>0.125</v>
      </c>
    </row>
    <row r="32" spans="1:4">
      <c r="A32" s="74" t="s">
        <v>493</v>
      </c>
      <c r="B32" s="142" t="n">
        <v>1</v>
      </c>
      <c r="C32" s="159" t="n">
        <v>0.876999999999999957</v>
      </c>
      <c r="D32" s="160" t="n">
        <v>0.25</v>
      </c>
    </row>
    <row r="33" spans="1:4">
      <c r="A33" s="74" t="s">
        <v>494</v>
      </c>
      <c r="B33" s="142" t="n">
        <v>1</v>
      </c>
      <c r="C33" s="159" t="n">
        <v>0.592999999999999972</v>
      </c>
      <c r="D33" s="160" t="n">
        <v>0.19</v>
      </c>
    </row>
    <row r="35" spans="1:5">
      <c r="A35" s="499" t="s">
        <v>495</v>
      </c>
      <c r="B35" s="499"/>
      <c r="C35" s="499"/>
      <c r="D35" s="499"/>
      <c r="E35" s="499"/>
    </row>
    <row r="36" spans="1:85">
      <c r="A36" s="149" t="s">
        <v>87</v>
      </c>
      <c r="B36" s="149" t="s">
        <v>353</v>
      </c>
      <c r="C36" s="149" t="s">
        <v>89</v>
      </c>
      <c r="D36" s="150" t="s">
        <v>352</v>
      </c>
      <c r="E36" s="149" t="s">
        <v>478</v>
      </c>
      <c r="F36" s="152" t="s">
        <v>99</v>
      </c>
      <c r="G36" s="153" t="s">
        <v>480</v>
      </c>
      <c r="H36" s="153" t="s">
        <v>14</v>
      </c>
      <c r="I36" s="153" t="s">
        <v>37</v>
      </c>
      <c r="J36" s="153" t="s">
        <v>196</v>
      </c>
      <c r="K36" s="153" t="s">
        <v>30</v>
      </c>
      <c r="L36" s="153" t="s">
        <v>198</v>
      </c>
      <c r="M36" s="153" t="s">
        <v>199</v>
      </c>
      <c r="N36" s="153" t="s">
        <v>200</v>
      </c>
      <c r="O36" s="154" t="s">
        <v>481</v>
      </c>
      <c r="P36" s="154" t="s">
        <v>117</v>
      </c>
      <c r="Q36" s="154" t="s">
        <v>482</v>
      </c>
      <c r="R36" s="154" t="s">
        <v>483</v>
      </c>
      <c r="S36" s="154" t="s">
        <v>121</v>
      </c>
      <c r="T36" s="155" t="s">
        <v>484</v>
      </c>
      <c r="U36" s="155" t="s">
        <v>485</v>
      </c>
      <c r="V36" s="155" t="s">
        <v>484</v>
      </c>
      <c r="W36" s="156" t="s">
        <v>484</v>
      </c>
      <c r="X36" s="156" t="s">
        <v>485</v>
      </c>
      <c r="Y36" s="156" t="s">
        <v>484</v>
      </c>
      <c r="Z36" s="156" t="s">
        <v>28</v>
      </c>
      <c r="AA36" s="156" t="s">
        <v>484</v>
      </c>
      <c r="AB36" s="156" t="s">
        <v>485</v>
      </c>
      <c r="AC36" s="156" t="s">
        <v>484</v>
      </c>
      <c r="AD36" s="156" t="s">
        <v>28</v>
      </c>
      <c r="AE36" s="155" t="s">
        <v>484</v>
      </c>
      <c r="AF36" s="155" t="s">
        <v>485</v>
      </c>
      <c r="AG36" s="155" t="s">
        <v>28</v>
      </c>
      <c r="AH36" s="155" t="s">
        <v>486</v>
      </c>
      <c r="AI36" s="155" t="s">
        <v>484</v>
      </c>
      <c r="AJ36" s="155" t="s">
        <v>485</v>
      </c>
      <c r="AK36" s="155" t="s">
        <v>28</v>
      </c>
      <c r="AL36" s="155" t="s">
        <v>486</v>
      </c>
      <c r="AM36" s="155" t="s">
        <v>484</v>
      </c>
      <c r="AN36" s="155" t="s">
        <v>485</v>
      </c>
      <c r="AO36" s="155" t="s">
        <v>484</v>
      </c>
      <c r="AP36" s="155" t="s">
        <v>28</v>
      </c>
      <c r="AQ36" s="155" t="s">
        <v>486</v>
      </c>
      <c r="AR36" s="155" t="s">
        <v>487</v>
      </c>
      <c r="AS36" s="155" t="s">
        <v>486</v>
      </c>
      <c r="AT36" s="155" t="s">
        <v>484</v>
      </c>
      <c r="AU36" s="155" t="s">
        <v>485</v>
      </c>
      <c r="AV36" s="155" t="s">
        <v>484</v>
      </c>
      <c r="AW36" s="155" t="s">
        <v>28</v>
      </c>
      <c r="AX36" s="155" t="s">
        <v>486</v>
      </c>
      <c r="AY36" s="155" t="s">
        <v>487</v>
      </c>
      <c r="AZ36" s="155" t="s">
        <v>486</v>
      </c>
      <c r="BA36" s="156" t="s">
        <v>484</v>
      </c>
      <c r="BB36" s="156" t="s">
        <v>485</v>
      </c>
      <c r="BC36" s="156" t="s">
        <v>28</v>
      </c>
      <c r="BD36" s="156" t="s">
        <v>486</v>
      </c>
      <c r="BE36" s="156" t="s">
        <v>487</v>
      </c>
      <c r="BF36" s="156" t="s">
        <v>484</v>
      </c>
      <c r="BG36" s="156" t="s">
        <v>485</v>
      </c>
      <c r="BH36" s="156" t="s">
        <v>28</v>
      </c>
      <c r="BI36" s="156" t="s">
        <v>486</v>
      </c>
      <c r="BJ36" s="156" t="s">
        <v>487</v>
      </c>
      <c r="BK36" s="155" t="s">
        <v>484</v>
      </c>
      <c r="BL36" s="155" t="s">
        <v>485</v>
      </c>
      <c r="BM36" s="155" t="s">
        <v>28</v>
      </c>
      <c r="BN36" s="155" t="s">
        <v>486</v>
      </c>
      <c r="BO36" s="155" t="s">
        <v>487</v>
      </c>
      <c r="BP36" s="155" t="s">
        <v>484</v>
      </c>
      <c r="BQ36" s="155" t="s">
        <v>485</v>
      </c>
      <c r="BR36" s="155" t="s">
        <v>28</v>
      </c>
      <c r="BS36" s="155" t="s">
        <v>486</v>
      </c>
      <c r="BT36" s="155" t="s">
        <v>487</v>
      </c>
      <c r="BU36" s="155" t="s">
        <v>484</v>
      </c>
      <c r="BV36" s="155" t="s">
        <v>485</v>
      </c>
      <c r="BW36" s="155" t="s">
        <v>28</v>
      </c>
      <c r="BX36" s="155" t="s">
        <v>486</v>
      </c>
      <c r="BY36" s="155" t="s">
        <v>487</v>
      </c>
      <c r="BZ36" s="156" t="s">
        <v>28</v>
      </c>
      <c r="CA36" s="156" t="s">
        <v>486</v>
      </c>
      <c r="CB36" s="156" t="s">
        <v>487</v>
      </c>
      <c r="CC36" s="156" t="s">
        <v>486</v>
      </c>
      <c r="CD36" s="155" t="s">
        <v>486</v>
      </c>
      <c r="CE36" s="155" t="s">
        <v>487</v>
      </c>
      <c r="CF36" s="155" t="s">
        <v>486</v>
      </c>
      <c r="CG36" s="155" t="s">
        <v>28</v>
      </c>
    </row>
    <row r="37" spans="1:85">
      <c r="A37" t="str">
        <f>A3</f>
        <v>D. Gehmacher</v>
      </c>
      <c r="B37">
        <f>B3</f>
        <v>38</v>
      </c>
      <c r="C37" s="54">
        <f>C3</f>
        <v>62</v>
      </c>
      <c r="D37">
        <f>D3</f>
        <v>0</v>
      </c>
      <c r="E37" s="211">
        <f>E3</f>
        <v>42468</v>
      </c>
      <c r="F37" s="157">
        <f>I3</f>
        <v>1</v>
      </c>
      <c r="G37" s="158">
        <f>J3</f>
        <v>25.5</v>
      </c>
      <c r="H37" s="53">
        <f>K3</f>
        <v>14.9499999999999993</v>
      </c>
      <c r="I37" s="53">
        <f>L3</f>
        <v>9.94999999999999929</v>
      </c>
      <c r="J37" s="53">
        <f>M3</f>
        <v>0.95</v>
      </c>
      <c r="K37" s="53">
        <f>N3</f>
        <v>0</v>
      </c>
      <c r="L37" s="53">
        <f>O3</f>
        <v>0</v>
      </c>
      <c r="M37" s="53">
        <f>P3</f>
        <v>0</v>
      </c>
      <c r="N37" s="53">
        <f>Q3</f>
        <v>17.9499999999999993</v>
      </c>
      <c r="O37" s="158">
        <f>((2*(L37+1))+(I37+1))/8</f>
        <v>1.61874999999999991</v>
      </c>
      <c r="P37" s="158">
        <f>1.66*(M37+(LOG(G37)*4/3)+F37)+0.55*(N37+(LOG(G37)*4/3)+F37)-7.6</f>
        <v>8.62710506501210084</v>
      </c>
      <c r="Q37" s="158">
        <f>(0.5*M37+0.3*N37)/10</f>
        <v>0.538499999999999979</v>
      </c>
      <c r="R37" s="158">
        <f>(0.4*I37+0.3*N37)/10</f>
        <v>0.936500000000000021</v>
      </c>
      <c r="S37" s="158">
        <f aca="1">IF(TODAY()-E37&gt;335,(N37+1+(LOG(G37)*4/3)),(N37+((TODAY()-E37)^0.5)/(336^0.5)+(LOG(G37)*4/3)))</f>
        <v>20.8253869072452993</v>
      </c>
      <c r="T37" s="76">
        <f>((H37+F37+(LOG(G37)*4/3))*0.597)+((I37+F37+(LOG(G37)*4/3))*0.276)</f>
        <v>14.1815627700250992</v>
      </c>
      <c r="U37" s="76">
        <f>((H37+F37+(LOG(G37)*4/3))*0.866)+((I37+F37+(LOG(G37)*4/3))*0.425)</f>
        <v>20.8875744972536985</v>
      </c>
      <c r="V37" s="76">
        <f>T37</f>
        <v>14.1815627700250992</v>
      </c>
      <c r="W37" s="76">
        <f>((I37+F37+(LOG(G37)*4/3))*0.516)</f>
        <v>6.61789964413858023</v>
      </c>
      <c r="X37" s="76">
        <f>(I37+F37+(LOG(G37)*4/3))*1</f>
        <v>12.8253869072452993</v>
      </c>
      <c r="Y37" s="76">
        <f>W37/2</f>
        <v>3.30894982206929011</v>
      </c>
      <c r="Z37" s="76">
        <f>(J37+F37+(LOG(G37)*4/3))*0.238</f>
        <v>0.910442083924376888</v>
      </c>
      <c r="AA37" s="76">
        <f>((I37+F37+(LOG(G37)*4/3))*0.378)</f>
        <v>4.84799625093871978</v>
      </c>
      <c r="AB37" s="76">
        <f>(I37+F37+(LOG(G37)*4/3))*0.723</f>
        <v>9.27275473393834915</v>
      </c>
      <c r="AC37" s="76">
        <f>AA37/2</f>
        <v>2.42399812546935989</v>
      </c>
      <c r="AD37" s="76">
        <f>(J37+F37+(LOG(G37)*4/3))*0.385</f>
        <v>1.47277395928943005</v>
      </c>
      <c r="AE37" s="249">
        <f>((I37+F37+(LOG(G37)*4/3))*0.92)</f>
        <v>11.7993559546656996</v>
      </c>
      <c r="AF37" s="76">
        <f>(I37+F37+(LOG(G37)*4/3))*0.414</f>
        <v>5.30971017959955027</v>
      </c>
      <c r="AG37" s="76">
        <f>((J37+F37+(LOG(G37)*4/3))*0.167)</f>
        <v>0.638839613509961968</v>
      </c>
      <c r="AH37" s="249">
        <f>(K37+F37+(LOG(G37)*4/3))*0.588</f>
        <v>1.69072750146022006</v>
      </c>
      <c r="AI37" s="76">
        <f>((I37+F37+(LOG(G37)*4/3))*0.754)</f>
        <v>9.67034172806295977</v>
      </c>
      <c r="AJ37" s="76">
        <f>((I37+F37+(LOG(G37)*4/3))*0.708)</f>
        <v>9.08037393032967088</v>
      </c>
      <c r="AK37" s="76">
        <f>((N37+F37+(LOG(G37)*4/3))*0.167)</f>
        <v>3.47783961350996984</v>
      </c>
      <c r="AL37" s="76">
        <f>((O37+F37+(LOG(G37)*4/3))*0.288)</f>
        <v>1.29431142928664</v>
      </c>
      <c r="AM37" s="76">
        <f>((I37+F37+(LOG(G37)*4/3))*0.27)</f>
        <v>3.46285446495623006</v>
      </c>
      <c r="AN37" s="76">
        <f>((I37+F37+(LOG(G37)*4/3))*0.594)</f>
        <v>7.61827982290370986</v>
      </c>
      <c r="AO37" s="76">
        <f>AM37/2</f>
        <v>1.73142723247811992</v>
      </c>
      <c r="AP37" s="76">
        <f>((J37+F37+(LOG(G37)*4/3))*0.944)</f>
        <v>3.61116524043954001</v>
      </c>
      <c r="AQ37" s="76">
        <f>((L37+F37+(LOG(G37)*4/3))*0.13)</f>
        <v>0.373800297941886006</v>
      </c>
      <c r="AR37" s="76">
        <f>((M37+F37+(LOG(G37)*4/3))*0.173)+((L37+F37+(LOG(G37)*4/3))*0.12)</f>
        <v>0.842488363822866937</v>
      </c>
      <c r="AS37" s="76">
        <f>AQ37/2</f>
        <v>0.186900148970943007</v>
      </c>
      <c r="AT37" s="76">
        <f>((I37+F37+(LOG(G37)*4/3))*0.189)</f>
        <v>2.42399812546935989</v>
      </c>
      <c r="AU37" s="76">
        <f>((I37+F37+(LOG(G37)*4/3))*0.4)</f>
        <v>5.13015476289811989</v>
      </c>
      <c r="AV37" s="76">
        <f>AT37/2</f>
        <v>1.21199906273467994</v>
      </c>
      <c r="AW37" s="76">
        <f>((J37+F37+(LOG(G37)*4/3))*1)</f>
        <v>3.8253869072452801</v>
      </c>
      <c r="AX37" s="76">
        <f>((L37+F37+(LOG(G37)*4/3))*0.253)</f>
        <v>0.727472887533055967</v>
      </c>
      <c r="AY37" s="76">
        <f>((M37+F37+(LOG(G37)*4/3))*0.21)+((L37+F37+(LOG(G37)*4/3))*0.341)</f>
        <v>1.58433818589214992</v>
      </c>
      <c r="AZ37" s="76">
        <f>AX37/2</f>
        <v>0.363736443766527984</v>
      </c>
      <c r="BA37" s="76">
        <f>((I37+F37+(LOG(G37)*4/3))*0.291)</f>
        <v>3.73218759000838007</v>
      </c>
      <c r="BB37" s="76">
        <f>((I37+F37+(LOG(G37)*4/3))*0.348)</f>
        <v>4.46323464372137035</v>
      </c>
      <c r="BC37" s="76">
        <f>((J37+F37+(LOG(G37)*4/3))*0.881)</f>
        <v>3.37016586528309015</v>
      </c>
      <c r="BD37" s="76">
        <f>((K37+F37+(LOG(G37)*4/3))*0.574)+((L37+F37+(LOG(G37)*4/3))*0.315)</f>
        <v>2.55621896054105013</v>
      </c>
      <c r="BE37" s="76">
        <f>((L37+F37+(LOG(G37)*4/3))*0.241)</f>
        <v>0.692968244646112908</v>
      </c>
      <c r="BF37" s="76">
        <f>((I37+F37+(LOG(G37)*4/3))*0.485)</f>
        <v>6.2203126500139696</v>
      </c>
      <c r="BG37" s="76">
        <f>((I37+F37+(LOG(G37)*4/3))*0.264)</f>
        <v>3.38590214351276009</v>
      </c>
      <c r="BH37" s="76">
        <f>((J37+F37+(LOG(G37)*4/3))*0.381)</f>
        <v>1.45747241166045001</v>
      </c>
      <c r="BI37" s="76">
        <f>((K37+F37+(LOG(G37)*4/3))*0.673)+((L37+F37+(LOG(G37)*4/3))*0.201)</f>
        <v>2.51308815693236998</v>
      </c>
      <c r="BJ37" s="76">
        <f>((L37+F37+(LOG(G37)*4/3))*0.052)</f>
        <v>0.149520119176755006</v>
      </c>
      <c r="BK37" s="76">
        <f>((I37+F37+(LOG(G37)*4/3))*0.18)</f>
        <v>2.30856964330414982</v>
      </c>
      <c r="BL37" s="76">
        <f>(I37+F37+(LOG(G37)*4/3))*0.068</f>
        <v>0.872126309692679946</v>
      </c>
      <c r="BM37" s="76">
        <f>((J37+F37+(LOG(G37)*4/3))*0.305)</f>
        <v>1.1667430067098099</v>
      </c>
      <c r="BN37" s="76">
        <f>((K37+F37+(LOG(G37)*4/3))*1)+((L37+F37+(LOG(G37)*4/3))*0.286)</f>
        <v>3.6977475627174301</v>
      </c>
      <c r="BO37" s="76">
        <f>((L37+F37+(LOG(G37)*4/3))*0.135)</f>
        <v>0.388177232478112977</v>
      </c>
      <c r="BP37" s="76">
        <f>((I37+F37+(LOG(G37)*4/3))*0.284)</f>
        <v>3.64240988165767021</v>
      </c>
      <c r="BQ37" s="76">
        <f>(I37+F37+(LOG(G37)*4/3))*0.244</f>
        <v>3.12939440536784996</v>
      </c>
      <c r="BR37" s="76">
        <f>((J37+F37+(LOG(G37)*4/3))*0.455)</f>
        <v>1.7405510427966</v>
      </c>
      <c r="BS37" s="76">
        <f>((K37+F37+(LOG(G37)*4/3))*0.864)+((L37+F37+(LOG(G37)*4/3))*0.244)</f>
        <v>3.18592869322776995</v>
      </c>
      <c r="BT37" s="76">
        <f>((L37+F37+(LOG(G37)*4/3))*0.121)</f>
        <v>0.347921815776679022</v>
      </c>
      <c r="BU37" s="76">
        <f>((I37+F37+(LOG(G37)*4/3))*0.284)</f>
        <v>3.64240988165767021</v>
      </c>
      <c r="BV37" s="76">
        <f>((I37+F37+(LOG(G37)*4/3))*0.244)</f>
        <v>3.12939440536784996</v>
      </c>
      <c r="BW37" s="76">
        <f>((J37+F37+(LOG(G37)*4/3))*0.631)</f>
        <v>2.41381913847177021</v>
      </c>
      <c r="BX37" s="76">
        <f>((K37+F37+(LOG(G37)*4/3))*0.702)+((L37+F37+(LOG(G37)*4/3))*0.193)</f>
        <v>2.57347128198453001</v>
      </c>
      <c r="BY37" s="76">
        <f>((L37+F37+(LOG(G37)*4/3))*0.148)</f>
        <v>0.425557262272300996</v>
      </c>
      <c r="BZ37" s="76">
        <f>((J37+F37+(LOG(G37)*4/3))*0.406)</f>
        <v>1.55310708434157991</v>
      </c>
      <c r="CA37" s="76">
        <f>IF(D37="TEC",((K37+F37+(LOG(G37)*4/3))*0.15)+((L37+F37+(LOG(G37)*4/3))*0.324)+((M37+F37+(LOG(G37)*4/3))*0.127),(((K37+F37+(LOG(G37)*4/3))*0.144)+((L37+F37+(LOG(G37)*4/3))*0.25)+((M37+F37+(LOG(G37)*4/3))*0.127)))</f>
        <v>1.49807657867479005</v>
      </c>
      <c r="CB37" s="76">
        <f>((L37+F37+(LOG(G37)*4/3))*0.543)+((M37+F37+(LOG(G37)*4/3))*0.583)</f>
        <v>3.23768565755819004</v>
      </c>
      <c r="CC37" s="76">
        <f>CA37</f>
        <v>1.49807657867479005</v>
      </c>
      <c r="CD37" s="76">
        <f>((M37+1+(LOG(G37)*4/3))*0.26)+((K37+F37+(LOG(G37)*4/3))*0.221)+((L37+F37+(LOG(G37)*4/3))*0.142)</f>
        <v>1.79136604321381014</v>
      </c>
      <c r="CE37" s="76">
        <f>((M37+F37+(LOG(G37)*4/3))*1)+((L37+F37+(LOG(G37)*4/3))*0.369)</f>
        <v>3.93640467601878985</v>
      </c>
      <c r="CF37" s="76">
        <f>CD37</f>
        <v>1.79136604321381014</v>
      </c>
      <c r="CG37" s="76">
        <f>((J37+F37+(LOG(G37)*4/3))*0.25)</f>
        <v>0.956346726811320025</v>
      </c>
    </row>
    <row r="38" spans="1:85">
      <c r="A38" t="str">
        <f>A4</f>
        <v>林 (Lin) 光维 (Guangwei)</v>
      </c>
      <c r="B38">
        <f>B4</f>
        <v>22</v>
      </c>
      <c r="C38" s="54">
        <f>C4</f>
        <v>101</v>
      </c>
      <c r="D38" t="str">
        <f>D4</f>
        <v>IMP</v>
      </c>
      <c r="E38" s="211">
        <f>E4</f>
        <v>43878</v>
      </c>
      <c r="F38" s="157">
        <f>I4</f>
        <v>0.61699749118287297</v>
      </c>
      <c r="G38" s="158">
        <f>J4</f>
        <v>3.5</v>
      </c>
      <c r="H38" s="53">
        <f>K4</f>
        <v>15</v>
      </c>
      <c r="I38" s="53">
        <f>L4</f>
        <v>5</v>
      </c>
      <c r="J38" s="53">
        <f>M4</f>
        <v>2</v>
      </c>
      <c r="K38" s="53">
        <f>N4</f>
        <v>1</v>
      </c>
      <c r="L38" s="53">
        <f>O4</f>
        <v>5</v>
      </c>
      <c r="M38" s="53">
        <f>P4</f>
        <v>3</v>
      </c>
      <c r="N38" s="53">
        <f>Q4</f>
        <v>19.25</v>
      </c>
      <c r="O38" s="158">
        <f>((2*(L38+1))+(I38+1))/8</f>
        <v>2.25</v>
      </c>
      <c r="P38" s="158">
        <f>1.66*(M38+(LOG(G38)*4/3)+F38)+0.55*(N38+(LOG(G38)*4/3)+F38)-7.6</f>
        <v>10.9342516261996003</v>
      </c>
      <c r="Q38" s="158">
        <f>(0.5*M38+0.3*N38)/10</f>
        <v>0.727500000000000036</v>
      </c>
      <c r="R38" s="158">
        <f>(0.4*I38+0.3*N38)/10</f>
        <v>0.777499999999999947</v>
      </c>
      <c r="S38" s="158">
        <f aca="1">IF(TODAY()-E38&gt;335,(N38+1+(LOG(G38)*4/3)),(N38+((TODAY()-E38)^0.5)/(336^0.5)+(LOG(G38)*4/3)))</f>
        <v>20.6611631459868015</v>
      </c>
      <c r="T38" s="76">
        <f>((H38+F38+(LOG(G38)*4/3))*0.597)+((I38+F38+(LOG(G38)*4/3))*0.276)</f>
        <v>11.5069340134264007</v>
      </c>
      <c r="U38" s="76">
        <f>((H38+F38+(LOG(G38)*4/3))*0.866)+((I38+F38+(LOG(G38)*4/3))*0.425)</f>
        <v>16.8480662214587014</v>
      </c>
      <c r="V38" s="76">
        <f>T38</f>
        <v>11.5069340134264007</v>
      </c>
      <c r="W38" s="76">
        <f>((I38+F38+(LOG(G38)*4/3))*0.516)</f>
        <v>3.27268951996334989</v>
      </c>
      <c r="X38" s="76">
        <f>(I38+F38+(LOG(G38)*4/3))*1</f>
        <v>6.34242155031656996</v>
      </c>
      <c r="Y38" s="76">
        <f>W38/2</f>
        <v>1.63634475998168005</v>
      </c>
      <c r="Z38" s="76">
        <f>(J38+F38+(LOG(G38)*4/3))*0.238</f>
        <v>0.795496328975343925</v>
      </c>
      <c r="AA38" s="76">
        <f>((I38+F38+(LOG(G38)*4/3))*0.378)</f>
        <v>2.3974353460196598</v>
      </c>
      <c r="AB38" s="76">
        <f>(I38+F38+(LOG(G38)*4/3))*0.723</f>
        <v>4.58557078087888037</v>
      </c>
      <c r="AC38" s="76">
        <f>AA38/2</f>
        <v>1.1987176730098299</v>
      </c>
      <c r="AD38" s="76">
        <f>(J38+F38+(LOG(G38)*4/3))*0.385</f>
        <v>1.28683229687187994</v>
      </c>
      <c r="AE38" s="249">
        <f>((I38+F38+(LOG(G38)*4/3))*0.92)</f>
        <v>5.83502782629124983</v>
      </c>
      <c r="AF38" s="76">
        <f>(I38+F38+(LOG(G38)*4/3))*0.414</f>
        <v>2.62576252183106007</v>
      </c>
      <c r="AG38" s="76">
        <f>((J38+F38+(LOG(G38)*4/3))*0.167)</f>
        <v>0.558184398902866974</v>
      </c>
      <c r="AH38" s="249">
        <f>(K38+F38+(LOG(G38)*4/3))*0.588</f>
        <v>1.37734387158613991</v>
      </c>
      <c r="AI38" s="76">
        <f>((I38+F38+(LOG(G38)*4/3))*0.754)</f>
        <v>4.78218584893869014</v>
      </c>
      <c r="AJ38" s="76">
        <f>((I38+F38+(LOG(G38)*4/3))*0.708)</f>
        <v>4.49043445762413018</v>
      </c>
      <c r="AK38" s="76">
        <f>((N38+F38+(LOG(G38)*4/3))*0.167)</f>
        <v>3.43893439890287</v>
      </c>
      <c r="AL38" s="76">
        <f>((O38+F38+(LOG(G38)*4/3))*0.288)</f>
        <v>1.03461740649116996</v>
      </c>
      <c r="AM38" s="76">
        <f>((I38+F38+(LOG(G38)*4/3))*0.27)</f>
        <v>1.71245381858547008</v>
      </c>
      <c r="AN38" s="76">
        <f>((I38+F38+(LOG(G38)*4/3))*0.594)</f>
        <v>3.76739840088804012</v>
      </c>
      <c r="AO38" s="76">
        <f>AM38/2</f>
        <v>0.856226909292734994</v>
      </c>
      <c r="AP38" s="76">
        <f>((J38+F38+(LOG(G38)*4/3))*0.944)</f>
        <v>3.1552459434988398</v>
      </c>
      <c r="AQ38" s="76">
        <f>((L38+F38+(LOG(G38)*4/3))*0.13)</f>
        <v>0.824514801541153908</v>
      </c>
      <c r="AR38" s="76">
        <f>((M38+F38+(LOG(G38)*4/3))*0.173)+((L38+F38+(LOG(G38)*4/3))*0.12)</f>
        <v>1.51232951424275992</v>
      </c>
      <c r="AS38" s="76">
        <f>AQ38/2</f>
        <v>0.412257400770576954</v>
      </c>
      <c r="AT38" s="76">
        <f>((I38+F38+(LOG(G38)*4/3))*0.189)</f>
        <v>1.1987176730098299</v>
      </c>
      <c r="AU38" s="76">
        <f>((I38+F38+(LOG(G38)*4/3))*0.4)</f>
        <v>2.53696862012662994</v>
      </c>
      <c r="AV38" s="76">
        <f>AT38/2</f>
        <v>0.599358836504914905</v>
      </c>
      <c r="AW38" s="76">
        <f>((J38+F38+(LOG(G38)*4/3))*1)</f>
        <v>3.34242155031656996</v>
      </c>
      <c r="AX38" s="76">
        <f>((L38+F38+(LOG(G38)*4/3))*0.253)</f>
        <v>1.60463265223009</v>
      </c>
      <c r="AY38" s="76">
        <f>((M38+F38+(LOG(G38)*4/3))*0.21)+((L38+F38+(LOG(G38)*4/3))*0.341)</f>
        <v>3.07467427422443018</v>
      </c>
      <c r="AZ38" s="76">
        <f>AX38/2</f>
        <v>0.802316326115045086</v>
      </c>
      <c r="BA38" s="76">
        <f>((I38+F38+(LOG(G38)*4/3))*0.291)</f>
        <v>1.8456446711421199</v>
      </c>
      <c r="BB38" s="76">
        <f>((I38+F38+(LOG(G38)*4/3))*0.348)</f>
        <v>2.20716269951017008</v>
      </c>
      <c r="BC38" s="76">
        <f>((J38+F38+(LOG(G38)*4/3))*0.881)</f>
        <v>2.94467338582889973</v>
      </c>
      <c r="BD38" s="76">
        <f>((K38+F38+(LOG(G38)*4/3))*0.574)+((L38+F38+(LOG(G38)*4/3))*0.315)</f>
        <v>3.34241275823143003</v>
      </c>
      <c r="BE38" s="76">
        <f>((L38+F38+(LOG(G38)*4/3))*0.241)</f>
        <v>1.52852359362629002</v>
      </c>
      <c r="BF38" s="76">
        <f>((I38+F38+(LOG(G38)*4/3))*0.485)</f>
        <v>3.07607445190354012</v>
      </c>
      <c r="BG38" s="76">
        <f>((I38+F38+(LOG(G38)*4/3))*0.264)</f>
        <v>1.67439928928356991</v>
      </c>
      <c r="BH38" s="76">
        <f>((J38+F38+(LOG(G38)*4/3))*0.381)</f>
        <v>1.27346261067060995</v>
      </c>
      <c r="BI38" s="76">
        <f>((K38+F38+(LOG(G38)*4/3))*0.673)+((L38+F38+(LOG(G38)*4/3))*0.201)</f>
        <v>2.85127643497667993</v>
      </c>
      <c r="BJ38" s="76">
        <f>((L38+F38+(LOG(G38)*4/3))*0.052)</f>
        <v>0.329805920616462034</v>
      </c>
      <c r="BK38" s="76">
        <f>((I38+F38+(LOG(G38)*4/3))*0.18)</f>
        <v>1.14163587905698005</v>
      </c>
      <c r="BL38" s="76">
        <f>(I38+F38+(LOG(G38)*4/3))*0.068</f>
        <v>0.431284665421526991</v>
      </c>
      <c r="BM38" s="76">
        <f>((J38+F38+(LOG(G38)*4/3))*0.305)</f>
        <v>1.01943857284655004</v>
      </c>
      <c r="BN38" s="76">
        <f>((K38+F38+(LOG(G38)*4/3))*1)+((L38+F38+(LOG(G38)*4/3))*0.286)</f>
        <v>4.15635411370710983</v>
      </c>
      <c r="BO38" s="76">
        <f>((L38+F38+(LOG(G38)*4/3))*0.135)</f>
        <v>0.856226909292736948</v>
      </c>
      <c r="BP38" s="76">
        <f>((I38+F38+(LOG(G38)*4/3))*0.284)</f>
        <v>1.80124772028990989</v>
      </c>
      <c r="BQ38" s="76">
        <f>(I38+F38+(LOG(G38)*4/3))*0.244</f>
        <v>1.54755085827723988</v>
      </c>
      <c r="BR38" s="76">
        <f>((J38+F38+(LOG(G38)*4/3))*0.455)</f>
        <v>1.52080180539403997</v>
      </c>
      <c r="BS38" s="76">
        <f>((K38+F38+(LOG(G38)*4/3))*0.864)+((L38+F38+(LOG(G38)*4/3))*0.244)</f>
        <v>3.57140307775076016</v>
      </c>
      <c r="BT38" s="76">
        <f>((L38+F38+(LOG(G38)*4/3))*0.121)</f>
        <v>0.767433007588305038</v>
      </c>
      <c r="BU38" s="76">
        <f>((I38+F38+(LOG(G38)*4/3))*0.284)</f>
        <v>1.80124772028990989</v>
      </c>
      <c r="BV38" s="76">
        <f>((I38+F38+(LOG(G38)*4/3))*0.244)</f>
        <v>1.54755085827723988</v>
      </c>
      <c r="BW38" s="76">
        <f>((J38+F38+(LOG(G38)*4/3))*0.631)</f>
        <v>2.10906799824976021</v>
      </c>
      <c r="BX38" s="76">
        <f>((K38+F38+(LOG(G38)*4/3))*0.702)+((L38+F38+(LOG(G38)*4/3))*0.193)</f>
        <v>2.86846728753332982</v>
      </c>
      <c r="BY38" s="76">
        <f>((L38+F38+(LOG(G38)*4/3))*0.148)</f>
        <v>0.938678389446853068</v>
      </c>
      <c r="BZ38" s="76">
        <f>((J38+F38+(LOG(G38)*4/3))*0.406)</f>
        <v>1.35702314942853008</v>
      </c>
      <c r="CA38" s="76">
        <f>IF(D38="TEC",((K38+F38+(LOG(G38)*4/3))*0.15)+((L38+F38+(LOG(G38)*4/3))*0.324)+((M38+F38+(LOG(G38)*4/3))*0.127),(((K38+F38+(LOG(G38)*4/3))*0.144)+((L38+F38+(LOG(G38)*4/3))*0.25)+((M38+F38+(LOG(G38)*4/3))*0.127)))</f>
        <v>2.47440162771493011</v>
      </c>
      <c r="CB38" s="76">
        <f>((L38+F38+(LOG(G38)*4/3))*0.543)+((M38+F38+(LOG(G38)*4/3))*0.583)</f>
        <v>5.97556666565646033</v>
      </c>
      <c r="CC38" s="76">
        <f>CA38</f>
        <v>2.47440162771493011</v>
      </c>
      <c r="CD38" s="76">
        <f>((M38+1+(LOG(G38)*4/3))*0.26)+((K38+F38+(LOG(G38)*4/3))*0.221)+((L38+F38+(LOG(G38)*4/3))*0.142)</f>
        <v>2.64690927813966992</v>
      </c>
      <c r="CE38" s="76">
        <f>((M38+F38+(LOG(G38)*4/3))*1)+((L38+F38+(LOG(G38)*4/3))*0.369)</f>
        <v>6.68277510238338035</v>
      </c>
      <c r="CF38" s="76">
        <f>CD38</f>
        <v>2.64690927813966992</v>
      </c>
      <c r="CG38" s="76">
        <f>((J38+F38+(LOG(G38)*4/3))*0.25)</f>
        <v>0.835605387579142977</v>
      </c>
    </row>
    <row r="39" spans="1:85">
      <c r="A39" t="str">
        <f>A5</f>
        <v>E. Toney</v>
      </c>
      <c r="B39">
        <f>B5</f>
        <v>39</v>
      </c>
      <c r="C39" s="54">
        <f>C5</f>
        <v>73</v>
      </c>
      <c r="D39">
        <f>D5</f>
        <v>0</v>
      </c>
      <c r="E39" s="211" t="str">
        <f>E5</f>
        <v>Cantera</v>
      </c>
      <c r="F39" s="157">
        <f>I5</f>
        <v>1.5</v>
      </c>
      <c r="G39" s="158">
        <f>J5</f>
        <v>19.1000000000000014</v>
      </c>
      <c r="H39" s="53">
        <f>K5</f>
        <v>0</v>
      </c>
      <c r="I39" s="53">
        <f>L5</f>
        <v>8.94999999999999929</v>
      </c>
      <c r="J39" s="53">
        <f>M5</f>
        <v>8.94999999999999929</v>
      </c>
      <c r="K39" s="53">
        <f>N5</f>
        <v>4.95000000000000018</v>
      </c>
      <c r="L39" s="53">
        <f>O5</f>
        <v>4.95000000000000018</v>
      </c>
      <c r="M39" s="53">
        <f>P5</f>
        <v>0</v>
      </c>
      <c r="N39" s="53">
        <f>Q5</f>
        <v>15</v>
      </c>
      <c r="O39" s="158">
        <f>((2*(L39+1))+(I39+1))/8</f>
        <v>2.73125000000000018</v>
      </c>
      <c r="P39" s="158">
        <f>1.66*(M39+(LOG(G39)*4/3)+F39)+0.55*(N39+(LOG(G39)*4/3)+F39)-7.6</f>
        <v>7.73977832215660033</v>
      </c>
      <c r="Q39" s="158">
        <f>(0.5*M39+0.3*N39)/10</f>
        <v>0.45</v>
      </c>
      <c r="R39" s="158">
        <f>(0.4*I39+0.3*N39)/10</f>
        <v>0.808000000000000007</v>
      </c>
      <c r="S39" s="158" t="e">
        <f aca="1">IF(TODAY()-E39&gt;335,(N39+1+(LOG(G39)*4/3)),(N39+((TODAY()-E39)^0.5)/(336^0.5)+(LOG(G39)*4/3)))</f>
        <v>#VALUE!</v>
      </c>
      <c r="T39" s="76">
        <f>((H39+F39+(LOG(G39)*4/3))*0.597)+((I39+F39+(LOG(G39)*4/3))*0.276)</f>
        <v>5.27082283947633989</v>
      </c>
      <c r="U39" s="76">
        <f>((H39+F39+(LOG(G39)*4/3))*0.866)+((I39+F39+(LOG(G39)*4/3))*0.425)</f>
        <v>7.94533543615574001</v>
      </c>
      <c r="V39" s="76">
        <f>T39</f>
        <v>5.27082283947633989</v>
      </c>
      <c r="W39" s="76">
        <f>((I39+F39+(LOG(G39)*4/3))*0.516)</f>
        <v>6.27355095666642004</v>
      </c>
      <c r="X39" s="76">
        <f>(I39+F39+(LOG(G39)*4/3))*1</f>
        <v>12.1580444896636006</v>
      </c>
      <c r="Y39" s="76">
        <f>W39/2</f>
        <v>3.13677547833321002</v>
      </c>
      <c r="Z39" s="76">
        <f>(J39+F39+(LOG(G39)*4/3))*0.238</f>
        <v>2.8936145885399398</v>
      </c>
      <c r="AA39" s="76">
        <f>((I39+F39+(LOG(G39)*4/3))*0.378)</f>
        <v>4.59574081709283977</v>
      </c>
      <c r="AB39" s="76">
        <f>(I39+F39+(LOG(G39)*4/3))*0.723</f>
        <v>8.79026616602678068</v>
      </c>
      <c r="AC39" s="76">
        <f>AA39/2</f>
        <v>2.29787040854641988</v>
      </c>
      <c r="AD39" s="76">
        <f>(J39+F39+(LOG(G39)*4/3))*0.385</f>
        <v>4.68084712852049023</v>
      </c>
      <c r="AE39" s="249">
        <f>((I39+F39+(LOG(G39)*4/3))*0.92)</f>
        <v>11.1854009304905002</v>
      </c>
      <c r="AF39" s="76">
        <f>(I39+F39+(LOG(G39)*4/3))*0.414</f>
        <v>5.03343041872073016</v>
      </c>
      <c r="AG39" s="76">
        <f>((J39+F39+(LOG(G39)*4/3))*0.167)</f>
        <v>2.0303934297738202</v>
      </c>
      <c r="AH39" s="249">
        <f>(K39+F39+(LOG(G39)*4/3))*0.588</f>
        <v>4.79693015992222005</v>
      </c>
      <c r="AI39" s="76">
        <f>((I39+F39+(LOG(G39)*4/3))*0.754)</f>
        <v>9.16716554520636073</v>
      </c>
      <c r="AJ39" s="76">
        <f>((I39+F39+(LOG(G39)*4/3))*0.708)</f>
        <v>8.60789549868182924</v>
      </c>
      <c r="AK39" s="76">
        <f>((N39+F39+(LOG(G39)*4/3))*0.167)</f>
        <v>3.04074342977382006</v>
      </c>
      <c r="AL39" s="76">
        <f>((O39+F39+(LOG(G39)*4/3))*0.288)</f>
        <v>1.71051681302313003</v>
      </c>
      <c r="AM39" s="76">
        <f>((I39+F39+(LOG(G39)*4/3))*0.27)</f>
        <v>3.28267201220916993</v>
      </c>
      <c r="AN39" s="76">
        <f>((I39+F39+(LOG(G39)*4/3))*0.594)</f>
        <v>7.22187842686018033</v>
      </c>
      <c r="AO39" s="76">
        <f>AM39/2</f>
        <v>1.64133600610459007</v>
      </c>
      <c r="AP39" s="76">
        <f>((J39+F39+(LOG(G39)*4/3))*0.944)</f>
        <v>11.4771939982424005</v>
      </c>
      <c r="AQ39" s="76">
        <f>((L39+F39+(LOG(G39)*4/3))*0.13)</f>
        <v>1.06054578365626995</v>
      </c>
      <c r="AR39" s="76">
        <f>((M39+F39+(LOG(G39)*4/3))*0.173)+((L39+F39+(LOG(G39)*4/3))*0.12)</f>
        <v>1.53395703547144997</v>
      </c>
      <c r="AS39" s="76">
        <f>AQ39/2</f>
        <v>0.530272891828134973</v>
      </c>
      <c r="AT39" s="76">
        <f>((I39+F39+(LOG(G39)*4/3))*0.189)</f>
        <v>2.29787040854641988</v>
      </c>
      <c r="AU39" s="76">
        <f>((I39+F39+(LOG(G39)*4/3))*0.4)</f>
        <v>4.8632177958654399</v>
      </c>
      <c r="AV39" s="76">
        <f>AT39/2</f>
        <v>1.14893520427320994</v>
      </c>
      <c r="AW39" s="76">
        <f>((J39+F39+(LOG(G39)*4/3))*1)</f>
        <v>12.1580444896636006</v>
      </c>
      <c r="AX39" s="76">
        <f>((L39+F39+(LOG(G39)*4/3))*0.253)</f>
        <v>2.06398525588490012</v>
      </c>
      <c r="AY39" s="76">
        <f>((M39+F39+(LOG(G39)*4/3))*0.21)+((L39+F39+(LOG(G39)*4/3))*0.341)</f>
        <v>3.45558251380465986</v>
      </c>
      <c r="AZ39" s="76">
        <f>AX39/2</f>
        <v>1.03199262794245006</v>
      </c>
      <c r="BA39" s="76">
        <f>((I39+F39+(LOG(G39)*4/3))*0.291)</f>
        <v>3.53799094649211021</v>
      </c>
      <c r="BB39" s="76">
        <f>((I39+F39+(LOG(G39)*4/3))*0.348)</f>
        <v>4.23099948240292978</v>
      </c>
      <c r="BC39" s="76">
        <f>((J39+F39+(LOG(G39)*4/3))*0.881)</f>
        <v>10.7112371953936005</v>
      </c>
      <c r="BD39" s="76">
        <f>((K39+F39+(LOG(G39)*4/3))*0.574)+((L39+F39+(LOG(G39)*4/3))*0.315)</f>
        <v>7.25250155131097962</v>
      </c>
      <c r="BE39" s="76">
        <f>((L39+F39+(LOG(G39)*4/3))*0.241)</f>
        <v>1.96608872200893998</v>
      </c>
      <c r="BF39" s="76">
        <f>((I39+F39+(LOG(G39)*4/3))*0.485)</f>
        <v>5.89665157748684976</v>
      </c>
      <c r="BG39" s="76">
        <f>((I39+F39+(LOG(G39)*4/3))*0.264)</f>
        <v>3.20972374527118998</v>
      </c>
      <c r="BH39" s="76">
        <f>((J39+F39+(LOG(G39)*4/3))*0.381)</f>
        <v>4.63221495056183041</v>
      </c>
      <c r="BI39" s="76">
        <f>((K39+F39+(LOG(G39)*4/3))*0.673)+((L39+F39+(LOG(G39)*4/3))*0.201)</f>
        <v>7.13013088396601979</v>
      </c>
      <c r="BJ39" s="76">
        <f>((L39+F39+(LOG(G39)*4/3))*0.052)</f>
        <v>0.424218313462508956</v>
      </c>
      <c r="BK39" s="76">
        <f>((I39+F39+(LOG(G39)*4/3))*0.18)</f>
        <v>2.18844800813945017</v>
      </c>
      <c r="BL39" s="76">
        <f>(I39+F39+(LOG(G39)*4/3))*0.068</f>
        <v>0.826747025297125049</v>
      </c>
      <c r="BM39" s="76">
        <f>((J39+F39+(LOG(G39)*4/3))*0.305)</f>
        <v>3.70820356934740003</v>
      </c>
      <c r="BN39" s="76">
        <f>((K39+F39+(LOG(G39)*4/3))*1)+((L39+F39+(LOG(G39)*4/3))*0.286)</f>
        <v>10.4912452137073995</v>
      </c>
      <c r="BO39" s="76">
        <f>((L39+F39+(LOG(G39)*4/3))*0.135)</f>
        <v>1.10133600610459004</v>
      </c>
      <c r="BP39" s="76">
        <f>((I39+F39+(LOG(G39)*4/3))*0.284)</f>
        <v>3.45288463506446019</v>
      </c>
      <c r="BQ39" s="76">
        <f>(I39+F39+(LOG(G39)*4/3))*0.244</f>
        <v>2.9665628554779202</v>
      </c>
      <c r="BR39" s="76">
        <f>((J39+F39+(LOG(G39)*4/3))*0.455)</f>
        <v>5.53191024279693977</v>
      </c>
      <c r="BS39" s="76">
        <f>((K39+F39+(LOG(G39)*4/3))*0.864)+((L39+F39+(LOG(G39)*4/3))*0.244)</f>
        <v>9.03911329454732027</v>
      </c>
      <c r="BT39" s="76">
        <f>((L39+F39+(LOG(G39)*4/3))*0.121)</f>
        <v>0.98712338324930009</v>
      </c>
      <c r="BU39" s="76">
        <f>((I39+F39+(LOG(G39)*4/3))*0.284)</f>
        <v>3.45288463506446019</v>
      </c>
      <c r="BV39" s="76">
        <f>((I39+F39+(LOG(G39)*4/3))*0.244)</f>
        <v>2.9665628554779202</v>
      </c>
      <c r="BW39" s="76">
        <f>((J39+F39+(LOG(G39)*4/3))*0.631)</f>
        <v>7.67172607297773013</v>
      </c>
      <c r="BX39" s="76">
        <f>((K39+F39+(LOG(G39)*4/3))*0.702)+((L39+F39+(LOG(G39)*4/3))*0.193)</f>
        <v>7.30144981824896</v>
      </c>
      <c r="BY39" s="76">
        <f>((L39+F39+(LOG(G39)*4/3))*0.148)</f>
        <v>1.20739058447021996</v>
      </c>
      <c r="BZ39" s="76">
        <f>((J39+F39+(LOG(G39)*4/3))*0.406)</f>
        <v>4.9361660628034203</v>
      </c>
      <c r="CA39" s="76">
        <f>IF(D39="TEC",((K39+F39+(LOG(G39)*4/3))*0.15)+((L39+F39+(LOG(G39)*4/3))*0.324)+((M39+F39+(LOG(G39)*4/3))*0.127),(((K39+F39+(LOG(G39)*4/3))*0.144)+((L39+F39+(LOG(G39)*4/3))*0.25)+((M39+F39+(LOG(G39)*4/3))*0.127)))</f>
        <v>3.62169117911474991</v>
      </c>
      <c r="CB39" s="76">
        <f>((L39+F39+(LOG(G39)*4/3))*0.543)+((M39+F39+(LOG(G39)*4/3))*0.583)</f>
        <v>6.30010809536126004</v>
      </c>
      <c r="CC39" s="76">
        <f>CA39</f>
        <v>3.62169117911474991</v>
      </c>
      <c r="CD39" s="76">
        <f>((M39+1+(LOG(G39)*4/3))*0.26)+((K39+F39+(LOG(G39)*4/3))*0.221)+((L39+F39+(LOG(G39)*4/3))*0.142)</f>
        <v>3.66546171706045021</v>
      </c>
      <c r="CE39" s="76">
        <f>((M39+F39+(LOG(G39)*4/3))*1)+((L39+F39+(LOG(G39)*4/3))*0.369)</f>
        <v>6.21836290634951983</v>
      </c>
      <c r="CF39" s="76">
        <f>CD39</f>
        <v>3.66546171706045021</v>
      </c>
      <c r="CG39" s="76">
        <f>((J39+F39+(LOG(G39)*4/3))*0.25)</f>
        <v>3.03951112241590016</v>
      </c>
    </row>
    <row r="40" spans="1:85">
      <c r="A40" t="str">
        <f>A6</f>
        <v>F. Lasprilla</v>
      </c>
      <c r="B40">
        <f>B6</f>
        <v>35</v>
      </c>
      <c r="C40" s="54">
        <f>C6</f>
        <v>81</v>
      </c>
      <c r="D40">
        <f>D6</f>
        <v>0</v>
      </c>
      <c r="E40" s="211" t="str">
        <f>E6</f>
        <v>Cantera</v>
      </c>
      <c r="F40" s="157">
        <f>I6</f>
        <v>1.5</v>
      </c>
      <c r="G40" s="158">
        <f>J6</f>
        <v>7.09999999999999964</v>
      </c>
      <c r="H40" s="53">
        <f>K6</f>
        <v>0</v>
      </c>
      <c r="I40" s="53">
        <f>L6</f>
        <v>8.94999999999999929</v>
      </c>
      <c r="J40" s="53">
        <f>M6</f>
        <v>7.95000000000000018</v>
      </c>
      <c r="K40" s="53">
        <f>N6</f>
        <v>4.95000000000000018</v>
      </c>
      <c r="L40" s="53">
        <f>O6</f>
        <v>7.95000000000000018</v>
      </c>
      <c r="M40" s="53">
        <f>P6</f>
        <v>0.95</v>
      </c>
      <c r="N40" s="53">
        <f>Q6</f>
        <v>14</v>
      </c>
      <c r="O40" s="158">
        <f>((2*(L40+1))+(I40+1))/8</f>
        <v>3.48125000000000018</v>
      </c>
      <c r="P40" s="158">
        <f>1.66*(M40+(LOG(G40)*4/3)+F40)+0.55*(N40+(LOG(G40)*4/3)+F40)-7.6</f>
        <v>7.50037460089219987</v>
      </c>
      <c r="Q40" s="158">
        <f>(0.5*M40+0.3*N40)/10</f>
        <v>0.467500000000000071</v>
      </c>
      <c r="R40" s="158">
        <f>(0.4*I40+0.3*N40)/10</f>
        <v>0.778000000000000025</v>
      </c>
      <c r="S40" s="158" t="e">
        <f aca="1">IF(TODAY()-E40&gt;335,(N40+1+(LOG(G40)*4/3)),(N40+((TODAY()-E40)^0.5)/(336^0.5)+(LOG(G40)*4/3)))</f>
        <v>#VALUE!</v>
      </c>
      <c r="T40" s="76">
        <f>((H40+F40+(LOG(G40)*4/3))*0.597)+((I40+F40+(LOG(G40)*4/3))*0.276)</f>
        <v>4.77056471790899028</v>
      </c>
      <c r="U40" s="76">
        <f>((H40+F40+(LOG(G40)*4/3))*0.866)+((I40+F40+(LOG(G40)*4/3))*0.425)</f>
        <v>7.20554937092841996</v>
      </c>
      <c r="V40" s="76">
        <f>T40</f>
        <v>4.77056471790899028</v>
      </c>
      <c r="W40" s="76">
        <f>((I40+F40+(LOG(G40)*4/3))*0.516)</f>
        <v>5.97786574391871017</v>
      </c>
      <c r="X40" s="76">
        <f>(I40+F40+(LOG(G40)*4/3))*1</f>
        <v>11.5850111316254001</v>
      </c>
      <c r="Y40" s="76">
        <f>W40/2</f>
        <v>2.98893287195935997</v>
      </c>
      <c r="Z40" s="76">
        <f>(J40+F40+(LOG(G40)*4/3))*0.238</f>
        <v>2.5192326493268502</v>
      </c>
      <c r="AA40" s="76">
        <f>((I40+F40+(LOG(G40)*4/3))*0.378)</f>
        <v>4.37913420775439999</v>
      </c>
      <c r="AB40" s="76">
        <f>(I40+F40+(LOG(G40)*4/3))*0.723</f>
        <v>8.37596304816517012</v>
      </c>
      <c r="AC40" s="76">
        <f>AA40/2</f>
        <v>2.18956710387719999</v>
      </c>
      <c r="AD40" s="76">
        <f>(J40+F40+(LOG(G40)*4/3))*0.385</f>
        <v>4.07522928567578013</v>
      </c>
      <c r="AE40" s="249">
        <f>((I40+F40+(LOG(G40)*4/3))*0.92)</f>
        <v>10.6582102410954001</v>
      </c>
      <c r="AF40" s="76">
        <f>(I40+F40+(LOG(G40)*4/3))*0.414</f>
        <v>4.7961946084929199</v>
      </c>
      <c r="AG40" s="76">
        <f>((J40+F40+(LOG(G40)*4/3))*0.167)</f>
        <v>1.76769685898143987</v>
      </c>
      <c r="AH40" s="249">
        <f>(K40+F40+(LOG(G40)*4/3))*0.588</f>
        <v>4.45998654539574968</v>
      </c>
      <c r="AI40" s="76">
        <f>((I40+F40+(LOG(G40)*4/3))*0.754)</f>
        <v>8.7350983932455506</v>
      </c>
      <c r="AJ40" s="76">
        <f>((I40+F40+(LOG(G40)*4/3))*0.708)</f>
        <v>8.20218788119077935</v>
      </c>
      <c r="AK40" s="76">
        <f>((N40+F40+(LOG(G40)*4/3))*0.167)</f>
        <v>2.77804685898143999</v>
      </c>
      <c r="AL40" s="76">
        <f>((O40+F40+(LOG(G40)*4/3))*0.288)</f>
        <v>1.76148320590812002</v>
      </c>
      <c r="AM40" s="76">
        <f>((I40+F40+(LOG(G40)*4/3))*0.27)</f>
        <v>3.1279530055388598</v>
      </c>
      <c r="AN40" s="76">
        <f>((I40+F40+(LOG(G40)*4/3))*0.594)</f>
        <v>6.88149661218549014</v>
      </c>
      <c r="AO40" s="76">
        <f>AM40/2</f>
        <v>1.5639765027694299</v>
      </c>
      <c r="AP40" s="76">
        <f>((J40+F40+(LOG(G40)*4/3))*0.944)</f>
        <v>9.99225050825437933</v>
      </c>
      <c r="AQ40" s="76">
        <f>((L40+F40+(LOG(G40)*4/3))*0.13)</f>
        <v>1.3760514471112999</v>
      </c>
      <c r="AR40" s="76">
        <f>((M40+F40+(LOG(G40)*4/3))*0.173)+((L40+F40+(LOG(G40)*4/3))*0.12)</f>
        <v>1.89040826156625013</v>
      </c>
      <c r="AS40" s="76">
        <f>AQ40/2</f>
        <v>0.688025723555649904</v>
      </c>
      <c r="AT40" s="76">
        <f>((I40+F40+(LOG(G40)*4/3))*0.189)</f>
        <v>2.18956710387719999</v>
      </c>
      <c r="AU40" s="76">
        <f>((I40+F40+(LOG(G40)*4/3))*0.4)</f>
        <v>4.63400445265016003</v>
      </c>
      <c r="AV40" s="76">
        <f>AT40/2</f>
        <v>1.09478355193860001</v>
      </c>
      <c r="AW40" s="76">
        <f>((J40+F40+(LOG(G40)*4/3))*1)</f>
        <v>10.5850111316254001</v>
      </c>
      <c r="AX40" s="76">
        <f>((L40+F40+(LOG(G40)*4/3))*0.253)</f>
        <v>2.67800781630123019</v>
      </c>
      <c r="AY40" s="76">
        <f>((M40+F40+(LOG(G40)*4/3))*0.21)+((L40+F40+(LOG(G40)*4/3))*0.341)</f>
        <v>4.36234113352560016</v>
      </c>
      <c r="AZ40" s="76">
        <f>AX40/2</f>
        <v>1.33900390815061998</v>
      </c>
      <c r="BA40" s="76">
        <f>((I40+F40+(LOG(G40)*4/3))*0.291)</f>
        <v>3.37123823930298983</v>
      </c>
      <c r="BB40" s="76">
        <f>((I40+F40+(LOG(G40)*4/3))*0.348)</f>
        <v>4.03158387380563976</v>
      </c>
      <c r="BC40" s="76">
        <f>((J40+F40+(LOG(G40)*4/3))*0.881)</f>
        <v>9.3253948069619792</v>
      </c>
      <c r="BD40" s="76">
        <f>((K40+F40+(LOG(G40)*4/3))*0.574)+((L40+F40+(LOG(G40)*4/3))*0.315)</f>
        <v>7.68807489601500027</v>
      </c>
      <c r="BE40" s="76">
        <f>((L40+F40+(LOG(G40)*4/3))*0.241)</f>
        <v>2.55098768272172016</v>
      </c>
      <c r="BF40" s="76">
        <f>((I40+F40+(LOG(G40)*4/3))*0.485)</f>
        <v>5.61873039883831993</v>
      </c>
      <c r="BG40" s="76">
        <f>((I40+F40+(LOG(G40)*4/3))*0.264)</f>
        <v>3.05844293874910989</v>
      </c>
      <c r="BH40" s="76">
        <f>((J40+F40+(LOG(G40)*4/3))*0.381)</f>
        <v>4.03288924114928005</v>
      </c>
      <c r="BI40" s="76">
        <f>((K40+F40+(LOG(G40)*4/3))*0.673)+((L40+F40+(LOG(G40)*4/3))*0.201)</f>
        <v>7.2322997290406299</v>
      </c>
      <c r="BJ40" s="76">
        <f>((L40+F40+(LOG(G40)*4/3))*0.052)</f>
        <v>0.550420578844521025</v>
      </c>
      <c r="BK40" s="76">
        <f>((I40+F40+(LOG(G40)*4/3))*0.18)</f>
        <v>2.08530200369256979</v>
      </c>
      <c r="BL40" s="76">
        <f>(I40+F40+(LOG(G40)*4/3))*0.068</f>
        <v>0.787780756950526939</v>
      </c>
      <c r="BM40" s="76">
        <f>((J40+F40+(LOG(G40)*4/3))*0.305)</f>
        <v>3.22842839514574997</v>
      </c>
      <c r="BN40" s="76">
        <f>((K40+F40+(LOG(G40)*4/3))*1)+((L40+F40+(LOG(G40)*4/3))*0.286)</f>
        <v>10.6123243152702997</v>
      </c>
      <c r="BO40" s="76">
        <f>((L40+F40+(LOG(G40)*4/3))*0.135)</f>
        <v>1.42897650276942993</v>
      </c>
      <c r="BP40" s="76">
        <f>((I40+F40+(LOG(G40)*4/3))*0.284)</f>
        <v>3.29014316138160989</v>
      </c>
      <c r="BQ40" s="76">
        <f>(I40+F40+(LOG(G40)*4/3))*0.244</f>
        <v>2.82674271611660011</v>
      </c>
      <c r="BR40" s="76">
        <f>((J40+F40+(LOG(G40)*4/3))*0.455)</f>
        <v>4.81618006488955963</v>
      </c>
      <c r="BS40" s="76">
        <f>((K40+F40+(LOG(G40)*4/3))*0.864)+((L40+F40+(LOG(G40)*4/3))*0.244)</f>
        <v>9.13619233384097029</v>
      </c>
      <c r="BT40" s="76">
        <f>((L40+F40+(LOG(G40)*4/3))*0.121)</f>
        <v>1.28078634692667004</v>
      </c>
      <c r="BU40" s="76">
        <f>((I40+F40+(LOG(G40)*4/3))*0.284)</f>
        <v>3.29014316138160989</v>
      </c>
      <c r="BV40" s="76">
        <f>((I40+F40+(LOG(G40)*4/3))*0.244)</f>
        <v>2.82674271611660011</v>
      </c>
      <c r="BW40" s="76">
        <f>((J40+F40+(LOG(G40)*4/3))*0.631)</f>
        <v>6.67914202405563007</v>
      </c>
      <c r="BX40" s="76">
        <f>((K40+F40+(LOG(G40)*4/3))*0.702)+((L40+F40+(LOG(G40)*4/3))*0.193)</f>
        <v>7.36758496280474962</v>
      </c>
      <c r="BY40" s="76">
        <f>((L40+F40+(LOG(G40)*4/3))*0.148)</f>
        <v>1.56658164748056006</v>
      </c>
      <c r="BZ40" s="76">
        <f>((J40+F40+(LOG(G40)*4/3))*0.406)</f>
        <v>4.29751451943991025</v>
      </c>
      <c r="CA40" s="76">
        <f>IF(D40="TEC",((K40+F40+(LOG(G40)*4/3))*0.15)+((L40+F40+(LOG(G40)*4/3))*0.324)+((M40+F40+(LOG(G40)*4/3))*0.127),(((K40+F40+(LOG(G40)*4/3))*0.144)+((L40+F40+(LOG(G40)*4/3))*0.25)+((M40+F40+(LOG(G40)*4/3))*0.127)))</f>
        <v>4.1937907995768402</v>
      </c>
      <c r="CB40" s="76">
        <f>((L40+F40+(LOG(G40)*4/3))*0.543)+((M40+F40+(LOG(G40)*4/3))*0.583)</f>
        <v>7.83772253421022036</v>
      </c>
      <c r="CC40" s="76">
        <f>CA40</f>
        <v>4.1937907995768402</v>
      </c>
      <c r="CD40" s="76">
        <f>((M40+1+(LOG(G40)*4/3))*0.26)+((K40+F40+(LOG(G40)*4/3))*0.221)+((L40+F40+(LOG(G40)*4/3))*0.142)</f>
        <v>3.98146193500264012</v>
      </c>
      <c r="CE40" s="76">
        <f>((M40+F40+(LOG(G40)*4/3))*1)+((L40+F40+(LOG(G40)*4/3))*0.369)</f>
        <v>7.4908802391952003</v>
      </c>
      <c r="CF40" s="76">
        <f>CD40</f>
        <v>3.98146193500264012</v>
      </c>
      <c r="CG40" s="76">
        <f>((J40+F40+(LOG(G40)*4/3))*0.25)</f>
        <v>2.64625278290635002</v>
      </c>
    </row>
    <row r="41" spans="1:85">
      <c r="A41" t="str">
        <f>A7</f>
        <v>E. Romweber</v>
      </c>
      <c r="B41">
        <f>B7</f>
        <v>39</v>
      </c>
      <c r="C41" s="54">
        <f>C7</f>
        <v>35</v>
      </c>
      <c r="D41" t="str">
        <f>D7</f>
        <v>IMP</v>
      </c>
      <c r="E41" s="211" t="str">
        <f>E7</f>
        <v>Cantera</v>
      </c>
      <c r="F41" s="157">
        <f>I7</f>
        <v>1.5</v>
      </c>
      <c r="G41" s="158">
        <f>J7</f>
        <v>19.1000000000000014</v>
      </c>
      <c r="H41" s="53">
        <f>K7</f>
        <v>0</v>
      </c>
      <c r="I41" s="53">
        <f>L7</f>
        <v>8.94999999999999929</v>
      </c>
      <c r="J41" s="53">
        <f>M7</f>
        <v>8.94999999999999929</v>
      </c>
      <c r="K41" s="53">
        <f>N7</f>
        <v>8.94999999999999929</v>
      </c>
      <c r="L41" s="53">
        <f>O7</f>
        <v>6.95000000000000018</v>
      </c>
      <c r="M41" s="53">
        <f>P7</f>
        <v>0.95</v>
      </c>
      <c r="N41" s="53">
        <f>Q7</f>
        <v>16</v>
      </c>
      <c r="O41" s="158">
        <f>((2*(L41+1))+(I41+1))/8</f>
        <v>3.23125000000000018</v>
      </c>
      <c r="P41" s="158">
        <f>1.66*(M41+(LOG(G41)*4/3)+F41)+0.55*(N41+(LOG(G41)*4/3)+F41)-7.6</f>
        <v>9.86677832215660011</v>
      </c>
      <c r="Q41" s="158">
        <f>(0.5*M41+0.3*N41)/10</f>
        <v>0.527499999999999947</v>
      </c>
      <c r="R41" s="158">
        <f>(0.4*I41+0.3*N41)/10</f>
        <v>0.837999999999999901</v>
      </c>
      <c r="S41" s="158" t="e">
        <f aca="1">IF(TODAY()-E41&gt;335,(N41+1+(LOG(G41)*4/3)),(N41+((TODAY()-E41)^0.5)/(336^0.5)+(LOG(G41)*4/3)))</f>
        <v>#VALUE!</v>
      </c>
      <c r="T41" s="76">
        <f>((H41+F41+(LOG(G41)*4/3))*0.597)+((I41+F41+(LOG(G41)*4/3))*0.276)</f>
        <v>5.27082283947633989</v>
      </c>
      <c r="U41" s="76">
        <f>((H41+F41+(LOG(G41)*4/3))*0.866)+((I41+F41+(LOG(G41)*4/3))*0.425)</f>
        <v>7.94533543615574001</v>
      </c>
      <c r="V41" s="76">
        <f>T41</f>
        <v>5.27082283947633989</v>
      </c>
      <c r="W41" s="76">
        <f>((I41+F41+(LOG(G41)*4/3))*0.516)</f>
        <v>6.27355095666642004</v>
      </c>
      <c r="X41" s="76">
        <f>(I41+F41+(LOG(G41)*4/3))*1</f>
        <v>12.1580444896636006</v>
      </c>
      <c r="Y41" s="76">
        <f>W41/2</f>
        <v>3.13677547833321002</v>
      </c>
      <c r="Z41" s="76">
        <f>(J41+F41+(LOG(G41)*4/3))*0.238</f>
        <v>2.8936145885399398</v>
      </c>
      <c r="AA41" s="76">
        <f>((I41+F41+(LOG(G41)*4/3))*0.378)</f>
        <v>4.59574081709283977</v>
      </c>
      <c r="AB41" s="76">
        <f>(I41+F41+(LOG(G41)*4/3))*0.723</f>
        <v>8.79026616602678068</v>
      </c>
      <c r="AC41" s="76">
        <f>AA41/2</f>
        <v>2.29787040854641988</v>
      </c>
      <c r="AD41" s="76">
        <f>(J41+F41+(LOG(G41)*4/3))*0.385</f>
        <v>4.68084712852049023</v>
      </c>
      <c r="AE41" s="249">
        <f>((I41+F41+(LOG(G41)*4/3))*0.92)</f>
        <v>11.1854009304905002</v>
      </c>
      <c r="AF41" s="76">
        <f>(I41+F41+(LOG(G41)*4/3))*0.414</f>
        <v>5.03343041872073016</v>
      </c>
      <c r="AG41" s="76">
        <f>((J41+F41+(LOG(G41)*4/3))*0.167)</f>
        <v>2.0303934297738202</v>
      </c>
      <c r="AH41" s="249">
        <f>(K41+F41+(LOG(G41)*4/3))*0.588</f>
        <v>7.14893015992219993</v>
      </c>
      <c r="AI41" s="76">
        <f>((I41+F41+(LOG(G41)*4/3))*0.754)</f>
        <v>9.16716554520636073</v>
      </c>
      <c r="AJ41" s="76">
        <f>((I41+F41+(LOG(G41)*4/3))*0.708)</f>
        <v>8.60789549868182924</v>
      </c>
      <c r="AK41" s="76">
        <f>((N41+F41+(LOG(G41)*4/3))*0.167)</f>
        <v>3.20774342977381988</v>
      </c>
      <c r="AL41" s="76">
        <f>((O41+F41+(LOG(G41)*4/3))*0.288)</f>
        <v>1.85451681302312998</v>
      </c>
      <c r="AM41" s="76">
        <f>((I41+F41+(LOG(G41)*4/3))*0.27)</f>
        <v>3.28267201220916993</v>
      </c>
      <c r="AN41" s="76">
        <f>((I41+F41+(LOG(G41)*4/3))*0.594)</f>
        <v>7.22187842686018033</v>
      </c>
      <c r="AO41" s="76">
        <f>AM41/2</f>
        <v>1.64133600610459007</v>
      </c>
      <c r="AP41" s="76">
        <f>((J41+F41+(LOG(G41)*4/3))*0.944)</f>
        <v>11.4771939982424005</v>
      </c>
      <c r="AQ41" s="76">
        <f>((L41+F41+(LOG(G41)*4/3))*0.13)</f>
        <v>1.32054578365626996</v>
      </c>
      <c r="AR41" s="76">
        <f>((M41+F41+(LOG(G41)*4/3))*0.173)+((L41+F41+(LOG(G41)*4/3))*0.12)</f>
        <v>1.93830703547144001</v>
      </c>
      <c r="AS41" s="76">
        <f>AQ41/2</f>
        <v>0.660272891828134956</v>
      </c>
      <c r="AT41" s="76">
        <f>((I41+F41+(LOG(G41)*4/3))*0.189)</f>
        <v>2.29787040854641988</v>
      </c>
      <c r="AU41" s="76">
        <f>((I41+F41+(LOG(G41)*4/3))*0.4)</f>
        <v>4.8632177958654399</v>
      </c>
      <c r="AV41" s="76">
        <f>AT41/2</f>
        <v>1.14893520427320994</v>
      </c>
      <c r="AW41" s="76">
        <f>((J41+F41+(LOG(G41)*4/3))*1)</f>
        <v>12.1580444896636006</v>
      </c>
      <c r="AX41" s="76">
        <f>((L41+F41+(LOG(G41)*4/3))*0.253)</f>
        <v>2.56998525588489013</v>
      </c>
      <c r="AY41" s="76">
        <f>((M41+F41+(LOG(G41)*4/3))*0.21)+((L41+F41+(LOG(G41)*4/3))*0.341)</f>
        <v>4.33708251380465981</v>
      </c>
      <c r="AZ41" s="76">
        <f>AX41/2</f>
        <v>1.28499262794244995</v>
      </c>
      <c r="BA41" s="76">
        <f>((I41+F41+(LOG(G41)*4/3))*0.291)</f>
        <v>3.53799094649211021</v>
      </c>
      <c r="BB41" s="76">
        <f>((I41+F41+(LOG(G41)*4/3))*0.348)</f>
        <v>4.23099948240292978</v>
      </c>
      <c r="BC41" s="76">
        <f>((J41+F41+(LOG(G41)*4/3))*0.881)</f>
        <v>10.7112371953936005</v>
      </c>
      <c r="BD41" s="76">
        <f>((K41+F41+(LOG(G41)*4/3))*0.574)+((L41+F41+(LOG(G41)*4/3))*0.315)</f>
        <v>10.1785015513108998</v>
      </c>
      <c r="BE41" s="76">
        <f>((L41+F41+(LOG(G41)*4/3))*0.241)</f>
        <v>2.4480887220089298</v>
      </c>
      <c r="BF41" s="76">
        <f>((I41+F41+(LOG(G41)*4/3))*0.485)</f>
        <v>5.89665157748684976</v>
      </c>
      <c r="BG41" s="76">
        <f>((I41+F41+(LOG(G41)*4/3))*0.264)</f>
        <v>3.20972374527118998</v>
      </c>
      <c r="BH41" s="76">
        <f>((J41+F41+(LOG(G41)*4/3))*0.381)</f>
        <v>4.63221495056183041</v>
      </c>
      <c r="BI41" s="76">
        <f>((K41+F41+(LOG(G41)*4/3))*0.673)+((L41+F41+(LOG(G41)*4/3))*0.201)</f>
        <v>10.2241308839659997</v>
      </c>
      <c r="BJ41" s="76">
        <f>((L41+F41+(LOG(G41)*4/3))*0.052)</f>
        <v>0.528218313462507005</v>
      </c>
      <c r="BK41" s="76">
        <f>((I41+F41+(LOG(G41)*4/3))*0.18)</f>
        <v>2.18844800813945017</v>
      </c>
      <c r="BL41" s="76">
        <f>(I41+F41+(LOG(G41)*4/3))*0.068</f>
        <v>0.826747025297125049</v>
      </c>
      <c r="BM41" s="76">
        <f>((J41+F41+(LOG(G41)*4/3))*0.305)</f>
        <v>3.70820356934740003</v>
      </c>
      <c r="BN41" s="76">
        <f>((K41+F41+(LOG(G41)*4/3))*1)+((L41+F41+(LOG(G41)*4/3))*0.286)</f>
        <v>15.0632452137074004</v>
      </c>
      <c r="BO41" s="76">
        <f>((L41+F41+(LOG(G41)*4/3))*0.135)</f>
        <v>1.37133600610459006</v>
      </c>
      <c r="BP41" s="76">
        <f>((I41+F41+(LOG(G41)*4/3))*0.284)</f>
        <v>3.45288463506446019</v>
      </c>
      <c r="BQ41" s="76">
        <f>(I41+F41+(LOG(G41)*4/3))*0.244</f>
        <v>2.9665628554779202</v>
      </c>
      <c r="BR41" s="76">
        <f>((J41+F41+(LOG(G41)*4/3))*0.455)</f>
        <v>5.53191024279693977</v>
      </c>
      <c r="BS41" s="76">
        <f>((K41+F41+(LOG(G41)*4/3))*0.864)+((L41+F41+(LOG(G41)*4/3))*0.244)</f>
        <v>12.9831132945472998</v>
      </c>
      <c r="BT41" s="76">
        <f>((L41+F41+(LOG(G41)*4/3))*0.121)</f>
        <v>1.22912338324930004</v>
      </c>
      <c r="BU41" s="76">
        <f>((I41+F41+(LOG(G41)*4/3))*0.284)</f>
        <v>3.45288463506446019</v>
      </c>
      <c r="BV41" s="76">
        <f>((I41+F41+(LOG(G41)*4/3))*0.244)</f>
        <v>2.9665628554779202</v>
      </c>
      <c r="BW41" s="76">
        <f>((J41+F41+(LOG(G41)*4/3))*0.631)</f>
        <v>7.67172607297773013</v>
      </c>
      <c r="BX41" s="76">
        <f>((K41+F41+(LOG(G41)*4/3))*0.702)+((L41+F41+(LOG(G41)*4/3))*0.193)</f>
        <v>10.4954498182489004</v>
      </c>
      <c r="BY41" s="76">
        <f>((L41+F41+(LOG(G41)*4/3))*0.148)</f>
        <v>1.50339058447021001</v>
      </c>
      <c r="BZ41" s="76">
        <f>((J41+F41+(LOG(G41)*4/3))*0.406)</f>
        <v>4.9361660628034203</v>
      </c>
      <c r="CA41" s="76">
        <f>IF(D41="TEC",((K41+F41+(LOG(G41)*4/3))*0.15)+((L41+F41+(LOG(G41)*4/3))*0.324)+((M41+F41+(LOG(G41)*4/3))*0.127),(((K41+F41+(LOG(G41)*4/3))*0.144)+((L41+F41+(LOG(G41)*4/3))*0.25)+((M41+F41+(LOG(G41)*4/3))*0.127)))</f>
        <v>4.81834117911474014</v>
      </c>
      <c r="CB41" s="76">
        <f>((L41+F41+(LOG(G41)*4/3))*0.543)+((M41+F41+(LOG(G41)*4/3))*0.583)</f>
        <v>7.93995809536123964</v>
      </c>
      <c r="CC41" s="76">
        <f>CA41</f>
        <v>4.81834117911474014</v>
      </c>
      <c r="CD41" s="76">
        <f>((M41+1+(LOG(G41)*4/3))*0.26)+((K41+F41+(LOG(G41)*4/3))*0.221)+((L41+F41+(LOG(G41)*4/3))*0.142)</f>
        <v>5.08046171706044003</v>
      </c>
      <c r="CE41" s="76">
        <f>((M41+F41+(LOG(G41)*4/3))*1)+((L41+F41+(LOG(G41)*4/3))*0.369)</f>
        <v>7.90636290634950978</v>
      </c>
      <c r="CF41" s="76">
        <f>CD41</f>
        <v>5.08046171706044003</v>
      </c>
      <c r="CG41" s="76">
        <f>((J41+F41+(LOG(G41)*4/3))*0.25)</f>
        <v>3.03951112241590016</v>
      </c>
    </row>
    <row r="42" spans="1:85">
      <c r="A42" t="str">
        <f>A8</f>
        <v>S. Buschelman</v>
      </c>
      <c r="B42">
        <f>B8</f>
        <v>37</v>
      </c>
      <c r="C42" s="54">
        <f>C8</f>
        <v>106</v>
      </c>
      <c r="D42" t="str">
        <f>D8</f>
        <v>TEC</v>
      </c>
      <c r="E42" s="211" t="str">
        <f>E8</f>
        <v>Cantera</v>
      </c>
      <c r="F42" s="157">
        <f>I8</f>
        <v>1.5</v>
      </c>
      <c r="G42" s="158">
        <f>J8</f>
        <v>15.4000000000000004</v>
      </c>
      <c r="H42" s="53">
        <f>K8</f>
        <v>0</v>
      </c>
      <c r="I42" s="53">
        <f>L8</f>
        <v>7.95000000000000018</v>
      </c>
      <c r="J42" s="53">
        <f>M8</f>
        <v>11.9499999999999993</v>
      </c>
      <c r="K42" s="53">
        <f>N8</f>
        <v>9.94999999999999929</v>
      </c>
      <c r="L42" s="53">
        <f>O8</f>
        <v>6.95000000000000018</v>
      </c>
      <c r="M42" s="53">
        <f>P8</f>
        <v>0.95</v>
      </c>
      <c r="N42" s="53">
        <f>Q8</f>
        <v>16</v>
      </c>
      <c r="O42" s="158">
        <f>((2*(L42+1))+(I42+1))/8</f>
        <v>3.10625000000000018</v>
      </c>
      <c r="P42" s="158">
        <f>1.66*(M42+(LOG(G42)*4/3)+F42)+0.55*(N42+(LOG(G42)*4/3)+F42)-7.6</f>
        <v>9.59122772406479918</v>
      </c>
      <c r="Q42" s="158">
        <f>(0.5*M42+0.3*N42)/10</f>
        <v>0.527499999999999947</v>
      </c>
      <c r="R42" s="158">
        <f>(0.4*I42+0.3*N42)/10</f>
        <v>0.798000000000000043</v>
      </c>
      <c r="S42" s="158" t="e">
        <f aca="1">IF(TODAY()-E42&gt;335,(N42+1+(LOG(G42)*4/3)),(N42+((TODAY()-E42)^0.5)/(336^0.5)+(LOG(G42)*4/3)))</f>
        <v>#VALUE!</v>
      </c>
      <c r="T42" s="76">
        <f>((H42+F42+(LOG(G42)*4/3))*0.597)+((I42+F42+(LOG(G42)*4/3))*0.276)</f>
        <v>4.88597411905363987</v>
      </c>
      <c r="U42" s="76">
        <f>((H42+F42+(LOG(G42)*4/3))*0.866)+((I42+F42+(LOG(G42)*4/3))*0.425)</f>
        <v>7.35936900079982959</v>
      </c>
      <c r="V42" s="76">
        <f>T42</f>
        <v>4.88597411905363987</v>
      </c>
      <c r="W42" s="76">
        <f>((I42+F42+(LOG(G42)*4/3))*0.516)</f>
        <v>5.69321425593549968</v>
      </c>
      <c r="X42" s="76">
        <f>(I42+F42+(LOG(G42)*4/3))*1</f>
        <v>11.0333609611152994</v>
      </c>
      <c r="Y42" s="76">
        <f>W42/2</f>
        <v>2.84660712796774984</v>
      </c>
      <c r="Z42" s="76">
        <f>(J42+F42+(LOG(G42)*4/3))*0.238</f>
        <v>3.57793990874543999</v>
      </c>
      <c r="AA42" s="76">
        <f>((I42+F42+(LOG(G42)*4/3))*0.378)</f>
        <v>4.17061044330158026</v>
      </c>
      <c r="AB42" s="76">
        <f>(I42+F42+(LOG(G42)*4/3))*0.723</f>
        <v>7.97711997488636015</v>
      </c>
      <c r="AC42" s="76">
        <f>AA42/2</f>
        <v>2.08530522165079013</v>
      </c>
      <c r="AD42" s="76">
        <f>(J42+F42+(LOG(G42)*4/3))*0.385</f>
        <v>5.78784397002938977</v>
      </c>
      <c r="AE42" s="249">
        <f>((I42+F42+(LOG(G42)*4/3))*0.92)</f>
        <v>10.1506920842260993</v>
      </c>
      <c r="AF42" s="76">
        <f>(I42+F42+(LOG(G42)*4/3))*0.414</f>
        <v>4.56781143790172983</v>
      </c>
      <c r="AG42" s="76">
        <f>((J42+F42+(LOG(G42)*4/3))*0.167)</f>
        <v>2.51057128050626011</v>
      </c>
      <c r="AH42" s="249">
        <f>(K42+F42+(LOG(G42)*4/3))*0.588</f>
        <v>7.66361624513579986</v>
      </c>
      <c r="AI42" s="76">
        <f>((I42+F42+(LOG(G42)*4/3))*0.754)</f>
        <v>8.31915416468094016</v>
      </c>
      <c r="AJ42" s="76">
        <f>((I42+F42+(LOG(G42)*4/3))*0.708)</f>
        <v>7.81161956046963013</v>
      </c>
      <c r="AK42" s="76">
        <f>((N42+F42+(LOG(G42)*4/3))*0.167)</f>
        <v>3.18692128050625989</v>
      </c>
      <c r="AL42" s="76">
        <f>((O42+F42+(LOG(G42)*4/3))*0.288)</f>
        <v>1.7826079568012001</v>
      </c>
      <c r="AM42" s="76">
        <f>((I42+F42+(LOG(G42)*4/3))*0.27)</f>
        <v>2.97900745950113013</v>
      </c>
      <c r="AN42" s="76">
        <f>((I42+F42+(LOG(G42)*4/3))*0.594)</f>
        <v>6.55381641090249012</v>
      </c>
      <c r="AO42" s="76">
        <f>AM42/2</f>
        <v>1.48950372975057004</v>
      </c>
      <c r="AP42" s="76">
        <f>((J42+F42+(LOG(G42)*4/3))*0.944)</f>
        <v>14.1914927472928003</v>
      </c>
      <c r="AQ42" s="76">
        <f>((L42+F42+(LOG(G42)*4/3))*0.13)</f>
        <v>1.30433692494499009</v>
      </c>
      <c r="AR42" s="76">
        <f>((M42+F42+(LOG(G42)*4/3))*0.173)+((L42+F42+(LOG(G42)*4/3))*0.12)</f>
        <v>1.90177476160677994</v>
      </c>
      <c r="AS42" s="76">
        <f>AQ42/2</f>
        <v>0.652168462472495047</v>
      </c>
      <c r="AT42" s="76">
        <f>((I42+F42+(LOG(G42)*4/3))*0.189)</f>
        <v>2.08530522165079013</v>
      </c>
      <c r="AU42" s="76">
        <f>((I42+F42+(LOG(G42)*4/3))*0.4)</f>
        <v>4.41334438444611976</v>
      </c>
      <c r="AV42" s="76">
        <f>AT42/2</f>
        <v>1.04265261082539995</v>
      </c>
      <c r="AW42" s="76">
        <f>((J42+F42+(LOG(G42)*4/3))*1)</f>
        <v>15.0333609611152994</v>
      </c>
      <c r="AX42" s="76">
        <f>((L42+F42+(LOG(G42)*4/3))*0.253)</f>
        <v>2.53844032316216994</v>
      </c>
      <c r="AY42" s="76">
        <f>((M42+F42+(LOG(G42)*4/3))*0.21)+((L42+F42+(LOG(G42)*4/3))*0.341)</f>
        <v>4.26838188957453024</v>
      </c>
      <c r="AZ42" s="76">
        <f>AX42/2</f>
        <v>1.26922016158109008</v>
      </c>
      <c r="BA42" s="76">
        <f>((I42+F42+(LOG(G42)*4/3))*0.291)</f>
        <v>3.21070803968455021</v>
      </c>
      <c r="BB42" s="76">
        <f>((I42+F42+(LOG(G42)*4/3))*0.348)</f>
        <v>3.83960961446812021</v>
      </c>
      <c r="BC42" s="76">
        <f>((J42+F42+(LOG(G42)*4/3))*0.881)</f>
        <v>13.2443910067425996</v>
      </c>
      <c r="BD42" s="76">
        <f>((K42+F42+(LOG(G42)*4/3))*0.574)+((L42+F42+(LOG(G42)*4/3))*0.315)</f>
        <v>10.6416578944314999</v>
      </c>
      <c r="BE42" s="76">
        <f>((L42+F42+(LOG(G42)*4/3))*0.241)</f>
        <v>2.41803999162879002</v>
      </c>
      <c r="BF42" s="76">
        <f>((I42+F42+(LOG(G42)*4/3))*0.485)</f>
        <v>5.35118006614091968</v>
      </c>
      <c r="BG42" s="76">
        <f>((I42+F42+(LOG(G42)*4/3))*0.264)</f>
        <v>2.9128072937344399</v>
      </c>
      <c r="BH42" s="76">
        <f>((J42+F42+(LOG(G42)*4/3))*0.381)</f>
        <v>5.72771052618493037</v>
      </c>
      <c r="BI42" s="76">
        <f>((K42+F42+(LOG(G42)*4/3))*0.673)+((L42+F42+(LOG(G42)*4/3))*0.201)</f>
        <v>10.7881574800147995</v>
      </c>
      <c r="BJ42" s="76">
        <f>((L42+F42+(LOG(G42)*4/3))*0.052)</f>
        <v>0.521734769977995949</v>
      </c>
      <c r="BK42" s="76">
        <f>((I42+F42+(LOG(G42)*4/3))*0.18)</f>
        <v>1.98600497300074998</v>
      </c>
      <c r="BL42" s="76">
        <f>(I42+F42+(LOG(G42)*4/3))*0.068</f>
        <v>0.750268545355840999</v>
      </c>
      <c r="BM42" s="76">
        <f>((J42+F42+(LOG(G42)*4/3))*0.305)</f>
        <v>4.5851750931401698</v>
      </c>
      <c r="BN42" s="76">
        <f>((K42+F42+(LOG(G42)*4/3))*1)+((L42+F42+(LOG(G42)*4/3))*0.286)</f>
        <v>15.9029021959943009</v>
      </c>
      <c r="BO42" s="76">
        <f>((L42+F42+(LOG(G42)*4/3))*0.135)</f>
        <v>1.35450372975056998</v>
      </c>
      <c r="BP42" s="76">
        <f>((I42+F42+(LOG(G42)*4/3))*0.284)</f>
        <v>3.13347451295675006</v>
      </c>
      <c r="BQ42" s="76">
        <f>(I42+F42+(LOG(G42)*4/3))*0.244</f>
        <v>2.69214007451213</v>
      </c>
      <c r="BR42" s="76">
        <f>((J42+F42+(LOG(G42)*4/3))*0.455)</f>
        <v>6.84017923730745991</v>
      </c>
      <c r="BS42" s="76">
        <f>((K42+F42+(LOG(G42)*4/3))*0.864)+((L42+F42+(LOG(G42)*4/3))*0.244)</f>
        <v>13.7089639449157001</v>
      </c>
      <c r="BT42" s="76">
        <f>((L42+F42+(LOG(G42)*4/3))*0.121)</f>
        <v>1.21403667629494993</v>
      </c>
      <c r="BU42" s="76">
        <f>((I42+F42+(LOG(G42)*4/3))*0.284)</f>
        <v>3.13347451295675006</v>
      </c>
      <c r="BV42" s="76">
        <f>((I42+F42+(LOG(G42)*4/3))*0.244)</f>
        <v>2.69214007451213</v>
      </c>
      <c r="BW42" s="76">
        <f>((J42+F42+(LOG(G42)*4/3))*0.631)</f>
        <v>9.48605076646376055</v>
      </c>
      <c r="BX42" s="76">
        <f>((K42+F42+(LOG(G42)*4/3))*0.702)+((L42+F42+(LOG(G42)*4/3))*0.193)</f>
        <v>11.0858580601982002</v>
      </c>
      <c r="BY42" s="76">
        <f>((L42+F42+(LOG(G42)*4/3))*0.148)</f>
        <v>1.48493742224505993</v>
      </c>
      <c r="BZ42" s="76">
        <f>((J42+F42+(LOG(G42)*4/3))*0.406)</f>
        <v>6.10354455021280984</v>
      </c>
      <c r="CA42" s="76">
        <f>IF(D42="TEC",((K42+F42+(LOG(G42)*4/3))*0.15)+((L42+F42+(LOG(G42)*4/3))*0.324)+((M42+F42+(LOG(G42)*4/3))*0.127),(((K42+F42+(LOG(G42)*4/3))*0.144)+((L42+F42+(LOG(G42)*4/3))*0.25)+((M42+F42+(LOG(G42)*4/3))*0.127)))</f>
        <v>5.71804993763028957</v>
      </c>
      <c r="CB42" s="76">
        <f>((L42+F42+(LOG(G42)*4/3))*0.543)+((M42+F42+(LOG(G42)*4/3))*0.583)</f>
        <v>7.79956444221581968</v>
      </c>
      <c r="CC42" s="76">
        <f>CA42</f>
        <v>5.71804993763028957</v>
      </c>
      <c r="CD42" s="76">
        <f>((M42+1+(LOG(G42)*4/3))*0.26)+((K42+F42+(LOG(G42)*4/3))*0.221)+((L42+F42+(LOG(G42)*4/3))*0.142)</f>
        <v>5.22378387877482009</v>
      </c>
      <c r="CE42" s="76">
        <f>((M42+F42+(LOG(G42)*4/3))*1)+((L42+F42+(LOG(G42)*4/3))*0.369)</f>
        <v>7.73567115576682962</v>
      </c>
      <c r="CF42" s="76">
        <f>CD42</f>
        <v>5.22378387877482009</v>
      </c>
      <c r="CG42" s="76">
        <f>((J42+F42+(LOG(G42)*4/3))*0.25)</f>
        <v>3.75834024027883018</v>
      </c>
    </row>
    <row r="43" spans="1:85">
      <c r="A43" t="str">
        <f>A9</f>
        <v>L. Tutorić</v>
      </c>
      <c r="B43">
        <f>B9</f>
        <v>29</v>
      </c>
      <c r="C43" s="54">
        <f>C9</f>
        <v>16</v>
      </c>
      <c r="D43" t="str">
        <f>D9</f>
        <v>CAB</v>
      </c>
      <c r="E43" s="211">
        <f>E9</f>
        <v>43982</v>
      </c>
      <c r="F43" s="157">
        <f>I9</f>
        <v>0.310366521471105994</v>
      </c>
      <c r="G43" s="158">
        <f>J9</f>
        <v>5.79999999999999982</v>
      </c>
      <c r="H43" s="53">
        <f>K9</f>
        <v>0</v>
      </c>
      <c r="I43" s="53">
        <f>L9</f>
        <v>13</v>
      </c>
      <c r="J43" s="53">
        <f>M9</f>
        <v>6</v>
      </c>
      <c r="K43" s="53">
        <f>N9</f>
        <v>2</v>
      </c>
      <c r="L43" s="53">
        <f>O9</f>
        <v>1</v>
      </c>
      <c r="M43" s="53">
        <f>P9</f>
        <v>7</v>
      </c>
      <c r="N43" s="53">
        <f>Q9</f>
        <v>15.3333333333333002</v>
      </c>
      <c r="O43" s="158">
        <f>((2*(L43+1))+(I43+1))/8</f>
        <v>2.25</v>
      </c>
      <c r="P43" s="158">
        <f>1.66*(M43+(LOG(G43)*4/3)+F43)+0.55*(N43+(LOG(G43)*4/3)+F43)-7.6</f>
        <v>15.3888111668166001</v>
      </c>
      <c r="Q43" s="158">
        <f>(0.5*M43+0.3*N43)/10</f>
        <v>0.809999999999999076</v>
      </c>
      <c r="R43" s="158">
        <f>(0.4*I43+0.3*N43)/10</f>
        <v>0.979999999999999005</v>
      </c>
      <c r="S43" s="158">
        <f aca="1">IF(TODAY()-E43&gt;335,(N43+1+(LOG(G43)*4/3)),(N43+((TODAY()-E43)^0.5)/(336^0.5)+(LOG(G43)*4/3)))</f>
        <v>16.7521291876192002</v>
      </c>
      <c r="T43" s="76">
        <f>((H43+F43+(LOG(G43)*4/3))*0.597)+((I43+F43+(LOG(G43)*4/3))*0.276)</f>
        <v>4.74758015775154973</v>
      </c>
      <c r="U43" s="76">
        <f>((H43+F43+(LOG(G43)*4/3))*0.866)+((I43+F43+(LOG(G43)*4/3))*0.425)</f>
        <v>7.2397972321388897</v>
      </c>
      <c r="V43" s="76">
        <f>T43</f>
        <v>4.74758015775154973</v>
      </c>
      <c r="W43" s="76">
        <f>((I43+F43+(LOG(G43)*4/3))*0.516)</f>
        <v>7.39338758465042023</v>
      </c>
      <c r="X43" s="76">
        <f>(I43+F43+(LOG(G43)*4/3))*1</f>
        <v>14.3282705128884</v>
      </c>
      <c r="Y43" s="76">
        <f>W43/2</f>
        <v>3.69669379232521012</v>
      </c>
      <c r="Z43" s="76">
        <f>(J43+F43+(LOG(G43)*4/3))*0.238</f>
        <v>1.74412838206743004</v>
      </c>
      <c r="AA43" s="76">
        <f>((I43+F43+(LOG(G43)*4/3))*0.378)</f>
        <v>5.41608625387182041</v>
      </c>
      <c r="AB43" s="76">
        <f>(I43+F43+(LOG(G43)*4/3))*0.723</f>
        <v>10.3593395808183004</v>
      </c>
      <c r="AC43" s="76">
        <f>AA43/2</f>
        <v>2.70804312693591021</v>
      </c>
      <c r="AD43" s="76">
        <f>(J43+F43+(LOG(G43)*4/3))*0.385</f>
        <v>2.82138414746201995</v>
      </c>
      <c r="AE43" s="249">
        <f>((I43+F43+(LOG(G43)*4/3))*0.92)</f>
        <v>13.1820088718573007</v>
      </c>
      <c r="AF43" s="76">
        <f>(I43+F43+(LOG(G43)*4/3))*0.414</f>
        <v>5.93190399233580035</v>
      </c>
      <c r="AG43" s="76">
        <f>((J43+F43+(LOG(G43)*4/3))*0.167)</f>
        <v>1.22382117565236004</v>
      </c>
      <c r="AH43" s="249">
        <f>(K43+F43+(LOG(G43)*4/3))*0.588</f>
        <v>1.95702306157835988</v>
      </c>
      <c r="AI43" s="76">
        <f>((I43+F43+(LOG(G43)*4/3))*0.754)</f>
        <v>10.8035159667178995</v>
      </c>
      <c r="AJ43" s="76">
        <f>((I43+F43+(LOG(G43)*4/3))*0.708)</f>
        <v>10.1444155231249997</v>
      </c>
      <c r="AK43" s="76">
        <f>((N43+F43+(LOG(G43)*4/3))*0.167)</f>
        <v>2.78248784231902002</v>
      </c>
      <c r="AL43" s="76">
        <f>((O43+F43+(LOG(G43)*4/3))*0.288)</f>
        <v>1.03054190771185006</v>
      </c>
      <c r="AM43" s="76">
        <f>((I43+F43+(LOG(G43)*4/3))*0.27)</f>
        <v>3.86863303847986995</v>
      </c>
      <c r="AN43" s="76">
        <f>((I43+F43+(LOG(G43)*4/3))*0.594)</f>
        <v>8.51099268465570979</v>
      </c>
      <c r="AO43" s="76">
        <f>AM43/2</f>
        <v>1.93431651923994004</v>
      </c>
      <c r="AP43" s="76">
        <f>((J43+F43+(LOG(G43)*4/3))*0.944)</f>
        <v>6.9178873641666101</v>
      </c>
      <c r="AQ43" s="76">
        <f>((L43+F43+(LOG(G43)*4/3))*0.13)</f>
        <v>0.302675166675486995</v>
      </c>
      <c r="AR43" s="76">
        <f>((M43+F43+(LOG(G43)*4/3))*0.173)+((L43+F43+(LOG(G43)*4/3))*0.12)</f>
        <v>1.72018326027629005</v>
      </c>
      <c r="AS43" s="76">
        <f>AQ43/2</f>
        <v>0.151337583337743986</v>
      </c>
      <c r="AT43" s="76">
        <f>((I43+F43+(LOG(G43)*4/3))*0.189)</f>
        <v>2.70804312693591021</v>
      </c>
      <c r="AU43" s="76">
        <f>((I43+F43+(LOG(G43)*4/3))*0.4)</f>
        <v>5.73130820515535966</v>
      </c>
      <c r="AV43" s="76">
        <f>AT43/2</f>
        <v>1.35402156346795999</v>
      </c>
      <c r="AW43" s="76">
        <f>((J43+F43+(LOG(G43)*4/3))*1)</f>
        <v>7.32827051288836007</v>
      </c>
      <c r="AX43" s="76">
        <f>((L43+F43+(LOG(G43)*4/3))*0.253)</f>
        <v>0.589052439760755053</v>
      </c>
      <c r="AY43" s="76">
        <f>((M43+F43+(LOG(G43)*4/3))*0.21)+((L43+F43+(LOG(G43)*4/3))*0.341)</f>
        <v>2.54287705260149011</v>
      </c>
      <c r="AZ43" s="76">
        <f>AX43/2</f>
        <v>0.294526219880378015</v>
      </c>
      <c r="BA43" s="76">
        <f>((I43+F43+(LOG(G43)*4/3))*0.291)</f>
        <v>4.16952671925052964</v>
      </c>
      <c r="BB43" s="76">
        <f>((I43+F43+(LOG(G43)*4/3))*0.348)</f>
        <v>4.9862381384851604</v>
      </c>
      <c r="BC43" s="76">
        <f>((J43+F43+(LOG(G43)*4/3))*0.881)</f>
        <v>6.45620632185465038</v>
      </c>
      <c r="BD43" s="76">
        <f>((K43+F43+(LOG(G43)*4/3))*0.574)+((L43+F43+(LOG(G43)*4/3))*0.315)</f>
        <v>2.64383248595774978</v>
      </c>
      <c r="BE43" s="76">
        <f>((L43+F43+(LOG(G43)*4/3))*0.241)</f>
        <v>0.561113193606094995</v>
      </c>
      <c r="BF43" s="76">
        <f>((I43+F43+(LOG(G43)*4/3))*0.485)</f>
        <v>6.94921119875087001</v>
      </c>
      <c r="BG43" s="76">
        <f>((I43+F43+(LOG(G43)*4/3))*0.264)</f>
        <v>3.78266341540253981</v>
      </c>
      <c r="BH43" s="76">
        <f>((J43+F43+(LOG(G43)*4/3))*0.381)</f>
        <v>2.7920710654104699</v>
      </c>
      <c r="BI43" s="76">
        <f>((K43+F43+(LOG(G43)*4/3))*0.673)+((L43+F43+(LOG(G43)*4/3))*0.201)</f>
        <v>2.7079084282644299</v>
      </c>
      <c r="BJ43" s="76">
        <f>((L43+F43+(LOG(G43)*4/3))*0.052)</f>
        <v>0.121070066670194998</v>
      </c>
      <c r="BK43" s="76">
        <f>((I43+F43+(LOG(G43)*4/3))*0.18)</f>
        <v>2.57908869231990989</v>
      </c>
      <c r="BL43" s="76">
        <f>(I43+F43+(LOG(G43)*4/3))*0.068</f>
        <v>0.974322394876411124</v>
      </c>
      <c r="BM43" s="76">
        <f>((J43+F43+(LOG(G43)*4/3))*0.305)</f>
        <v>2.23512250643095012</v>
      </c>
      <c r="BN43" s="76">
        <f>((K43+F43+(LOG(G43)*4/3))*1)+((L43+F43+(LOG(G43)*4/3))*0.286)</f>
        <v>3.99415587957442995</v>
      </c>
      <c r="BO43" s="76">
        <f>((L43+F43+(LOG(G43)*4/3))*0.135)</f>
        <v>0.314316519239929004</v>
      </c>
      <c r="BP43" s="76">
        <f>((I43+F43+(LOG(G43)*4/3))*0.284)</f>
        <v>4.06922882566030975</v>
      </c>
      <c r="BQ43" s="76">
        <f>(I43+F43+(LOG(G43)*4/3))*0.244</f>
        <v>3.49609800514476987</v>
      </c>
      <c r="BR43" s="76">
        <f>((J43+F43+(LOG(G43)*4/3))*0.455)</f>
        <v>3.33436308336420018</v>
      </c>
      <c r="BS43" s="76">
        <f>((K43+F43+(LOG(G43)*4/3))*0.864)+((L43+F43+(LOG(G43)*4/3))*0.244)</f>
        <v>3.44372372828029993</v>
      </c>
      <c r="BT43" s="76">
        <f>((L43+F43+(LOG(G43)*4/3))*0.121)</f>
        <v>0.281720732059492018</v>
      </c>
      <c r="BU43" s="76">
        <f>((I43+F43+(LOG(G43)*4/3))*0.284)</f>
        <v>4.06922882566030975</v>
      </c>
      <c r="BV43" s="76">
        <f>((I43+F43+(LOG(G43)*4/3))*0.244)</f>
        <v>3.49609800514476987</v>
      </c>
      <c r="BW43" s="76">
        <f>((J43+F43+(LOG(G43)*4/3))*0.631)</f>
        <v>4.62413869363255969</v>
      </c>
      <c r="BX43" s="76">
        <f>((K43+F43+(LOG(G43)*4/3))*0.702)+((L43+F43+(LOG(G43)*4/3))*0.193)</f>
        <v>2.78580210903507997</v>
      </c>
      <c r="BY43" s="76">
        <f>((L43+F43+(LOG(G43)*4/3))*0.148)</f>
        <v>0.344584035907476993</v>
      </c>
      <c r="BZ43" s="76">
        <f>((J43+F43+(LOG(G43)*4/3))*0.406)</f>
        <v>2.97527782823267017</v>
      </c>
      <c r="CA43" s="76">
        <f>IF(D43="TEC",((K43+F43+(LOG(G43)*4/3))*0.15)+((L43+F43+(LOG(G43)*4/3))*0.324)+((M43+F43+(LOG(G43)*4/3))*0.127),(((K43+F43+(LOG(G43)*4/3))*0.144)+((L43+F43+(LOG(G43)*4/3))*0.25)+((M43+F43+(LOG(G43)*4/3))*0.127)))</f>
        <v>2.11902893721482988</v>
      </c>
      <c r="CB43" s="76">
        <f>((L43+F43+(LOG(G43)*4/3))*0.543)+((M43+F43+(LOG(G43)*4/3))*0.583)</f>
        <v>6.11963259751228961</v>
      </c>
      <c r="CC43" s="76">
        <f>CA43</f>
        <v>2.11902893721482988</v>
      </c>
      <c r="CD43" s="76">
        <f>((M43+1+(LOG(G43)*4/3))*0.26)+((K43+F43+(LOG(G43)*4/3))*0.221)+((L43+F43+(LOG(G43)*4/3))*0.142)</f>
        <v>3.41081723394697001</v>
      </c>
      <c r="CE43" s="76">
        <f>((M43+F43+(LOG(G43)*4/3))*1)+((L43+F43+(LOG(G43)*4/3))*0.369)</f>
        <v>9.18740233214417046</v>
      </c>
      <c r="CF43" s="76">
        <f>CD43</f>
        <v>3.41081723394697001</v>
      </c>
      <c r="CG43" s="76">
        <f>((J43+F43+(LOG(G43)*4/3))*0.25)</f>
        <v>1.83206762822208997</v>
      </c>
    </row>
    <row r="44" spans="1:85">
      <c r="A44" t="str">
        <f>A10</f>
        <v>S. Swärdborn</v>
      </c>
      <c r="B44">
        <f>B10</f>
        <v>22</v>
      </c>
      <c r="C44" s="54">
        <f>C10</f>
        <v>18</v>
      </c>
      <c r="D44" t="str">
        <f>D10</f>
        <v>IMP</v>
      </c>
      <c r="E44" s="211">
        <f>E10</f>
        <v>43884</v>
      </c>
      <c r="F44" s="157">
        <f>I10</f>
        <v>0.601897803907800988</v>
      </c>
      <c r="G44" s="158">
        <f>J10</f>
        <v>4.70000000000000018</v>
      </c>
      <c r="H44" s="53">
        <f>K10</f>
        <v>0</v>
      </c>
      <c r="I44" s="53">
        <f>L10</f>
        <v>12</v>
      </c>
      <c r="J44" s="53">
        <f>M10</f>
        <v>7</v>
      </c>
      <c r="K44" s="53">
        <f>N10</f>
        <v>1</v>
      </c>
      <c r="L44" s="53">
        <f>O10</f>
        <v>3</v>
      </c>
      <c r="M44" s="53">
        <f>P10</f>
        <v>6</v>
      </c>
      <c r="N44" s="53">
        <f>Q10</f>
        <v>15.3333333333333002</v>
      </c>
      <c r="O44" s="158">
        <f>((2*(L44+1))+(I44+1))/8</f>
        <v>2.625</v>
      </c>
      <c r="P44" s="158">
        <f>1.66*(M44+(LOG(G44)*4/3)+F44)+0.55*(N44+(LOG(G44)*4/3)+F44)-7.6</f>
        <v>14.1039758346867998</v>
      </c>
      <c r="Q44" s="158">
        <f>(0.5*M44+0.3*N44)/10</f>
        <v>0.759999999999998987</v>
      </c>
      <c r="R44" s="158">
        <f>(0.4*I44+0.3*N44)/10</f>
        <v>0.93999999999999897</v>
      </c>
      <c r="S44" s="158">
        <f aca="1">IF(TODAY()-E44&gt;335,(N44+1+(LOG(G44)*4/3)),(N44+((TODAY()-E44)^0.5)/(336^0.5)+(LOG(G44)*4/3)))</f>
        <v>16.9020565197155008</v>
      </c>
      <c r="T44" s="76">
        <f>((H44+F44+(LOG(G44)*4/3))*0.597)+((I44+F44+(LOG(G44)*4/3))*0.276)</f>
        <v>4.61977868944867964</v>
      </c>
      <c r="U44" s="76">
        <f>((H44+F44+(LOG(G44)*4/3))*0.866)+((I44+F44+(LOG(G44)*4/3))*0.425)</f>
        <v>7.03395451097165036</v>
      </c>
      <c r="V44" s="76">
        <f>T44</f>
        <v>4.61977868944867964</v>
      </c>
      <c r="W44" s="76">
        <f>((I44+F44+(LOG(G44)*4/3))*0.516)</f>
        <v>6.96498259307618994</v>
      </c>
      <c r="X44" s="76">
        <f>(I44+F44+(LOG(G44)*4/3))*1</f>
        <v>13.4980282811554009</v>
      </c>
      <c r="Y44" s="76">
        <f>W44/2</f>
        <v>3.48249129653809986</v>
      </c>
      <c r="Z44" s="76">
        <f>(J44+F44+(LOG(G44)*4/3))*0.238</f>
        <v>2.02253073091499003</v>
      </c>
      <c r="AA44" s="76">
        <f>((I44+F44+(LOG(G44)*4/3))*0.378)</f>
        <v>5.10225469027674006</v>
      </c>
      <c r="AB44" s="76">
        <f>(I44+F44+(LOG(G44)*4/3))*0.723</f>
        <v>9.75907444727535989</v>
      </c>
      <c r="AC44" s="76">
        <f>AA44/2</f>
        <v>2.55112734513837003</v>
      </c>
      <c r="AD44" s="76">
        <f>(J44+F44+(LOG(G44)*4/3))*0.385</f>
        <v>3.27174088824484022</v>
      </c>
      <c r="AE44" s="249">
        <f>((I44+F44+(LOG(G44)*4/3))*0.92)</f>
        <v>12.4181860186630004</v>
      </c>
      <c r="AF44" s="76">
        <f>(I44+F44+(LOG(G44)*4/3))*0.414</f>
        <v>5.58818370839833989</v>
      </c>
      <c r="AG44" s="76">
        <f>((J44+F44+(LOG(G44)*4/3))*0.167)</f>
        <v>1.41917072295295998</v>
      </c>
      <c r="AH44" s="249">
        <f>(K44+F44+(LOG(G44)*4/3))*0.588</f>
        <v>1.46884062931939008</v>
      </c>
      <c r="AI44" s="76">
        <f>((I44+F44+(LOG(G44)*4/3))*0.754)</f>
        <v>10.1775133239911995</v>
      </c>
      <c r="AJ44" s="76">
        <f>((I44+F44+(LOG(G44)*4/3))*0.708)</f>
        <v>9.55660402305801959</v>
      </c>
      <c r="AK44" s="76">
        <f>((N44+F44+(LOG(G44)*4/3))*0.167)</f>
        <v>2.81083738961961025</v>
      </c>
      <c r="AL44" s="76">
        <f>((O44+F44+(LOG(G44)*4/3))*0.288)</f>
        <v>1.18743214497276007</v>
      </c>
      <c r="AM44" s="76">
        <f>((I44+F44+(LOG(G44)*4/3))*0.27)</f>
        <v>3.6444676359119601</v>
      </c>
      <c r="AN44" s="76">
        <f>((I44+F44+(LOG(G44)*4/3))*0.594)</f>
        <v>8.01782879900630974</v>
      </c>
      <c r="AO44" s="76">
        <f>AM44/2</f>
        <v>1.82223381795598005</v>
      </c>
      <c r="AP44" s="76">
        <f>((J44+F44+(LOG(G44)*4/3))*0.944)</f>
        <v>8.02213869741073005</v>
      </c>
      <c r="AQ44" s="76">
        <f>((L44+F44+(LOG(G44)*4/3))*0.13)</f>
        <v>0.584743676550204938</v>
      </c>
      <c r="AR44" s="76">
        <f>((M44+F44+(LOG(G44)*4/3))*0.173)+((L44+F44+(LOG(G44)*4/3))*0.12)</f>
        <v>1.83692228637853994</v>
      </c>
      <c r="AS44" s="76">
        <f>AQ44/2</f>
        <v>0.292371838275103002</v>
      </c>
      <c r="AT44" s="76">
        <f>((I44+F44+(LOG(G44)*4/3))*0.189)</f>
        <v>2.55112734513837003</v>
      </c>
      <c r="AU44" s="76">
        <f>((I44+F44+(LOG(G44)*4/3))*0.4)</f>
        <v>5.39921131246216035</v>
      </c>
      <c r="AV44" s="76">
        <f>AT44/2</f>
        <v>1.2755636725691899</v>
      </c>
      <c r="AW44" s="76">
        <f>((J44+F44+(LOG(G44)*4/3))*1)</f>
        <v>8.4980282811554293</v>
      </c>
      <c r="AX44" s="76">
        <f>((L44+F44+(LOG(G44)*4/3))*0.253)</f>
        <v>1.13800115513231992</v>
      </c>
      <c r="AY44" s="76">
        <f>((M44+F44+(LOG(G44)*4/3))*0.21)+((L44+F44+(LOG(G44)*4/3))*0.341)</f>
        <v>3.10841358291663994</v>
      </c>
      <c r="AZ44" s="76">
        <f>AX44/2</f>
        <v>0.569000577566160004</v>
      </c>
      <c r="BA44" s="76">
        <f>((I44+F44+(LOG(G44)*4/3))*0.291)</f>
        <v>3.92792622981622017</v>
      </c>
      <c r="BB44" s="76">
        <f>((I44+F44+(LOG(G44)*4/3))*0.348)</f>
        <v>4.6973138418420799</v>
      </c>
      <c r="BC44" s="76">
        <f>((J44+F44+(LOG(G44)*4/3))*0.881)</f>
        <v>7.48676291569792962</v>
      </c>
      <c r="BD44" s="76">
        <f>((K44+F44+(LOG(G44)*4/3))*0.574)+((L44+F44+(LOG(G44)*4/3))*0.315)</f>
        <v>2.85074714194717025</v>
      </c>
      <c r="BE44" s="76">
        <f>((L44+F44+(LOG(G44)*4/3))*0.241)</f>
        <v>1.08402481575846</v>
      </c>
      <c r="BF44" s="76">
        <f>((I44+F44+(LOG(G44)*4/3))*0.485)</f>
        <v>6.54654371636036991</v>
      </c>
      <c r="BG44" s="76">
        <f>((I44+F44+(LOG(G44)*4/3))*0.264)</f>
        <v>3.5634794662250302</v>
      </c>
      <c r="BH44" s="76">
        <f>((J44+F44+(LOG(G44)*4/3))*0.381)</f>
        <v>3.23774877512021986</v>
      </c>
      <c r="BI44" s="76">
        <f>((K44+F44+(LOG(G44)*4/3))*0.673)+((L44+F44+(LOG(G44)*4/3))*0.201)</f>
        <v>2.58527671772983991</v>
      </c>
      <c r="BJ44" s="76">
        <f>((L44+F44+(LOG(G44)*4/3))*0.052)</f>
        <v>0.233897470620081993</v>
      </c>
      <c r="BK44" s="76">
        <f>((I44+F44+(LOG(G44)*4/3))*0.18)</f>
        <v>2.42964509060796985</v>
      </c>
      <c r="BL44" s="76">
        <f>(I44+F44+(LOG(G44)*4/3))*0.068</f>
        <v>0.91786592311856694</v>
      </c>
      <c r="BM44" s="76">
        <f>((J44+F44+(LOG(G44)*4/3))*0.305)</f>
        <v>2.59189862575240992</v>
      </c>
      <c r="BN44" s="76">
        <f>((K44+F44+(LOG(G44)*4/3))*1)+((L44+F44+(LOG(G44)*4/3))*0.286)</f>
        <v>3.78446436956587018</v>
      </c>
      <c r="BO44" s="76">
        <f>((L44+F44+(LOG(G44)*4/3))*0.135)</f>
        <v>0.607233817955981969</v>
      </c>
      <c r="BP44" s="76">
        <f>((I44+F44+(LOG(G44)*4/3))*0.284)</f>
        <v>3.83344003184812987</v>
      </c>
      <c r="BQ44" s="76">
        <f>(I44+F44+(LOG(G44)*4/3))*0.244</f>
        <v>3.29351890060191987</v>
      </c>
      <c r="BR44" s="76">
        <f>((J44+F44+(LOG(G44)*4/3))*0.455)</f>
        <v>3.86660286792572006</v>
      </c>
      <c r="BS44" s="76">
        <f>((K44+F44+(LOG(G44)*4/3))*0.864)+((L44+F44+(LOG(G44)*4/3))*0.244)</f>
        <v>3.25581533552020019</v>
      </c>
      <c r="BT44" s="76">
        <f>((L44+F44+(LOG(G44)*4/3))*0.121)</f>
        <v>0.544261422019805963</v>
      </c>
      <c r="BU44" s="76">
        <f>((I44+F44+(LOG(G44)*4/3))*0.284)</f>
        <v>3.83344003184812987</v>
      </c>
      <c r="BV44" s="76">
        <f>((I44+F44+(LOG(G44)*4/3))*0.244)</f>
        <v>3.29351890060191987</v>
      </c>
      <c r="BW44" s="76">
        <f>((J44+F44+(LOG(G44)*4/3))*0.631)</f>
        <v>5.36225584540907985</v>
      </c>
      <c r="BX44" s="76">
        <f>((K44+F44+(LOG(G44)*4/3))*0.702)+((L44+F44+(LOG(G44)*4/3))*0.193)</f>
        <v>2.62173531163411022</v>
      </c>
      <c r="BY44" s="76">
        <f>((L44+F44+(LOG(G44)*4/3))*0.148)</f>
        <v>0.665708185611002001</v>
      </c>
      <c r="BZ44" s="76">
        <f>((J44+F44+(LOG(G44)*4/3))*0.406)</f>
        <v>3.45019948214910999</v>
      </c>
      <c r="CA44" s="76">
        <f>IF(D44="TEC",((K44+F44+(LOG(G44)*4/3))*0.15)+((L44+F44+(LOG(G44)*4/3))*0.324)+((M44+F44+(LOG(G44)*4/3))*0.127),(((K44+F44+(LOG(G44)*4/3))*0.144)+((L44+F44+(LOG(G44)*4/3))*0.25)+((M44+F44+(LOG(G44)*4/3))*0.127)))</f>
        <v>2.43647273448197987</v>
      </c>
      <c r="CB44" s="76">
        <f>((L44+F44+(LOG(G44)*4/3))*0.543)+((M44+F44+(LOG(G44)*4/3))*0.583)</f>
        <v>6.81377984458100006</v>
      </c>
      <c r="CC44" s="76">
        <f>CA44</f>
        <v>2.43647273448197987</v>
      </c>
      <c r="CD44" s="76">
        <f>((M44+1+(LOG(G44)*4/3))*0.26)+((K44+F44+(LOG(G44)*4/3))*0.221)+((L44+F44+(LOG(G44)*4/3))*0.142)</f>
        <v>3.24377819014380009</v>
      </c>
      <c r="CE44" s="76">
        <f>((M44+F44+(LOG(G44)*4/3))*1)+((L44+F44+(LOG(G44)*4/3))*0.369)</f>
        <v>9.15780071690176989</v>
      </c>
      <c r="CF44" s="76">
        <f>CD44</f>
        <v>3.24377819014380009</v>
      </c>
      <c r="CG44" s="76">
        <f>((J44+F44+(LOG(G44)*4/3))*0.25)</f>
        <v>2.12450707028885999</v>
      </c>
    </row>
    <row r="45" spans="1:85">
      <c r="A45" t="str">
        <f>A11</f>
        <v>A. Grimaud</v>
      </c>
      <c r="B45">
        <f>B11</f>
        <v>22</v>
      </c>
      <c r="C45" s="54">
        <f>C11</f>
        <v>41</v>
      </c>
      <c r="D45" t="str">
        <f>D11</f>
        <v>RAP</v>
      </c>
      <c r="E45" s="211">
        <f>E11</f>
        <v>43739</v>
      </c>
      <c r="F45" s="157">
        <f>I11</f>
        <v>0.924074508633018965</v>
      </c>
      <c r="G45" s="158">
        <f>J11</f>
        <v>4.70000000000000018</v>
      </c>
      <c r="H45" s="53">
        <f>K11</f>
        <v>0</v>
      </c>
      <c r="I45" s="53">
        <f>L11</f>
        <v>12</v>
      </c>
      <c r="J45" s="53">
        <f>M11</f>
        <v>7</v>
      </c>
      <c r="K45" s="53">
        <f>N11</f>
        <v>3</v>
      </c>
      <c r="L45" s="53">
        <f>O11</f>
        <v>3</v>
      </c>
      <c r="M45" s="53">
        <f>P11</f>
        <v>5</v>
      </c>
      <c r="N45" s="53">
        <f>Q11</f>
        <v>14.3333333333333002</v>
      </c>
      <c r="O45" s="158">
        <f>((2*(L45+1))+(I45+1))/8</f>
        <v>2.625</v>
      </c>
      <c r="P45" s="158">
        <f>1.66*(M45+(LOG(G45)*4/3)+F45)+0.55*(N45+(LOG(G45)*4/3)+F45)-7.6</f>
        <v>12.6059863521295998</v>
      </c>
      <c r="Q45" s="158">
        <f>(0.5*M45+0.3*N45)/10</f>
        <v>0.679999999999999005</v>
      </c>
      <c r="R45" s="158">
        <f>(0.4*I45+0.3*N45)/10</f>
        <v>0.909999999999999076</v>
      </c>
      <c r="S45" s="158">
        <f aca="1">IF(TODAY()-E45&gt;335,(N45+1+(LOG(G45)*4/3)),(N45+((TODAY()-E45)^0.5)/(336^0.5)+(LOG(G45)*4/3)))</f>
        <v>16.1696385663728996</v>
      </c>
      <c r="T45" s="76">
        <f>((H45+F45+(LOG(G45)*4/3))*0.597)+((I45+F45+(LOG(G45)*4/3))*0.276)</f>
        <v>4.90103895267379031</v>
      </c>
      <c r="U45" s="76">
        <f>((H45+F45+(LOG(G45)*4/3))*0.866)+((I45+F45+(LOG(G45)*4/3))*0.425)</f>
        <v>7.44988463677189028</v>
      </c>
      <c r="V45" s="76">
        <f>T45</f>
        <v>4.90103895267379031</v>
      </c>
      <c r="W45" s="76">
        <f>((I45+F45+(LOG(G45)*4/3))*0.516)</f>
        <v>7.13122577271438995</v>
      </c>
      <c r="X45" s="76">
        <f>(I45+F45+(LOG(G45)*4/3))*1</f>
        <v>13.8202049858806006</v>
      </c>
      <c r="Y45" s="76">
        <f>W45/2</f>
        <v>3.56561288635719986</v>
      </c>
      <c r="Z45" s="76">
        <f>(J45+F45+(LOG(G45)*4/3))*0.238</f>
        <v>2.09920878663960009</v>
      </c>
      <c r="AA45" s="76">
        <f>((I45+F45+(LOG(G45)*4/3))*0.378)</f>
        <v>5.22403748466286988</v>
      </c>
      <c r="AB45" s="76">
        <f>(I45+F45+(LOG(G45)*4/3))*0.723</f>
        <v>9.99200820479168073</v>
      </c>
      <c r="AC45" s="76">
        <f>AA45/2</f>
        <v>2.61201874233143982</v>
      </c>
      <c r="AD45" s="76">
        <f>(J45+F45+(LOG(G45)*4/3))*0.385</f>
        <v>3.3957789195640502</v>
      </c>
      <c r="AE45" s="249">
        <f>((I45+F45+(LOG(G45)*4/3))*0.92)</f>
        <v>12.7145885870101996</v>
      </c>
      <c r="AF45" s="76">
        <f>(I45+F45+(LOG(G45)*4/3))*0.414</f>
        <v>5.72156486415457</v>
      </c>
      <c r="AG45" s="76">
        <f>((J45+F45+(LOG(G45)*4/3))*0.167)</f>
        <v>1.47297423264207001</v>
      </c>
      <c r="AH45" s="249">
        <f>(K45+F45+(LOG(G45)*4/3))*0.588</f>
        <v>2.83428053169782004</v>
      </c>
      <c r="AI45" s="76">
        <f>((I45+F45+(LOG(G45)*4/3))*0.754)</f>
        <v>10.4204345593539998</v>
      </c>
      <c r="AJ45" s="76">
        <f>((I45+F45+(LOG(G45)*4/3))*0.708)</f>
        <v>9.78470513000346998</v>
      </c>
      <c r="AK45" s="76">
        <f>((N45+F45+(LOG(G45)*4/3))*0.167)</f>
        <v>2.6976408993087202</v>
      </c>
      <c r="AL45" s="76">
        <f>((O45+F45+(LOG(G45)*4/3))*0.288)</f>
        <v>1.28021903593363007</v>
      </c>
      <c r="AM45" s="76">
        <f>((I45+F45+(LOG(G45)*4/3))*0.27)</f>
        <v>3.7314553461877602</v>
      </c>
      <c r="AN45" s="76">
        <f>((I45+F45+(LOG(G45)*4/3))*0.594)</f>
        <v>8.20920176161308035</v>
      </c>
      <c r="AO45" s="76">
        <f>AM45/2</f>
        <v>1.86572767309388006</v>
      </c>
      <c r="AP45" s="76">
        <f>((J45+F45+(LOG(G45)*4/3))*0.944)</f>
        <v>8.32627350667132937</v>
      </c>
      <c r="AQ45" s="76">
        <f>((L45+F45+(LOG(G45)*4/3))*0.13)</f>
        <v>0.626626648164485012</v>
      </c>
      <c r="AR45" s="76">
        <f>((M45+F45+(LOG(G45)*4/3))*0.173)+((L45+F45+(LOG(G45)*4/3))*0.12)</f>
        <v>1.75832006086303005</v>
      </c>
      <c r="AS45" s="76">
        <f>AQ45/2</f>
        <v>0.313313324082242994</v>
      </c>
      <c r="AT45" s="76">
        <f>((I45+F45+(LOG(G45)*4/3))*0.189)</f>
        <v>2.61201874233143005</v>
      </c>
      <c r="AU45" s="76">
        <f>((I45+F45+(LOG(G45)*4/3))*0.4)</f>
        <v>5.5280819943522399</v>
      </c>
      <c r="AV45" s="76">
        <f>AT45/2</f>
        <v>1.30600937116571991</v>
      </c>
      <c r="AW45" s="76">
        <f>((J45+F45+(LOG(G45)*4/3))*1)</f>
        <v>8.82020498588065038</v>
      </c>
      <c r="AX45" s="76">
        <f>((L45+F45+(LOG(G45)*4/3))*0.253)</f>
        <v>1.21951186142779999</v>
      </c>
      <c r="AY45" s="76">
        <f>((M45+F45+(LOG(G45)*4/3))*0.21)+((L45+F45+(LOG(G45)*4/3))*0.341)</f>
        <v>3.07593294722023991</v>
      </c>
      <c r="AZ45" s="76">
        <f>AX45/2</f>
        <v>0.609755930713899996</v>
      </c>
      <c r="BA45" s="76">
        <f>((I45+F45+(LOG(G45)*4/3))*0.291)</f>
        <v>4.02167965089125978</v>
      </c>
      <c r="BB45" s="76">
        <f>((I45+F45+(LOG(G45)*4/3))*0.348)</f>
        <v>4.80943133508645015</v>
      </c>
      <c r="BC45" s="76">
        <f>((J45+F45+(LOG(G45)*4/3))*0.881)</f>
        <v>7.77060059256085012</v>
      </c>
      <c r="BD45" s="76">
        <f>((K45+F45+(LOG(G45)*4/3))*0.574)+((L45+F45+(LOG(G45)*4/3))*0.315)</f>
        <v>4.28516223244789973</v>
      </c>
      <c r="BE45" s="76">
        <f>((L45+F45+(LOG(G45)*4/3))*0.241)</f>
        <v>1.16166940159723997</v>
      </c>
      <c r="BF45" s="76">
        <f>((I45+F45+(LOG(G45)*4/3))*0.485)</f>
        <v>6.70279941815208957</v>
      </c>
      <c r="BG45" s="76">
        <f>((I45+F45+(LOG(G45)*4/3))*0.264)</f>
        <v>3.64853411627247981</v>
      </c>
      <c r="BH45" s="76">
        <f>((J45+F45+(LOG(G45)*4/3))*0.381)</f>
        <v>3.36049809962052981</v>
      </c>
      <c r="BI45" s="76">
        <f>((K45+F45+(LOG(G45)*4/3))*0.673)+((L45+F45+(LOG(G45)*4/3))*0.201)</f>
        <v>4.21285915765968966</v>
      </c>
      <c r="BJ45" s="76">
        <f>((L45+F45+(LOG(G45)*4/3))*0.052)</f>
        <v>0.250650659265793996</v>
      </c>
      <c r="BK45" s="76">
        <f>((I45+F45+(LOG(G45)*4/3))*0.18)</f>
        <v>2.48763689745850991</v>
      </c>
      <c r="BL45" s="76">
        <f>(I45+F45+(LOG(G45)*4/3))*0.068</f>
        <v>0.939773939039880979</v>
      </c>
      <c r="BM45" s="76">
        <f>((J45+F45+(LOG(G45)*4/3))*0.305)</f>
        <v>2.69016252069360018</v>
      </c>
      <c r="BN45" s="76">
        <f>((K45+F45+(LOG(G45)*4/3))*1)+((L45+F45+(LOG(G45)*4/3))*0.286)</f>
        <v>6.19878361184252036</v>
      </c>
      <c r="BO45" s="76">
        <f>((L45+F45+(LOG(G45)*4/3))*0.135)</f>
        <v>0.650727673093888015</v>
      </c>
      <c r="BP45" s="76">
        <f>((I45+F45+(LOG(G45)*4/3))*0.284)</f>
        <v>3.92493821599008985</v>
      </c>
      <c r="BQ45" s="76">
        <f>(I45+F45+(LOG(G45)*4/3))*0.244</f>
        <v>3.37213001655487021</v>
      </c>
      <c r="BR45" s="76">
        <f>((J45+F45+(LOG(G45)*4/3))*0.455)</f>
        <v>4.01319326857569969</v>
      </c>
      <c r="BS45" s="76">
        <f>((K45+F45+(LOG(G45)*4/3))*0.864)+((L45+F45+(LOG(G45)*4/3))*0.244)</f>
        <v>5.34078712435576008</v>
      </c>
      <c r="BT45" s="76">
        <f>((L45+F45+(LOG(G45)*4/3))*0.121)</f>
        <v>0.583244803291559055</v>
      </c>
      <c r="BU45" s="76">
        <f>((I45+F45+(LOG(G45)*4/3))*0.284)</f>
        <v>3.92493821599008985</v>
      </c>
      <c r="BV45" s="76">
        <f>((I45+F45+(LOG(G45)*4/3))*0.244)</f>
        <v>3.37213001655487021</v>
      </c>
      <c r="BW45" s="76">
        <f>((J45+F45+(LOG(G45)*4/3))*0.631)</f>
        <v>5.56554934609069019</v>
      </c>
      <c r="BX45" s="76">
        <f>((K45+F45+(LOG(G45)*4/3))*0.702)+((L45+F45+(LOG(G45)*4/3))*0.193)</f>
        <v>4.31408346236318962</v>
      </c>
      <c r="BY45" s="76">
        <f>((L45+F45+(LOG(G45)*4/3))*0.148)</f>
        <v>0.713390337910336036</v>
      </c>
      <c r="BZ45" s="76">
        <f>((J45+F45+(LOG(G45)*4/3))*0.406)</f>
        <v>3.58100322426754003</v>
      </c>
      <c r="CA45" s="76">
        <f>IF(D45="TEC",((K45+F45+(LOG(G45)*4/3))*0.15)+((L45+F45+(LOG(G45)*4/3))*0.324)+((M45+F45+(LOG(G45)*4/3))*0.127),(((K45+F45+(LOG(G45)*4/3))*0.144)+((L45+F45+(LOG(G45)*4/3))*0.25)+((M45+F45+(LOG(G45)*4/3))*0.127)))</f>
        <v>2.76532679764381006</v>
      </c>
      <c r="CB45" s="76">
        <f>((L45+F45+(LOG(G45)*4/3))*0.543)+((M45+F45+(LOG(G45)*4/3))*0.583)</f>
        <v>6.5935508141016097</v>
      </c>
      <c r="CC45" s="76">
        <f>CA45</f>
        <v>2.76532679764381006</v>
      </c>
      <c r="CD45" s="76">
        <f>((M45+1+(LOG(G45)*4/3))*0.26)+((K45+F45+(LOG(G45)*4/3))*0.221)+((L45+F45+(LOG(G45)*4/3))*0.142)</f>
        <v>3.54272833395905007</v>
      </c>
      <c r="CE45" s="76">
        <f>((M45+F45+(LOG(G45)*4/3))*1)+((L45+F45+(LOG(G45)*4/3))*0.369)</f>
        <v>8.5988606256706106</v>
      </c>
      <c r="CF45" s="76">
        <f>CD45</f>
        <v>3.54272833395905007</v>
      </c>
      <c r="CG45" s="76">
        <f>((J45+F45+(LOG(G45)*4/3))*0.25)</f>
        <v>2.20505124647015993</v>
      </c>
    </row>
    <row r="46" spans="1:85">
      <c r="A46" t="str">
        <f>A12</f>
        <v>V. Gardner</v>
      </c>
      <c r="B46">
        <f>B12</f>
        <v>22</v>
      </c>
      <c r="C46" s="54">
        <f>C12</f>
        <v>30</v>
      </c>
      <c r="D46">
        <f>D12</f>
        <v>0</v>
      </c>
      <c r="E46" s="211">
        <f>E12</f>
        <v>43756</v>
      </c>
      <c r="F46" s="157">
        <f>I12</f>
        <v>0.88986474799602604</v>
      </c>
      <c r="G46" s="158">
        <f>J12</f>
        <v>3.70000000000000018</v>
      </c>
      <c r="H46" s="53">
        <f>K12</f>
        <v>0</v>
      </c>
      <c r="I46" s="53">
        <f>L12</f>
        <v>12</v>
      </c>
      <c r="J46" s="53">
        <f>M12</f>
        <v>5</v>
      </c>
      <c r="K46" s="53">
        <f>N12</f>
        <v>3</v>
      </c>
      <c r="L46" s="53">
        <f>O12</f>
        <v>5</v>
      </c>
      <c r="M46" s="53">
        <f>P12</f>
        <v>6</v>
      </c>
      <c r="N46" s="53">
        <f>Q12</f>
        <v>16</v>
      </c>
      <c r="O46" s="158">
        <f>((2*(L46+1))+(I46+1))/8</f>
        <v>3.125</v>
      </c>
      <c r="P46" s="158">
        <f>1.66*(M46+(LOG(G46)*4/3)+F46)+0.55*(N46+(LOG(G46)*4/3)+F46)-7.6</f>
        <v>14.8009021733219992</v>
      </c>
      <c r="Q46" s="158">
        <f>(0.5*M46+0.3*N46)/10</f>
        <v>0.780000000000000071</v>
      </c>
      <c r="R46" s="158">
        <f>(0.4*I46+0.3*N46)/10</f>
        <v>0.959999999999999964</v>
      </c>
      <c r="S46" s="158">
        <f aca="1">IF(TODAY()-E46&gt;335,(N46+1+(LOG(G46)*4/3)),(N46+((TODAY()-E46)^0.5)/(336^0.5)+(LOG(G46)*4/3)))</f>
        <v>17.6704732279312999</v>
      </c>
      <c r="T46" s="76">
        <f>((H46+F46+(LOG(G46)*4/3))*0.597)+((I46+F46+(LOG(G46)*4/3))*0.276)</f>
        <v>4.75023873181450984</v>
      </c>
      <c r="U46" s="76">
        <f>((H46+F46+(LOG(G46)*4/3))*0.866)+((I46+F46+(LOG(G46)*4/3))*0.425)</f>
        <v>7.22687995735685007</v>
      </c>
      <c r="V46" s="76">
        <f>T46</f>
        <v>4.75023873181450984</v>
      </c>
      <c r="W46" s="76">
        <f>((I46+F46+(LOG(G46)*4/3))*0.516)</f>
        <v>7.04209299612402972</v>
      </c>
      <c r="X46" s="76">
        <f>(I46+F46+(LOG(G46)*4/3))*1</f>
        <v>13.6474670467520003</v>
      </c>
      <c r="Y46" s="76">
        <f>W46/2</f>
        <v>3.52104649806202019</v>
      </c>
      <c r="Z46" s="76">
        <f>(J46+F46+(LOG(G46)*4/3))*0.238</f>
        <v>1.58209715712697996</v>
      </c>
      <c r="AA46" s="76">
        <f>((I46+F46+(LOG(G46)*4/3))*0.378)</f>
        <v>5.15874254367226026</v>
      </c>
      <c r="AB46" s="76">
        <f>(I46+F46+(LOG(G46)*4/3))*0.723</f>
        <v>9.86711867480170035</v>
      </c>
      <c r="AC46" s="76">
        <f>AA46/2</f>
        <v>2.57937127183613013</v>
      </c>
      <c r="AD46" s="76">
        <f>(J46+F46+(LOG(G46)*4/3))*0.385</f>
        <v>2.55927481299953019</v>
      </c>
      <c r="AE46" s="249">
        <f>((I46+F46+(LOG(G46)*4/3))*0.92)</f>
        <v>12.5556696830118</v>
      </c>
      <c r="AF46" s="76">
        <f>(I46+F46+(LOG(G46)*4/3))*0.414</f>
        <v>5.65005135735532971</v>
      </c>
      <c r="AG46" s="76">
        <f>((J46+F46+(LOG(G46)*4/3))*0.167)</f>
        <v>1.11012699680758997</v>
      </c>
      <c r="AH46" s="249">
        <f>(K46+F46+(LOG(G46)*4/3))*0.588</f>
        <v>2.73271062349019012</v>
      </c>
      <c r="AI46" s="76">
        <f>((I46+F46+(LOG(G46)*4/3))*0.754)</f>
        <v>10.2901901532510003</v>
      </c>
      <c r="AJ46" s="76">
        <f>((I46+F46+(LOG(G46)*4/3))*0.708)</f>
        <v>9.66240666910042023</v>
      </c>
      <c r="AK46" s="76">
        <f>((N46+F46+(LOG(G46)*4/3))*0.167)</f>
        <v>2.94712699680757986</v>
      </c>
      <c r="AL46" s="76">
        <f>((O46+F46+(LOG(G46)*4/3))*0.288)</f>
        <v>1.37447050946457994</v>
      </c>
      <c r="AM46" s="76">
        <f>((I46+F46+(LOG(G46)*4/3))*0.27)</f>
        <v>3.68481610262303994</v>
      </c>
      <c r="AN46" s="76">
        <f>((I46+F46+(LOG(G46)*4/3))*0.594)</f>
        <v>8.10659542577069026</v>
      </c>
      <c r="AO46" s="76">
        <f>AM46/2</f>
        <v>1.84240805131152001</v>
      </c>
      <c r="AP46" s="76">
        <f>((J46+F46+(LOG(G46)*4/3))*0.944)</f>
        <v>6.27520889213390998</v>
      </c>
      <c r="AQ46" s="76">
        <f>((L46+F46+(LOG(G46)*4/3))*0.13)</f>
        <v>0.864170716077762968</v>
      </c>
      <c r="AR46" s="76">
        <f>((M46+F46+(LOG(G46)*4/3))*0.173)+((L46+F46+(LOG(G46)*4/3))*0.12)</f>
        <v>2.12070784469834006</v>
      </c>
      <c r="AS46" s="76">
        <f>AQ46/2</f>
        <v>0.432085358038882017</v>
      </c>
      <c r="AT46" s="76">
        <f>((I46+F46+(LOG(G46)*4/3))*0.189)</f>
        <v>2.57937127183613013</v>
      </c>
      <c r="AU46" s="76">
        <f>((I46+F46+(LOG(G46)*4/3))*0.4)</f>
        <v>5.45898681870079994</v>
      </c>
      <c r="AV46" s="76">
        <f>AT46/2</f>
        <v>1.28968563591806994</v>
      </c>
      <c r="AW46" s="76">
        <f>((J46+F46+(LOG(G46)*4/3))*1)</f>
        <v>6.64746704675201983</v>
      </c>
      <c r="AX46" s="76">
        <f>((L46+F46+(LOG(G46)*4/3))*0.253)</f>
        <v>1.6818091628282601</v>
      </c>
      <c r="AY46" s="76">
        <f>((M46+F46+(LOG(G46)*4/3))*0.21)+((L46+F46+(LOG(G46)*4/3))*0.341)</f>
        <v>3.87275434276036012</v>
      </c>
      <c r="AZ46" s="76">
        <f>AX46/2</f>
        <v>0.840904581414130092</v>
      </c>
      <c r="BA46" s="76">
        <f>((I46+F46+(LOG(G46)*4/3))*0.291)</f>
        <v>3.97141291060483006</v>
      </c>
      <c r="BB46" s="76">
        <f>((I46+F46+(LOG(G46)*4/3))*0.348)</f>
        <v>4.74931853226970002</v>
      </c>
      <c r="BC46" s="76">
        <f>((J46+F46+(LOG(G46)*4/3))*0.881)</f>
        <v>5.85641846818853029</v>
      </c>
      <c r="BD46" s="76">
        <f>((K46+F46+(LOG(G46)*4/3))*0.574)+((L46+F46+(LOG(G46)*4/3))*0.315)</f>
        <v>4.76159820456255023</v>
      </c>
      <c r="BE46" s="76">
        <f>((L46+F46+(LOG(G46)*4/3))*0.241)</f>
        <v>1.60203955826723998</v>
      </c>
      <c r="BF46" s="76">
        <f>((I46+F46+(LOG(G46)*4/3))*0.485)</f>
        <v>6.61902151767472002</v>
      </c>
      <c r="BG46" s="76">
        <f>((I46+F46+(LOG(G46)*4/3))*0.264)</f>
        <v>3.60293130034252984</v>
      </c>
      <c r="BH46" s="76">
        <f>((J46+F46+(LOG(G46)*4/3))*0.381)</f>
        <v>2.53268494481251993</v>
      </c>
      <c r="BI46" s="76">
        <f>((K46+F46+(LOG(G46)*4/3))*0.673)+((L46+F46+(LOG(G46)*4/3))*0.201)</f>
        <v>4.46388619886127014</v>
      </c>
      <c r="BJ46" s="76">
        <f>((L46+F46+(LOG(G46)*4/3))*0.052)</f>
        <v>0.345668286431104965</v>
      </c>
      <c r="BK46" s="76">
        <f>((I46+F46+(LOG(G46)*4/3))*0.18)</f>
        <v>2.4565440684153601</v>
      </c>
      <c r="BL46" s="76">
        <f>(I46+F46+(LOG(G46)*4/3))*0.068</f>
        <v>0.928027759179136069</v>
      </c>
      <c r="BM46" s="76">
        <f>((J46+F46+(LOG(G46)*4/3))*0.305)</f>
        <v>2.0274774492593699</v>
      </c>
      <c r="BN46" s="76">
        <f>((K46+F46+(LOG(G46)*4/3))*1)+((L46+F46+(LOG(G46)*4/3))*0.286)</f>
        <v>6.54864262212309978</v>
      </c>
      <c r="BO46" s="76">
        <f>((L46+F46+(LOG(G46)*4/3))*0.135)</f>
        <v>0.897408051311522925</v>
      </c>
      <c r="BP46" s="76">
        <f>((I46+F46+(LOG(G46)*4/3))*0.284)</f>
        <v>3.87588064127757015</v>
      </c>
      <c r="BQ46" s="76">
        <f>(I46+F46+(LOG(G46)*4/3))*0.244</f>
        <v>3.32998195940748998</v>
      </c>
      <c r="BR46" s="76">
        <f>((J46+F46+(LOG(G46)*4/3))*0.455)</f>
        <v>3.02459750627216994</v>
      </c>
      <c r="BS46" s="76">
        <f>((K46+F46+(LOG(G46)*4/3))*0.864)+((L46+F46+(LOG(G46)*4/3))*0.244)</f>
        <v>5.63739348780123972</v>
      </c>
      <c r="BT46" s="76">
        <f>((L46+F46+(LOG(G46)*4/3))*0.121)</f>
        <v>0.804343512656993909</v>
      </c>
      <c r="BU46" s="76">
        <f>((I46+F46+(LOG(G46)*4/3))*0.284)</f>
        <v>3.87588064127757015</v>
      </c>
      <c r="BV46" s="76">
        <f>((I46+F46+(LOG(G46)*4/3))*0.244)</f>
        <v>3.32998195940748998</v>
      </c>
      <c r="BW46" s="76">
        <f>((J46+F46+(LOG(G46)*4/3))*0.631)</f>
        <v>4.19455170650052978</v>
      </c>
      <c r="BX46" s="76">
        <f>((K46+F46+(LOG(G46)*4/3))*0.702)+((L46+F46+(LOG(G46)*4/3))*0.193)</f>
        <v>4.54548300684306028</v>
      </c>
      <c r="BY46" s="76">
        <f>((L46+F46+(LOG(G46)*4/3))*0.148)</f>
        <v>0.983825122919298956</v>
      </c>
      <c r="BZ46" s="76">
        <f>((J46+F46+(LOG(G46)*4/3))*0.406)</f>
        <v>2.69887162098132016</v>
      </c>
      <c r="CA46" s="76">
        <f>IF(D46="TEC",((K46+F46+(LOG(G46)*4/3))*0.15)+((L46+F46+(LOG(G46)*4/3))*0.324)+((M46+F46+(LOG(G46)*4/3))*0.127),(((K46+F46+(LOG(G46)*4/3))*0.144)+((L46+F46+(LOG(G46)*4/3))*0.25)+((M46+F46+(LOG(G46)*4/3))*0.127)))</f>
        <v>3.30233033135781007</v>
      </c>
      <c r="CB46" s="76">
        <f>((L46+F46+(LOG(G46)*4/3))*0.543)+((M46+F46+(LOG(G46)*4/3))*0.583)</f>
        <v>8.06804789464277938</v>
      </c>
      <c r="CC46" s="76">
        <f>CA46</f>
        <v>3.30233033135781007</v>
      </c>
      <c r="CD46" s="76">
        <f>((M46+1+(LOG(G46)*4/3))*0.26)+((K46+F46+(LOG(G46)*4/3))*0.221)+((L46+F46+(LOG(G46)*4/3))*0.142)</f>
        <v>3.98800713564755007</v>
      </c>
      <c r="CE46" s="76">
        <f>((M46+F46+(LOG(G46)*4/3))*1)+((L46+F46+(LOG(G46)*4/3))*0.369)</f>
        <v>10.1003823870034992</v>
      </c>
      <c r="CF46" s="76">
        <f>CD46</f>
        <v>3.98800713564755007</v>
      </c>
      <c r="CG46" s="76">
        <f>((J46+F46+(LOG(G46)*4/3))*0.25)</f>
        <v>1.66186676168801011</v>
      </c>
    </row>
    <row r="47" spans="1:85">
      <c r="A47" t="str">
        <f>A13</f>
        <v>S. Embe</v>
      </c>
      <c r="B47">
        <f>B13</f>
        <v>22</v>
      </c>
      <c r="C47" s="54">
        <f>C13</f>
        <v>86</v>
      </c>
      <c r="D47">
        <f>D13</f>
        <v>0</v>
      </c>
      <c r="E47" s="211">
        <f>E13</f>
        <v>43920</v>
      </c>
      <c r="F47" s="157">
        <f>I13</f>
        <v>0.506286066784278965</v>
      </c>
      <c r="G47" s="158">
        <f>J13</f>
        <v>2.5</v>
      </c>
      <c r="H47" s="53">
        <f>K13</f>
        <v>0</v>
      </c>
      <c r="I47" s="53">
        <f>L13</f>
        <v>11</v>
      </c>
      <c r="J47" s="53">
        <f>M13</f>
        <v>4</v>
      </c>
      <c r="K47" s="53">
        <f>N13</f>
        <v>1</v>
      </c>
      <c r="L47" s="53">
        <f>O13</f>
        <v>5</v>
      </c>
      <c r="M47" s="53">
        <f>P13</f>
        <v>6</v>
      </c>
      <c r="N47" s="53">
        <f>Q13</f>
        <v>17.3333333333333002</v>
      </c>
      <c r="O47" s="158">
        <f>((2*(L47+1))+(I47+1))/8</f>
        <v>3</v>
      </c>
      <c r="P47" s="158">
        <f>1.66*(M47+(LOG(G47)*4/3)+F47)+0.55*(N47+(LOG(G47)*4/3)+F47)-7.6</f>
        <v>14.1848220998135996</v>
      </c>
      <c r="Q47" s="158">
        <f>(0.5*M47+0.3*N47)/10</f>
        <v>0.819999999999998863</v>
      </c>
      <c r="R47" s="158">
        <f>(0.4*I47+0.3*N47)/10</f>
        <v>0.959999999999998899</v>
      </c>
      <c r="S47" s="158">
        <f aca="1">IF(TODAY()-E47&gt;335,(N47+1+(LOG(G47)*4/3)),(N47+((TODAY()-E47)^0.5)/(336^0.5)+(LOG(G47)*4/3)))</f>
        <v>18.4514896629557015</v>
      </c>
      <c r="T47" s="76">
        <f>((H47+F47+(LOG(G47)*4/3))*0.597)+((I47+F47+(LOG(G47)*4/3))*0.276)</f>
        <v>3.94118990639693969</v>
      </c>
      <c r="U47" s="76">
        <f>((H47+F47+(LOG(G47)*4/3))*0.866)+((I47+F47+(LOG(G47)*4/3))*0.425)</f>
        <v>6.01360271381265044</v>
      </c>
      <c r="V47" s="76">
        <f>T47</f>
        <v>3.94118990639693969</v>
      </c>
      <c r="W47" s="76">
        <f>((I47+F47+(LOG(G47)*4/3))*0.516)</f>
        <v>6.21102633642706969</v>
      </c>
      <c r="X47" s="76">
        <f>(I47+F47+(LOG(G47)*4/3))*1</f>
        <v>12.0368727450136994</v>
      </c>
      <c r="Y47" s="76">
        <f>W47/2</f>
        <v>3.10551316821354018</v>
      </c>
      <c r="Z47" s="76">
        <f>(J47+F47+(LOG(G47)*4/3))*0.238</f>
        <v>1.19877571331324994</v>
      </c>
      <c r="AA47" s="76">
        <f>((I47+F47+(LOG(G47)*4/3))*0.378)</f>
        <v>4.5499378976151803</v>
      </c>
      <c r="AB47" s="76">
        <f>(I47+F47+(LOG(G47)*4/3))*0.723</f>
        <v>8.70265899464491</v>
      </c>
      <c r="AC47" s="76">
        <f>AA47/2</f>
        <v>2.27496894880759015</v>
      </c>
      <c r="AD47" s="76">
        <f>(J47+F47+(LOG(G47)*4/3))*0.385</f>
        <v>1.93919600683026001</v>
      </c>
      <c r="AE47" s="249">
        <f>((I47+F47+(LOG(G47)*4/3))*0.92)</f>
        <v>11.0739229254125995</v>
      </c>
      <c r="AF47" s="76">
        <f>(I47+F47+(LOG(G47)*4/3))*0.414</f>
        <v>4.98326531643566994</v>
      </c>
      <c r="AG47" s="76">
        <f>((J47+F47+(LOG(G47)*4/3))*0.167)</f>
        <v>0.84115774841728097</v>
      </c>
      <c r="AH47" s="249">
        <f>(K47+F47+(LOG(G47)*4/3))*0.588</f>
        <v>1.19768117406802999</v>
      </c>
      <c r="AI47" s="76">
        <f>((I47+F47+(LOG(G47)*4/3))*0.754)</f>
        <v>9.07580204974033045</v>
      </c>
      <c r="AJ47" s="76">
        <f>((I47+F47+(LOG(G47)*4/3))*0.708)</f>
        <v>8.52210590346970065</v>
      </c>
      <c r="AK47" s="76">
        <f>((N47+F47+(LOG(G47)*4/3))*0.167)</f>
        <v>3.06782441508395021</v>
      </c>
      <c r="AL47" s="76">
        <f>((O47+F47+(LOG(G47)*4/3))*0.288)</f>
        <v>1.16261935056392995</v>
      </c>
      <c r="AM47" s="76">
        <f>((I47+F47+(LOG(G47)*4/3))*0.27)</f>
        <v>3.24995564115369984</v>
      </c>
      <c r="AN47" s="76">
        <f>((I47+F47+(LOG(G47)*4/3))*0.594)</f>
        <v>7.14990241053814035</v>
      </c>
      <c r="AO47" s="76">
        <f>AM47/2</f>
        <v>1.62497782057684992</v>
      </c>
      <c r="AP47" s="76">
        <f>((J47+F47+(LOG(G47)*4/3))*0.944)</f>
        <v>4.75480787129289961</v>
      </c>
      <c r="AQ47" s="76">
        <f>((L47+F47+(LOG(G47)*4/3))*0.13)</f>
        <v>0.784793456851776039</v>
      </c>
      <c r="AR47" s="76">
        <f>((M47+F47+(LOG(G47)*4/3))*0.173)+((L47+F47+(LOG(G47)*4/3))*0.12)</f>
        <v>1.94180371428899985</v>
      </c>
      <c r="AS47" s="76">
        <f>AQ47/2</f>
        <v>0.392396728425888028</v>
      </c>
      <c r="AT47" s="76">
        <f>((I47+F47+(LOG(G47)*4/3))*0.189)</f>
        <v>2.27496894880759015</v>
      </c>
      <c r="AU47" s="76">
        <f>((I47+F47+(LOG(G47)*4/3))*0.4)</f>
        <v>4.81474909800548012</v>
      </c>
      <c r="AV47" s="76">
        <f>AT47/2</f>
        <v>1.13748447440379996</v>
      </c>
      <c r="AW47" s="76">
        <f>((J47+F47+(LOG(G47)*4/3))*1)</f>
        <v>5.03687274501366034</v>
      </c>
      <c r="AX47" s="76">
        <f>((L47+F47+(LOG(G47)*4/3))*0.253)</f>
        <v>1.52732880448846009</v>
      </c>
      <c r="AY47" s="76">
        <f>((M47+F47+(LOG(G47)*4/3))*0.21)+((L47+F47+(LOG(G47)*4/3))*0.341)</f>
        <v>3.53631688250252996</v>
      </c>
      <c r="AZ47" s="76">
        <f>AX47/2</f>
        <v>0.763664402244230089</v>
      </c>
      <c r="BA47" s="76">
        <f>((I47+F47+(LOG(G47)*4/3))*0.291)</f>
        <v>3.5027299687989899</v>
      </c>
      <c r="BB47" s="76">
        <f>((I47+F47+(LOG(G47)*4/3))*0.348)</f>
        <v>4.18883171526476961</v>
      </c>
      <c r="BC47" s="76">
        <f>((J47+F47+(LOG(G47)*4/3))*0.881)</f>
        <v>4.43748488835703991</v>
      </c>
      <c r="BD47" s="76">
        <f>((K47+F47+(LOG(G47)*4/3))*0.574)+((L47+F47+(LOG(G47)*4/3))*0.315)</f>
        <v>3.07077987031714006</v>
      </c>
      <c r="BE47" s="76">
        <f>((L47+F47+(LOG(G47)*4/3))*0.241)</f>
        <v>1.4548863315482901</v>
      </c>
      <c r="BF47" s="76">
        <f>((I47+F47+(LOG(G47)*4/3))*0.485)</f>
        <v>5.83788328133164036</v>
      </c>
      <c r="BG47" s="76">
        <f>((I47+F47+(LOG(G47)*4/3))*0.264)</f>
        <v>3.17773440468362001</v>
      </c>
      <c r="BH47" s="76">
        <f>((J47+F47+(LOG(G47)*4/3))*0.381)</f>
        <v>1.91904851585019998</v>
      </c>
      <c r="BI47" s="76">
        <f>((K47+F47+(LOG(G47)*4/3))*0.673)+((L47+F47+(LOG(G47)*4/3))*0.201)</f>
        <v>2.58422677914193999</v>
      </c>
      <c r="BJ47" s="76">
        <f>((L47+F47+(LOG(G47)*4/3))*0.052)</f>
        <v>0.313917382740710016</v>
      </c>
      <c r="BK47" s="76">
        <f>((I47+F47+(LOG(G47)*4/3))*0.18)</f>
        <v>2.16663709410246996</v>
      </c>
      <c r="BL47" s="76">
        <f>(I47+F47+(LOG(G47)*4/3))*0.068</f>
        <v>0.818507346660931923</v>
      </c>
      <c r="BM47" s="76">
        <f>((J47+F47+(LOG(G47)*4/3))*0.305)</f>
        <v>1.53624618722916999</v>
      </c>
      <c r="BN47" s="76">
        <f>((K47+F47+(LOG(G47)*4/3))*1)+((L47+F47+(LOG(G47)*4/3))*0.286)</f>
        <v>3.7634183500875702</v>
      </c>
      <c r="BO47" s="76">
        <f>((L47+F47+(LOG(G47)*4/3))*0.135)</f>
        <v>0.814977820576844003</v>
      </c>
      <c r="BP47" s="76">
        <f>((I47+F47+(LOG(G47)*4/3))*0.284)</f>
        <v>3.4184718595838901</v>
      </c>
      <c r="BQ47" s="76">
        <f>(I47+F47+(LOG(G47)*4/3))*0.244</f>
        <v>2.93699694978334023</v>
      </c>
      <c r="BR47" s="76">
        <f>((J47+F47+(LOG(G47)*4/3))*0.455)</f>
        <v>2.29177709898121984</v>
      </c>
      <c r="BS47" s="76">
        <f>((K47+F47+(LOG(G47)*4/3))*0.864)+((L47+F47+(LOG(G47)*4/3))*0.244)</f>
        <v>3.23285500147513005</v>
      </c>
      <c r="BT47" s="76">
        <f>((L47+F47+(LOG(G47)*4/3))*0.121)</f>
        <v>0.730461602146653011</v>
      </c>
      <c r="BU47" s="76">
        <f>((I47+F47+(LOG(G47)*4/3))*0.284)</f>
        <v>3.4184718595838901</v>
      </c>
      <c r="BV47" s="76">
        <f>((I47+F47+(LOG(G47)*4/3))*0.244)</f>
        <v>2.93699694978334023</v>
      </c>
      <c r="BW47" s="76">
        <f>((J47+F47+(LOG(G47)*4/3))*0.631)</f>
        <v>3.17826670210361995</v>
      </c>
      <c r="BX47" s="76">
        <f>((K47+F47+(LOG(G47)*4/3))*0.702)+((L47+F47+(LOG(G47)*4/3))*0.193)</f>
        <v>2.59500110678723006</v>
      </c>
      <c r="BY47" s="76">
        <f>((L47+F47+(LOG(G47)*4/3))*0.148)</f>
        <v>0.893457166262022007</v>
      </c>
      <c r="BZ47" s="76">
        <f>((J47+F47+(LOG(G47)*4/3))*0.406)</f>
        <v>2.0449703344755501</v>
      </c>
      <c r="CA47" s="76">
        <f>IF(D47="TEC",((K47+F47+(LOG(G47)*4/3))*0.15)+((L47+F47+(LOG(G47)*4/3))*0.324)+((M47+F47+(LOG(G47)*4/3))*0.127),(((K47+F47+(LOG(G47)*4/3))*0.144)+((L47+F47+(LOG(G47)*4/3))*0.25)+((M47+F47+(LOG(G47)*4/3))*0.127)))</f>
        <v>2.69621070015212982</v>
      </c>
      <c r="CB47" s="76">
        <f>((L47+F47+(LOG(G47)*4/3))*0.543)+((M47+F47+(LOG(G47)*4/3))*0.583)</f>
        <v>7.38051871088538025</v>
      </c>
      <c r="CC47" s="76">
        <f>CA47</f>
        <v>2.69621070015212982</v>
      </c>
      <c r="CD47" s="76">
        <f>((M47+1+(LOG(G47)*4/3))*0.26)+((K47+F47+(LOG(G47)*4/3))*0.221)+((L47+F47+(LOG(G47)*4/3))*0.142)</f>
        <v>3.26533734277959997</v>
      </c>
      <c r="CE47" s="76">
        <f>((M47+F47+(LOG(G47)*4/3))*1)+((L47+F47+(LOG(G47)*4/3))*0.369)</f>
        <v>9.26447878792370005</v>
      </c>
      <c r="CF47" s="76">
        <f>CD47</f>
        <v>3.26533734277959997</v>
      </c>
      <c r="CG47" s="76">
        <f>((J47+F47+(LOG(G47)*4/3))*0.25)</f>
        <v>1.25921818625341997</v>
      </c>
    </row>
    <row r="48" spans="1:85">
      <c r="A48" t="str">
        <f>A14</f>
        <v>E. Deus</v>
      </c>
      <c r="B48">
        <f>B14</f>
        <v>21</v>
      </c>
      <c r="C48" s="54">
        <f>C14</f>
        <v>69</v>
      </c>
      <c r="D48" t="str">
        <f>D14</f>
        <v>IMP</v>
      </c>
      <c r="E48" s="211">
        <f>E14</f>
        <v>43898</v>
      </c>
      <c r="F48" s="157">
        <f>I14</f>
        <v>0.565803302153566001</v>
      </c>
      <c r="G48" s="158">
        <f>J14</f>
        <v>3.9</v>
      </c>
      <c r="H48" s="53">
        <f>K14</f>
        <v>0</v>
      </c>
      <c r="I48" s="53">
        <f>L14</f>
        <v>11</v>
      </c>
      <c r="J48" s="53">
        <f>M14</f>
        <v>7</v>
      </c>
      <c r="K48" s="53">
        <f>N14</f>
        <v>1</v>
      </c>
      <c r="L48" s="53">
        <f>O14</f>
        <v>6</v>
      </c>
      <c r="M48" s="53">
        <f>P14</f>
        <v>5</v>
      </c>
      <c r="N48" s="53">
        <f>Q14</f>
        <v>15.3333333333333002</v>
      </c>
      <c r="O48" s="158">
        <f>((2*(L48+1))+(I48+1))/8</f>
        <v>3.25</v>
      </c>
      <c r="P48" s="158">
        <f>1.66*(M48+(LOG(G48)*4/3)+F48)+0.55*(N48+(LOG(G48)*4/3)+F48)-7.6</f>
        <v>12.1254290064641008</v>
      </c>
      <c r="Q48" s="158">
        <f>(0.5*M48+0.3*N48)/10</f>
        <v>0.709999999999998987</v>
      </c>
      <c r="R48" s="158">
        <f>(0.4*I48+0.3*N48)/10</f>
        <v>0.899999999999998934</v>
      </c>
      <c r="S48" s="158">
        <f aca="1">IF(TODAY()-E48&gt;335,(N48+1+(LOG(G48)*4/3)),(N48+((TODAY()-E48)^0.5)/(336^0.5)+(LOG(G48)*4/3)))</f>
        <v>16.7622894204970017</v>
      </c>
      <c r="T48" s="76">
        <f>((H48+F48+(LOG(G48)*4/3))*0.597)+((I48+F48+(LOG(G48)*4/3))*0.276)</f>
        <v>4.21794548535893021</v>
      </c>
      <c r="U48" s="76">
        <f>((H48+F48+(LOG(G48)*4/3))*0.866)+((I48+F48+(LOG(G48)*4/3))*0.425)</f>
        <v>6.42287127330854979</v>
      </c>
      <c r="V48" s="76">
        <f>T48</f>
        <v>4.21794548535893021</v>
      </c>
      <c r="W48" s="76">
        <f>((I48+F48+(LOG(G48)*4/3))*0.516)</f>
        <v>6.37460695354548967</v>
      </c>
      <c r="X48" s="76">
        <f>(I48+F48+(LOG(G48)*4/3))*1</f>
        <v>12.3538894448556</v>
      </c>
      <c r="Y48" s="76">
        <f>W48/2</f>
        <v>3.18730347677275017</v>
      </c>
      <c r="Z48" s="76">
        <f>(J48+F48+(LOG(G48)*4/3))*0.238</f>
        <v>1.98822568787562997</v>
      </c>
      <c r="AA48" s="76">
        <f>((I48+F48+(LOG(G48)*4/3))*0.378)</f>
        <v>4.66977021015541993</v>
      </c>
      <c r="AB48" s="76">
        <f>(I48+F48+(LOG(G48)*4/3))*0.723</f>
        <v>8.9318620686306005</v>
      </c>
      <c r="AC48" s="76">
        <f>AA48/2</f>
        <v>2.33488510507770997</v>
      </c>
      <c r="AD48" s="76">
        <f>(J48+F48+(LOG(G48)*4/3))*0.385</f>
        <v>3.21624743626939003</v>
      </c>
      <c r="AE48" s="249">
        <f>((I48+F48+(LOG(G48)*4/3))*0.92)</f>
        <v>11.3655782892671997</v>
      </c>
      <c r="AF48" s="76">
        <f>(I48+F48+(LOG(G48)*4/3))*0.414</f>
        <v>5.11451023017021988</v>
      </c>
      <c r="AG48" s="76">
        <f>((J48+F48+(LOG(G48)*4/3))*0.167)</f>
        <v>1.39509953729088011</v>
      </c>
      <c r="AH48" s="249">
        <f>(K48+F48+(LOG(G48)*4/3))*0.588</f>
        <v>1.38408699357507992</v>
      </c>
      <c r="AI48" s="76">
        <f>((I48+F48+(LOG(G48)*4/3))*0.754)</f>
        <v>9.31483264142113043</v>
      </c>
      <c r="AJ48" s="76">
        <f>((I48+F48+(LOG(G48)*4/3))*0.708)</f>
        <v>8.74655372695776911</v>
      </c>
      <c r="AK48" s="76">
        <f>((N48+F48+(LOG(G48)*4/3))*0.167)</f>
        <v>2.78676620395755004</v>
      </c>
      <c r="AL48" s="76">
        <f>((O48+F48+(LOG(G48)*4/3))*0.288)</f>
        <v>1.32592016011840008</v>
      </c>
      <c r="AM48" s="76">
        <f>((I48+F48+(LOG(G48)*4/3))*0.27)</f>
        <v>3.33555015011100986</v>
      </c>
      <c r="AN48" s="76">
        <f>((I48+F48+(LOG(G48)*4/3))*0.594)</f>
        <v>7.33821033024423031</v>
      </c>
      <c r="AO48" s="76">
        <f>AM48/2</f>
        <v>1.66777507505551004</v>
      </c>
      <c r="AP48" s="76">
        <f>((J48+F48+(LOG(G48)*4/3))*0.944)</f>
        <v>7.88607163594365979</v>
      </c>
      <c r="AQ48" s="76">
        <f>((L48+F48+(LOG(G48)*4/3))*0.13)</f>
        <v>0.956005627831224025</v>
      </c>
      <c r="AR48" s="76">
        <f>((M48+F48+(LOG(G48)*4/3))*0.173)+((L48+F48+(LOG(G48)*4/3))*0.12)</f>
        <v>1.98168960734268005</v>
      </c>
      <c r="AS48" s="76">
        <f>AQ48/2</f>
        <v>0.478002813915612013</v>
      </c>
      <c r="AT48" s="76">
        <f>((I48+F48+(LOG(G48)*4/3))*0.189)</f>
        <v>2.33488510507770997</v>
      </c>
      <c r="AU48" s="76">
        <f>((I48+F48+(LOG(G48)*4/3))*0.4)</f>
        <v>4.94155577794223966</v>
      </c>
      <c r="AV48" s="76">
        <f>AT48/2</f>
        <v>1.16744255253886009</v>
      </c>
      <c r="AW48" s="76">
        <f>((J48+F48+(LOG(G48)*4/3))*1)</f>
        <v>8.35388944485556983</v>
      </c>
      <c r="AX48" s="76">
        <f>((L48+F48+(LOG(G48)*4/3))*0.253)</f>
        <v>1.86053402954846003</v>
      </c>
      <c r="AY48" s="76">
        <f>((M48+F48+(LOG(G48)*4/3))*0.21)+((L48+F48+(LOG(G48)*4/3))*0.341)</f>
        <v>3.84199308411541995</v>
      </c>
      <c r="AZ48" s="76">
        <f>AX48/2</f>
        <v>0.930267014774230105</v>
      </c>
      <c r="BA48" s="76">
        <f>((I48+F48+(LOG(G48)*4/3))*0.291)</f>
        <v>3.5949818284529802</v>
      </c>
      <c r="BB48" s="76">
        <f>((I48+F48+(LOG(G48)*4/3))*0.348)</f>
        <v>4.29915352680975005</v>
      </c>
      <c r="BC48" s="76">
        <f>((J48+F48+(LOG(G48)*4/3))*0.881)</f>
        <v>7.35977660091776009</v>
      </c>
      <c r="BD48" s="76">
        <f>((K48+F48+(LOG(G48)*4/3))*0.574)+((L48+F48+(LOG(G48)*4/3))*0.315)</f>
        <v>3.66760771647660011</v>
      </c>
      <c r="BE48" s="76">
        <f>((L48+F48+(LOG(G48)*4/3))*0.241)</f>
        <v>1.77228735621018991</v>
      </c>
      <c r="BF48" s="76">
        <f>((I48+F48+(LOG(G48)*4/3))*0.485)</f>
        <v>5.9916363807549704</v>
      </c>
      <c r="BG48" s="76">
        <f>((I48+F48+(LOG(G48)*4/3))*0.264)</f>
        <v>3.26142681344187979</v>
      </c>
      <c r="BH48" s="76">
        <f>((J48+F48+(LOG(G48)*4/3))*0.381)</f>
        <v>3.18283187848996985</v>
      </c>
      <c r="BI48" s="76">
        <f>((K48+F48+(LOG(G48)*4/3))*0.673)+((L48+F48+(LOG(G48)*4/3))*0.201)</f>
        <v>3.06229937480377012</v>
      </c>
      <c r="BJ48" s="76">
        <f>((L48+F48+(LOG(G48)*4/3))*0.052)</f>
        <v>0.382402251132490001</v>
      </c>
      <c r="BK48" s="76">
        <f>((I48+F48+(LOG(G48)*4/3))*0.18)</f>
        <v>2.22370010007400998</v>
      </c>
      <c r="BL48" s="76">
        <f>(I48+F48+(LOG(G48)*4/3))*0.068</f>
        <v>0.840064482250181044</v>
      </c>
      <c r="BM48" s="76">
        <f>((J48+F48+(LOG(G48)*4/3))*0.305)</f>
        <v>2.54793628068095002</v>
      </c>
      <c r="BN48" s="76">
        <f>((K48+F48+(LOG(G48)*4/3))*1)+((L48+F48+(LOG(G48)*4/3))*0.286)</f>
        <v>4.45710182608426031</v>
      </c>
      <c r="BO48" s="76">
        <f>((L48+F48+(LOG(G48)*4/3))*0.135)</f>
        <v>0.992775075055502043</v>
      </c>
      <c r="BP48" s="76">
        <f>((I48+F48+(LOG(G48)*4/3))*0.284)</f>
        <v>3.50850460233899009</v>
      </c>
      <c r="BQ48" s="76">
        <f>(I48+F48+(LOG(G48)*4/3))*0.244</f>
        <v>3.01434902454476994</v>
      </c>
      <c r="BR48" s="76">
        <f>((J48+F48+(LOG(G48)*4/3))*0.455)</f>
        <v>3.80101969740927981</v>
      </c>
      <c r="BS48" s="76">
        <f>((K48+F48+(LOG(G48)*4/3))*0.864)+((L48+F48+(LOG(G48)*4/3))*0.244)</f>
        <v>3.82810950489996991</v>
      </c>
      <c r="BT48" s="76">
        <f>((L48+F48+(LOG(G48)*4/3))*0.121)</f>
        <v>0.889820622827524055</v>
      </c>
      <c r="BU48" s="76">
        <f>((I48+F48+(LOG(G48)*4/3))*0.284)</f>
        <v>3.50850460233899009</v>
      </c>
      <c r="BV48" s="76">
        <f>((I48+F48+(LOG(G48)*4/3))*0.244)</f>
        <v>3.01434902454476994</v>
      </c>
      <c r="BW48" s="76">
        <f>((J48+F48+(LOG(G48)*4/3))*0.631)</f>
        <v>5.27130423970386985</v>
      </c>
      <c r="BX48" s="76">
        <f>((K48+F48+(LOG(G48)*4/3))*0.702)+((L48+F48+(LOG(G48)*4/3))*0.193)</f>
        <v>3.07173105314574002</v>
      </c>
      <c r="BY48" s="76">
        <f>((L48+F48+(LOG(G48)*4/3))*0.148)</f>
        <v>1.08837563783862002</v>
      </c>
      <c r="BZ48" s="76">
        <f>((J48+F48+(LOG(G48)*4/3))*0.406)</f>
        <v>3.39167911461135985</v>
      </c>
      <c r="CA48" s="76">
        <f>IF(D48="TEC",((K48+F48+(LOG(G48)*4/3))*0.15)+((L48+F48+(LOG(G48)*4/3))*0.324)+((M48+F48+(LOG(G48)*4/3))*0.127),(((K48+F48+(LOG(G48)*4/3))*0.144)+((L48+F48+(LOG(G48)*4/3))*0.25)+((M48+F48+(LOG(G48)*4/3))*0.127)))</f>
        <v>2.98437640076974997</v>
      </c>
      <c r="CB48" s="76">
        <f>((L48+F48+(LOG(G48)*4/3))*0.543)+((M48+F48+(LOG(G48)*4/3))*0.583)</f>
        <v>7.69747951490738025</v>
      </c>
      <c r="CC48" s="76">
        <f>CA48</f>
        <v>2.98437640076974997</v>
      </c>
      <c r="CD48" s="76">
        <f>((M48+1+(LOG(G48)*4/3))*0.26)+((K48+F48+(LOG(G48)*4/3))*0.221)+((L48+F48+(LOG(G48)*4/3))*0.142)</f>
        <v>3.32936426558508991</v>
      </c>
      <c r="CE48" s="76">
        <f>((M48+F48+(LOG(G48)*4/3))*1)+((L48+F48+(LOG(G48)*4/3))*0.369)</f>
        <v>9.0674746500072807</v>
      </c>
      <c r="CF48" s="76">
        <f>CD48</f>
        <v>3.32936426558508991</v>
      </c>
      <c r="CG48" s="76">
        <f>((J48+F48+(LOG(G48)*4/3))*0.25)</f>
        <v>2.08847236121388979</v>
      </c>
    </row>
    <row r="49" spans="1:85">
      <c r="A49" t="str">
        <f>A15</f>
        <v>I. Vanags</v>
      </c>
      <c r="B49">
        <f>B15</f>
        <v>22</v>
      </c>
      <c r="C49" s="54">
        <f>C15</f>
        <v>17</v>
      </c>
      <c r="D49" t="str">
        <f>D15</f>
        <v>CAB</v>
      </c>
      <c r="E49" s="211">
        <f>E15</f>
        <v>43626</v>
      </c>
      <c r="F49" s="157">
        <f>I15</f>
        <v>1</v>
      </c>
      <c r="G49" s="158">
        <f>J15</f>
        <v>2.60000000000000009</v>
      </c>
      <c r="H49" s="53">
        <f>K15</f>
        <v>0</v>
      </c>
      <c r="I49" s="53">
        <f>L15</f>
        <v>4</v>
      </c>
      <c r="J49" s="53">
        <f>M15</f>
        <v>13</v>
      </c>
      <c r="K49" s="53">
        <f>N15</f>
        <v>3</v>
      </c>
      <c r="L49" s="53">
        <f>O15</f>
        <v>4</v>
      </c>
      <c r="M49" s="53">
        <f>P15</f>
        <v>7</v>
      </c>
      <c r="N49" s="53">
        <f>Q15</f>
        <v>16.3333333333333002</v>
      </c>
      <c r="O49" s="158">
        <f>((2*(L49+1))+(I49+1))/8</f>
        <v>1.875</v>
      </c>
      <c r="P49" s="158">
        <f>1.66*(M49+(LOG(G49)*4/3)+F49)+0.55*(N49+(LOG(G49)*4/3)+F49)-7.6</f>
        <v>16.4361214653538994</v>
      </c>
      <c r="Q49" s="158">
        <f>(0.5*M49+0.3*N49)/10</f>
        <v>0.83999999999999897</v>
      </c>
      <c r="R49" s="158">
        <f>(0.4*I49+0.3*N49)/10</f>
        <v>0.649999999999999023</v>
      </c>
      <c r="S49" s="158">
        <f aca="1">IF(TODAY()-E49&gt;335,(N49+1+(LOG(G49)*4/3)),(N49+((TODAY()-E49)^0.5)/(336^0.5)+(LOG(G49)*4/3)))</f>
        <v>17.8866311306276984</v>
      </c>
      <c r="T49" s="76">
        <f>((H49+F49+(LOG(G49)*4/3))*0.597)+((I49+F49+(LOG(G49)*4/3))*0.276)</f>
        <v>2.46002897703802992</v>
      </c>
      <c r="U49" s="76">
        <f>((H49+F49+(LOG(G49)*4/3))*0.866)+((I49+F49+(LOG(G49)*4/3))*0.425)</f>
        <v>3.70530745630710001</v>
      </c>
      <c r="V49" s="76">
        <f>T49</f>
        <v>2.46002897703802992</v>
      </c>
      <c r="W49" s="76">
        <f>((I49+F49+(LOG(G49)*4/3))*0.516)</f>
        <v>2.86550166340391996</v>
      </c>
      <c r="X49" s="76">
        <f>(I49+F49+(LOG(G49)*4/3))*1</f>
        <v>5.55329779729442041</v>
      </c>
      <c r="Y49" s="76">
        <f>W49/2</f>
        <v>1.43275083170195998</v>
      </c>
      <c r="Z49" s="76">
        <f>(J49+F49+(LOG(G49)*4/3))*0.238</f>
        <v>3.46368487575607009</v>
      </c>
      <c r="AA49" s="76">
        <f>((I49+F49+(LOG(G49)*4/3))*0.378)</f>
        <v>2.09914656737729022</v>
      </c>
      <c r="AB49" s="76">
        <f>(I49+F49+(LOG(G49)*4/3))*0.723</f>
        <v>4.01503430744387035</v>
      </c>
      <c r="AC49" s="76">
        <f>AA49/2</f>
        <v>1.04957328368864999</v>
      </c>
      <c r="AD49" s="76">
        <f>(J49+F49+(LOG(G49)*4/3))*0.385</f>
        <v>5.6030196519583404</v>
      </c>
      <c r="AE49" s="249">
        <f>((I49+F49+(LOG(G49)*4/3))*0.92)</f>
        <v>5.1090339735108703</v>
      </c>
      <c r="AF49" s="76">
        <f>(I49+F49+(LOG(G49)*4/3))*0.414</f>
        <v>2.29906528807988986</v>
      </c>
      <c r="AG49" s="76">
        <f>((J49+F49+(LOG(G49)*4/3))*0.167)</f>
        <v>2.43040073214817021</v>
      </c>
      <c r="AH49" s="249">
        <f>(K49+F49+(LOG(G49)*4/3))*0.588</f>
        <v>2.67733910480911996</v>
      </c>
      <c r="AI49" s="76">
        <f>((I49+F49+(LOG(G49)*4/3))*0.754)</f>
        <v>4.18718653915999006</v>
      </c>
      <c r="AJ49" s="76">
        <f>((I49+F49+(LOG(G49)*4/3))*0.708)</f>
        <v>3.93173484048445019</v>
      </c>
      <c r="AK49" s="76">
        <f>((N49+F49+(LOG(G49)*4/3))*0.167)</f>
        <v>2.9870673988148301</v>
      </c>
      <c r="AL49" s="76">
        <f>((O49+F49+(LOG(G49)*4/3))*0.288)</f>
        <v>0.987349765620793107</v>
      </c>
      <c r="AM49" s="76">
        <f>((I49+F49+(LOG(G49)*4/3))*0.27)</f>
        <v>1.49939040526948997</v>
      </c>
      <c r="AN49" s="76">
        <f>((I49+F49+(LOG(G49)*4/3))*0.594)</f>
        <v>3.29865889159288983</v>
      </c>
      <c r="AO49" s="76">
        <f>AM49/2</f>
        <v>0.749695202634744984</v>
      </c>
      <c r="AP49" s="76">
        <f>((J49+F49+(LOG(G49)*4/3))*0.944)</f>
        <v>13.7383131206459002</v>
      </c>
      <c r="AQ49" s="76">
        <f>((L49+F49+(LOG(G49)*4/3))*0.13)</f>
        <v>0.721928713648275</v>
      </c>
      <c r="AR49" s="76">
        <f>((M49+F49+(LOG(G49)*4/3))*0.173)+((L49+F49+(LOG(G49)*4/3))*0.12)</f>
        <v>2.14611625460725985</v>
      </c>
      <c r="AS49" s="76">
        <f>AQ49/2</f>
        <v>0.360964356824138033</v>
      </c>
      <c r="AT49" s="76">
        <f>((I49+F49+(LOG(G49)*4/3))*0.189)</f>
        <v>1.04957328368864999</v>
      </c>
      <c r="AU49" s="76">
        <f>((I49+F49+(LOG(G49)*4/3))*0.4)</f>
        <v>2.22131911891777012</v>
      </c>
      <c r="AV49" s="76">
        <f>AT49/2</f>
        <v>0.524786641844324997</v>
      </c>
      <c r="AW49" s="76">
        <f>((J49+F49+(LOG(G49)*4/3))*1)</f>
        <v>14.5532977972944</v>
      </c>
      <c r="AX49" s="76">
        <f>((L49+F49+(LOG(G49)*4/3))*0.253)</f>
        <v>1.40498434271549</v>
      </c>
      <c r="AY49" s="76">
        <f>((M49+F49+(LOG(G49)*4/3))*0.21)+((L49+F49+(LOG(G49)*4/3))*0.341)</f>
        <v>3.68986708630922999</v>
      </c>
      <c r="AZ49" s="76">
        <f>AX49/2</f>
        <v>0.702492171357745043</v>
      </c>
      <c r="BA49" s="76">
        <f>((I49+F49+(LOG(G49)*4/3))*0.291)</f>
        <v>1.61600965901268001</v>
      </c>
      <c r="BB49" s="76">
        <f>((I49+F49+(LOG(G49)*4/3))*0.348)</f>
        <v>1.93254763345846001</v>
      </c>
      <c r="BC49" s="76">
        <f>((J49+F49+(LOG(G49)*4/3))*0.881)</f>
        <v>12.8214553594163991</v>
      </c>
      <c r="BD49" s="76">
        <f>((K49+F49+(LOG(G49)*4/3))*0.574)+((L49+F49+(LOG(G49)*4/3))*0.315)</f>
        <v>4.36288174179474009</v>
      </c>
      <c r="BE49" s="76">
        <f>((L49+F49+(LOG(G49)*4/3))*0.241)</f>
        <v>1.33834476914795997</v>
      </c>
      <c r="BF49" s="76">
        <f>((I49+F49+(LOG(G49)*4/3))*0.485)</f>
        <v>2.69334943168778995</v>
      </c>
      <c r="BG49" s="76">
        <f>((I49+F49+(LOG(G49)*4/3))*0.264)</f>
        <v>1.46607061848572995</v>
      </c>
      <c r="BH49" s="76">
        <f>((J49+F49+(LOG(G49)*4/3))*0.381)</f>
        <v>5.54480646076916983</v>
      </c>
      <c r="BI49" s="76">
        <f>((K49+F49+(LOG(G49)*4/3))*0.673)+((L49+F49+(LOG(G49)*4/3))*0.201)</f>
        <v>4.18058227483532985</v>
      </c>
      <c r="BJ49" s="76">
        <f>((L49+F49+(LOG(G49)*4/3))*0.052)</f>
        <v>0.288771485459309964</v>
      </c>
      <c r="BK49" s="76">
        <f>((I49+F49+(LOG(G49)*4/3))*0.18)</f>
        <v>0.999593603512995976</v>
      </c>
      <c r="BL49" s="76">
        <f>(I49+F49+(LOG(G49)*4/3))*0.068</f>
        <v>0.377624250216020974</v>
      </c>
      <c r="BM49" s="76">
        <f>((J49+F49+(LOG(G49)*4/3))*0.305)</f>
        <v>4.43875582817478964</v>
      </c>
      <c r="BN49" s="76">
        <f>((K49+F49+(LOG(G49)*4/3))*1)+((L49+F49+(LOG(G49)*4/3))*0.286)</f>
        <v>6.14154096732062005</v>
      </c>
      <c r="BO49" s="76">
        <f>((L49+F49+(LOG(G49)*4/3))*0.135)</f>
        <v>0.749695202634747027</v>
      </c>
      <c r="BP49" s="76">
        <f>((I49+F49+(LOG(G49)*4/3))*0.284)</f>
        <v>1.57713657443161992</v>
      </c>
      <c r="BQ49" s="76">
        <f>(I49+F49+(LOG(G49)*4/3))*0.244</f>
        <v>1.35500466253983998</v>
      </c>
      <c r="BR49" s="76">
        <f>((J49+F49+(LOG(G49)*4/3))*0.455)</f>
        <v>6.62175049776895008</v>
      </c>
      <c r="BS49" s="76">
        <f>((K49+F49+(LOG(G49)*4/3))*0.864)+((L49+F49+(LOG(G49)*4/3))*0.244)</f>
        <v>5.2890539594022199</v>
      </c>
      <c r="BT49" s="76">
        <f>((L49+F49+(LOG(G49)*4/3))*0.121)</f>
        <v>0.671949033472625068</v>
      </c>
      <c r="BU49" s="76">
        <f>((I49+F49+(LOG(G49)*4/3))*0.284)</f>
        <v>1.57713657443161992</v>
      </c>
      <c r="BV49" s="76">
        <f>((I49+F49+(LOG(G49)*4/3))*0.244)</f>
        <v>1.35500466253983998</v>
      </c>
      <c r="BW49" s="76">
        <f>((J49+F49+(LOG(G49)*4/3))*0.631)</f>
        <v>9.18313091009276938</v>
      </c>
      <c r="BX49" s="76">
        <f>((K49+F49+(LOG(G49)*4/3))*0.702)+((L49+F49+(LOG(G49)*4/3))*0.193)</f>
        <v>4.26820152857850044</v>
      </c>
      <c r="BY49" s="76">
        <f>((L49+F49+(LOG(G49)*4/3))*0.148)</f>
        <v>0.821888073999573976</v>
      </c>
      <c r="BZ49" s="76">
        <f>((J49+F49+(LOG(G49)*4/3))*0.406)</f>
        <v>5.90863890570152961</v>
      </c>
      <c r="CA49" s="76">
        <f>IF(D49="TEC",((K49+F49+(LOG(G49)*4/3))*0.15)+((L49+F49+(LOG(G49)*4/3))*0.324)+((M49+F49+(LOG(G49)*4/3))*0.127),(((K49+F49+(LOG(G49)*4/3))*0.144)+((L49+F49+(LOG(G49)*4/3))*0.25)+((M49+F49+(LOG(G49)*4/3))*0.127)))</f>
        <v>3.13026815239039991</v>
      </c>
      <c r="CB49" s="76">
        <f>((L49+F49+(LOG(G49)*4/3))*0.543)+((M49+F49+(LOG(G49)*4/3))*0.583)</f>
        <v>8.00201331975351948</v>
      </c>
      <c r="CC49" s="76">
        <f>CA49</f>
        <v>3.13026815239039991</v>
      </c>
      <c r="CD49" s="76">
        <f>((M49+1+(LOG(G49)*4/3))*0.26)+((K49+F49+(LOG(G49)*4/3))*0.221)+((L49+F49+(LOG(G49)*4/3))*0.142)</f>
        <v>4.01870452771442999</v>
      </c>
      <c r="CE49" s="76">
        <f>((M49+F49+(LOG(G49)*4/3))*1)+((L49+F49+(LOG(G49)*4/3))*0.369)</f>
        <v>10.6024646844961001</v>
      </c>
      <c r="CF49" s="76">
        <f>CD49</f>
        <v>4.01870452771442999</v>
      </c>
      <c r="CG49" s="76">
        <f>((J49+F49+(LOG(G49)*4/3))*0.25)</f>
        <v>3.6383244493236</v>
      </c>
    </row>
    <row r="50" spans="1:85">
      <c r="A50" t="str">
        <f>A16</f>
        <v>I. Stone</v>
      </c>
      <c r="B50">
        <f>B16</f>
        <v>21</v>
      </c>
      <c r="C50" s="54">
        <f>C16</f>
        <v>72</v>
      </c>
      <c r="D50" t="str">
        <f>D16</f>
        <v>RAP</v>
      </c>
      <c r="E50" s="211">
        <f>E16</f>
        <v>43633</v>
      </c>
      <c r="F50" s="157">
        <f>I16</f>
        <v>1</v>
      </c>
      <c r="G50" s="158">
        <f>J16</f>
        <v>3.79999999999999982</v>
      </c>
      <c r="H50" s="53">
        <f>K16</f>
        <v>0</v>
      </c>
      <c r="I50" s="53">
        <f>L16</f>
        <v>3</v>
      </c>
      <c r="J50" s="53">
        <f>M16</f>
        <v>12</v>
      </c>
      <c r="K50" s="53">
        <f>N16</f>
        <v>2</v>
      </c>
      <c r="L50" s="53">
        <f>O16</f>
        <v>6</v>
      </c>
      <c r="M50" s="53">
        <f>P16</f>
        <v>9</v>
      </c>
      <c r="N50" s="53">
        <f>Q16</f>
        <v>15.3333333333333002</v>
      </c>
      <c r="O50" s="158">
        <f>((2*(L50+1))+(I50+1))/8</f>
        <v>2.25</v>
      </c>
      <c r="P50" s="158">
        <f>1.66*(M50+(LOG(G50)*4/3)+F50)+0.55*(N50+(LOG(G50)*4/3)+F50)-7.6</f>
        <v>19.691762331364199</v>
      </c>
      <c r="Q50" s="158">
        <f>(0.5*M50+0.3*N50)/10</f>
        <v>0.909999999999999076</v>
      </c>
      <c r="R50" s="158">
        <f>(0.4*I50+0.3*N50)/10</f>
        <v>0.579999999999999005</v>
      </c>
      <c r="S50" s="158">
        <f aca="1">IF(TODAY()-E50&gt;335,(N50+1+(LOG(G50)*4/3)),(N50+((TODAY()-E50)^0.5)/(336^0.5)+(LOG(G50)*4/3)))</f>
        <v>17.1063781288223993</v>
      </c>
      <c r="T50" s="76">
        <f>((H50+F50+(LOG(G50)*4/3))*0.597)+((I50+F50+(LOG(G50)*4/3))*0.276)</f>
        <v>2.37586810646197</v>
      </c>
      <c r="U50" s="76">
        <f>((H50+F50+(LOG(G50)*4/3))*0.866)+((I50+F50+(LOG(G50)*4/3))*0.425)</f>
        <v>3.56400083097640019</v>
      </c>
      <c r="V50" s="76">
        <f>T50</f>
        <v>2.37586810646197</v>
      </c>
      <c r="W50" s="76">
        <f>((I50+F50+(LOG(G50)*4/3))*0.516)</f>
        <v>2.46289111447237019</v>
      </c>
      <c r="X50" s="76">
        <f>(I50+F50+(LOG(G50)*4/3))*1</f>
        <v>4.77304479548907956</v>
      </c>
      <c r="Y50" s="76">
        <f>W50/2</f>
        <v>1.23144555723618998</v>
      </c>
      <c r="Z50" s="76">
        <f>(J50+F50+(LOG(G50)*4/3))*0.238</f>
        <v>3.27798466132641009</v>
      </c>
      <c r="AA50" s="76">
        <f>((I50+F50+(LOG(G50)*4/3))*0.378)</f>
        <v>1.8042109326948701</v>
      </c>
      <c r="AB50" s="76">
        <f>(I50+F50+(LOG(G50)*4/3))*0.723</f>
        <v>3.45091138713859991</v>
      </c>
      <c r="AC50" s="76">
        <f>AA50/2</f>
        <v>0.902105466347435048</v>
      </c>
      <c r="AD50" s="76">
        <f>(J50+F50+(LOG(G50)*4/3))*0.385</f>
        <v>5.30262224626330969</v>
      </c>
      <c r="AE50" s="249">
        <f>((I50+F50+(LOG(G50)*4/3))*0.92)</f>
        <v>4.39120121184994971</v>
      </c>
      <c r="AF50" s="76">
        <f>(I50+F50+(LOG(G50)*4/3))*0.414</f>
        <v>1.97604054533248004</v>
      </c>
      <c r="AG50" s="76">
        <f>((J50+F50+(LOG(G50)*4/3))*0.167)</f>
        <v>2.30009848084668</v>
      </c>
      <c r="AH50" s="249">
        <f>(K50+F50+(LOG(G50)*4/3))*0.588</f>
        <v>2.21855033974757987</v>
      </c>
      <c r="AI50" s="76">
        <f>((I50+F50+(LOG(G50)*4/3))*0.754)</f>
        <v>3.59887577579877016</v>
      </c>
      <c r="AJ50" s="76">
        <f>((I50+F50+(LOG(G50)*4/3))*0.708)</f>
        <v>3.37931571520626983</v>
      </c>
      <c r="AK50" s="76">
        <f>((N50+F50+(LOG(G50)*4/3))*0.167)</f>
        <v>2.8567651475133399</v>
      </c>
      <c r="AL50" s="76">
        <f>((O50+F50+(LOG(G50)*4/3))*0.288)</f>
        <v>1.15863690110085993</v>
      </c>
      <c r="AM50" s="76">
        <f>((I50+F50+(LOG(G50)*4/3))*0.27)</f>
        <v>1.2887220947820499</v>
      </c>
      <c r="AN50" s="76">
        <f>((I50+F50+(LOG(G50)*4/3))*0.594)</f>
        <v>2.83518860852051002</v>
      </c>
      <c r="AO50" s="76">
        <f>AM50/2</f>
        <v>0.644361047391024933</v>
      </c>
      <c r="AP50" s="76">
        <f>((J50+F50+(LOG(G50)*4/3))*0.944)</f>
        <v>13.0017542869417007</v>
      </c>
      <c r="AQ50" s="76">
        <f>((L50+F50+(LOG(G50)*4/3))*0.13)</f>
        <v>1.01049582341357991</v>
      </c>
      <c r="AR50" s="76">
        <f>((M50+F50+(LOG(G50)*4/3))*0.173)+((L50+F50+(LOG(G50)*4/3))*0.12)</f>
        <v>2.79650212507829998</v>
      </c>
      <c r="AS50" s="76">
        <f>AQ50/2</f>
        <v>0.505247911706789932</v>
      </c>
      <c r="AT50" s="76">
        <f>((I50+F50+(LOG(G50)*4/3))*0.189)</f>
        <v>0.902105466347436113</v>
      </c>
      <c r="AU50" s="76">
        <f>((I50+F50+(LOG(G50)*4/3))*0.4)</f>
        <v>1.90921791819562987</v>
      </c>
      <c r="AV50" s="76">
        <f>AT50/2</f>
        <v>0.451052733173718057</v>
      </c>
      <c r="AW50" s="76">
        <f>((J50+F50+(LOG(G50)*4/3))*1)</f>
        <v>13.7730447954891009</v>
      </c>
      <c r="AX50" s="76">
        <f>((L50+F50+(LOG(G50)*4/3))*0.253)</f>
        <v>1.96658033325873998</v>
      </c>
      <c r="AY50" s="76">
        <f>((M50+F50+(LOG(G50)*4/3))*0.21)+((L50+F50+(LOG(G50)*4/3))*0.341)</f>
        <v>4.91294768231449019</v>
      </c>
      <c r="AZ50" s="76">
        <f>AX50/2</f>
        <v>0.983290166629369899</v>
      </c>
      <c r="BA50" s="76">
        <f>((I50+F50+(LOG(G50)*4/3))*0.291)</f>
        <v>1.38895603548732005</v>
      </c>
      <c r="BB50" s="76">
        <f>((I50+F50+(LOG(G50)*4/3))*0.348)</f>
        <v>1.6610195888302</v>
      </c>
      <c r="BC50" s="76">
        <f>((J50+F50+(LOG(G50)*4/3))*0.881)</f>
        <v>12.1340524648258992</v>
      </c>
      <c r="BD50" s="76">
        <f>((K50+F50+(LOG(G50)*4/3))*0.574)+((L50+F50+(LOG(G50)*4/3))*0.315)</f>
        <v>4.61423682318979012</v>
      </c>
      <c r="BE50" s="76">
        <f>((L50+F50+(LOG(G50)*4/3))*0.241)</f>
        <v>1.87330379571286993</v>
      </c>
      <c r="BF50" s="76">
        <f>((I50+F50+(LOG(G50)*4/3))*0.485)</f>
        <v>2.31492672581219994</v>
      </c>
      <c r="BG50" s="76">
        <f>((I50+F50+(LOG(G50)*4/3))*0.264)</f>
        <v>1.26008382600912006</v>
      </c>
      <c r="BH50" s="76">
        <f>((J50+F50+(LOG(G50)*4/3))*0.381)</f>
        <v>5.24753006708134961</v>
      </c>
      <c r="BI50" s="76">
        <f>((K50+F50+(LOG(G50)*4/3))*0.673)+((L50+F50+(LOG(G50)*4/3))*0.201)</f>
        <v>4.10164115125745976</v>
      </c>
      <c r="BJ50" s="76">
        <f>((L50+F50+(LOG(G50)*4/3))*0.052)</f>
        <v>0.404198329365431963</v>
      </c>
      <c r="BK50" s="76">
        <f>((I50+F50+(LOG(G50)*4/3))*0.18)</f>
        <v>0.859148063188034072</v>
      </c>
      <c r="BL50" s="76">
        <f>(I50+F50+(LOG(G50)*4/3))*0.068</f>
        <v>0.324567046093256995</v>
      </c>
      <c r="BM50" s="76">
        <f>((J50+F50+(LOG(G50)*4/3))*0.305)</f>
        <v>4.20077866262418009</v>
      </c>
      <c r="BN50" s="76">
        <f>((K50+F50+(LOG(G50)*4/3))*1)+((L50+F50+(LOG(G50)*4/3))*0.286)</f>
        <v>5.9961356069989602</v>
      </c>
      <c r="BO50" s="76">
        <f>((L50+F50+(LOG(G50)*4/3))*0.135)</f>
        <v>1.04936104739102998</v>
      </c>
      <c r="BP50" s="76">
        <f>((I50+F50+(LOG(G50)*4/3))*0.284)</f>
        <v>1.35554472191890008</v>
      </c>
      <c r="BQ50" s="76">
        <f>(I50+F50+(LOG(G50)*4/3))*0.244</f>
        <v>1.16462293009934004</v>
      </c>
      <c r="BR50" s="76">
        <f>((J50+F50+(LOG(G50)*4/3))*0.455)</f>
        <v>6.26673538194753998</v>
      </c>
      <c r="BS50" s="76">
        <f>((K50+F50+(LOG(G50)*4/3))*0.864)+((L50+F50+(LOG(G50)*4/3))*0.244)</f>
        <v>5.15653363340191007</v>
      </c>
      <c r="BT50" s="76">
        <f>((L50+F50+(LOG(G50)*4/3))*0.121)</f>
        <v>0.940538420254178931</v>
      </c>
      <c r="BU50" s="76">
        <f>((I50+F50+(LOG(G50)*4/3))*0.284)</f>
        <v>1.35554472191890008</v>
      </c>
      <c r="BV50" s="76">
        <f>((I50+F50+(LOG(G50)*4/3))*0.244)</f>
        <v>1.16462293009934004</v>
      </c>
      <c r="BW50" s="76">
        <f>((J50+F50+(LOG(G50)*4/3))*0.631)</f>
        <v>8.69079126595362084</v>
      </c>
      <c r="BX50" s="76">
        <f>((K50+F50+(LOG(G50)*4/3))*0.702)+((L50+F50+(LOG(G50)*4/3))*0.193)</f>
        <v>4.14887509196272042</v>
      </c>
      <c r="BY50" s="76">
        <f>((L50+F50+(LOG(G50)*4/3))*0.148)</f>
        <v>1.15041062973237995</v>
      </c>
      <c r="BZ50" s="76">
        <f>((J50+F50+(LOG(G50)*4/3))*0.406)</f>
        <v>5.59185618696858011</v>
      </c>
      <c r="CA50" s="76">
        <f>IF(D50="TEC",((K50+F50+(LOG(G50)*4/3))*0.15)+((L50+F50+(LOG(G50)*4/3))*0.324)+((M50+F50+(LOG(G50)*4/3))*0.127),(((K50+F50+(LOG(G50)*4/3))*0.144)+((L50+F50+(LOG(G50)*4/3))*0.25)+((M50+F50+(LOG(G50)*4/3))*0.127)))</f>
        <v>3.85475633844981971</v>
      </c>
      <c r="CB50" s="76">
        <f>((L50+F50+(LOG(G50)*4/3))*0.543)+((M50+F50+(LOG(G50)*4/3))*0.583)</f>
        <v>10.5014484397207006</v>
      </c>
      <c r="CC50" s="76">
        <f>CA50</f>
        <v>3.85475633844981971</v>
      </c>
      <c r="CD50" s="76">
        <f>((M50+1+(LOG(G50)*4/3))*0.26)+((K50+F50+(LOG(G50)*4/3))*0.221)+((L50+F50+(LOG(G50)*4/3))*0.142)</f>
        <v>4.73860690758970993</v>
      </c>
      <c r="CE50" s="76">
        <f>((M50+F50+(LOG(G50)*4/3))*1)+((L50+F50+(LOG(G50)*4/3))*0.369)</f>
        <v>13.6412983250246</v>
      </c>
      <c r="CF50" s="76">
        <f>CD50</f>
        <v>4.73860690758970993</v>
      </c>
      <c r="CG50" s="76">
        <f>((J50+F50+(LOG(G50)*4/3))*0.25)</f>
        <v>3.4432611988722801</v>
      </c>
    </row>
    <row r="51" spans="1:85">
      <c r="A51" t="str">
        <f>A17</f>
        <v>G. Piscaer</v>
      </c>
      <c r="B51">
        <f>B17</f>
        <v>22</v>
      </c>
      <c r="C51" s="54">
        <f>C17</f>
        <v>33</v>
      </c>
      <c r="D51" t="str">
        <f>D17</f>
        <v>IMP</v>
      </c>
      <c r="E51" s="211">
        <f>E17</f>
        <v>43630</v>
      </c>
      <c r="F51" s="157">
        <f>I17</f>
        <v>1</v>
      </c>
      <c r="G51" s="158">
        <f>J17</f>
        <v>3.70000000000000018</v>
      </c>
      <c r="H51" s="53">
        <f>K17</f>
        <v>0</v>
      </c>
      <c r="I51" s="53">
        <f>L17</f>
        <v>4</v>
      </c>
      <c r="J51" s="53">
        <f>M17</f>
        <v>13</v>
      </c>
      <c r="K51" s="53">
        <f>N17</f>
        <v>3</v>
      </c>
      <c r="L51" s="53">
        <f>O17</f>
        <v>2</v>
      </c>
      <c r="M51" s="53">
        <f>P17</f>
        <v>8</v>
      </c>
      <c r="N51" s="53">
        <f>Q17</f>
        <v>14.3333333333333002</v>
      </c>
      <c r="O51" s="158">
        <f>((2*(L51+1))+(I51+1))/8</f>
        <v>1.375</v>
      </c>
      <c r="P51" s="158">
        <f>1.66*(M51+(LOG(G51)*4/3)+F51)+0.55*(N51+(LOG(G51)*4/3)+F51)-7.6</f>
        <v>17.4476344135840016</v>
      </c>
      <c r="Q51" s="158">
        <f>(0.5*M51+0.3*N51)/10</f>
        <v>0.829999999999999005</v>
      </c>
      <c r="R51" s="158">
        <f>(0.4*I51+0.3*N51)/10</f>
        <v>0.58999999999999897</v>
      </c>
      <c r="S51" s="158">
        <f aca="1">IF(TODAY()-E51&gt;335,(N51+1+(LOG(G51)*4/3)),(N51+((TODAY()-E51)^0.5)/(336^0.5)+(LOG(G51)*4/3)))</f>
        <v>16.0909356320892982</v>
      </c>
      <c r="T51" s="76">
        <f>((H51+F51+(LOG(G51)*4/3))*0.597)+((I51+F51+(LOG(G51)*4/3))*0.276)</f>
        <v>2.63838680681398019</v>
      </c>
      <c r="U51" s="76">
        <f>((H51+F51+(LOG(G51)*4/3))*0.866)+((I51+F51+(LOG(G51)*4/3))*0.425)</f>
        <v>3.96906456769398996</v>
      </c>
      <c r="V51" s="76">
        <f>T51</f>
        <v>2.63838680681398019</v>
      </c>
      <c r="W51" s="76">
        <f>((I51+F51+(LOG(G51)*4/3))*0.516)</f>
        <v>2.97092278615808993</v>
      </c>
      <c r="X51" s="76">
        <f>(I51+F51+(LOG(G51)*4/3))*1</f>
        <v>5.75760229875599006</v>
      </c>
      <c r="Y51" s="76">
        <f>W51/2</f>
        <v>1.48546139307904994</v>
      </c>
      <c r="Z51" s="76">
        <f>(J51+F51+(LOG(G51)*4/3))*0.238</f>
        <v>3.51230934710393017</v>
      </c>
      <c r="AA51" s="76">
        <f>((I51+F51+(LOG(G51)*4/3))*0.378)</f>
        <v>2.17637366892975992</v>
      </c>
      <c r="AB51" s="76">
        <f>(I51+F51+(LOG(G51)*4/3))*0.723</f>
        <v>4.16274646200058029</v>
      </c>
      <c r="AC51" s="76">
        <f>AA51/2</f>
        <v>1.08818683446487995</v>
      </c>
      <c r="AD51" s="76">
        <f>(J51+F51+(LOG(G51)*4/3))*0.385</f>
        <v>5.68167688502106039</v>
      </c>
      <c r="AE51" s="249">
        <f>((I51+F51+(LOG(G51)*4/3))*0.92)</f>
        <v>5.29699411485550975</v>
      </c>
      <c r="AF51" s="76">
        <f>(I51+F51+(LOG(G51)*4/3))*0.414</f>
        <v>2.3836473516849801</v>
      </c>
      <c r="AG51" s="76">
        <f>((J51+F51+(LOG(G51)*4/3))*0.167)</f>
        <v>2.46451958389224979</v>
      </c>
      <c r="AH51" s="249">
        <f>(K51+F51+(LOG(G51)*4/3))*0.588</f>
        <v>2.79747015166852009</v>
      </c>
      <c r="AI51" s="76">
        <f>((I51+F51+(LOG(G51)*4/3))*0.754)</f>
        <v>4.34123213326201984</v>
      </c>
      <c r="AJ51" s="76">
        <f>((I51+F51+(LOG(G51)*4/3))*0.708)</f>
        <v>4.07638242751924018</v>
      </c>
      <c r="AK51" s="76">
        <f>((N51+F51+(LOG(G51)*4/3))*0.167)</f>
        <v>2.68718625055891014</v>
      </c>
      <c r="AL51" s="76">
        <f>((O51+F51+(LOG(G51)*4/3))*0.288)</f>
        <v>0.902189462041724966</v>
      </c>
      <c r="AM51" s="76">
        <f>((I51+F51+(LOG(G51)*4/3))*0.27)</f>
        <v>1.55455262066412008</v>
      </c>
      <c r="AN51" s="76">
        <f>((I51+F51+(LOG(G51)*4/3))*0.594)</f>
        <v>3.42001576546106012</v>
      </c>
      <c r="AO51" s="76">
        <f>AM51/2</f>
        <v>0.777276310332060039</v>
      </c>
      <c r="AP51" s="76">
        <f>((J51+F51+(LOG(G51)*4/3))*0.944)</f>
        <v>13.9311765700257002</v>
      </c>
      <c r="AQ51" s="76">
        <f>((L51+F51+(LOG(G51)*4/3))*0.13)</f>
        <v>0.488488298838279</v>
      </c>
      <c r="AR51" s="76">
        <f>((M51+F51+(LOG(G51)*4/3))*0.173)+((L51+F51+(LOG(G51)*4/3))*0.12)</f>
        <v>2.13897747353551004</v>
      </c>
      <c r="AS51" s="76">
        <f>AQ51/2</f>
        <v>0.244244149419139989</v>
      </c>
      <c r="AT51" s="76">
        <f>((I51+F51+(LOG(G51)*4/3))*0.189)</f>
        <v>1.08818683446487995</v>
      </c>
      <c r="AU51" s="76">
        <f>((I51+F51+(LOG(G51)*4/3))*0.4)</f>
        <v>2.3030409195024002</v>
      </c>
      <c r="AV51" s="76">
        <f>AT51/2</f>
        <v>0.544093417232439958</v>
      </c>
      <c r="AW51" s="76">
        <f>((J51+F51+(LOG(G51)*4/3))*1)</f>
        <v>14.7576022987559998</v>
      </c>
      <c r="AX51" s="76">
        <f>((L51+F51+(LOG(G51)*4/3))*0.253)</f>
        <v>0.950673381585266064</v>
      </c>
      <c r="AY51" s="76">
        <f>((M51+F51+(LOG(G51)*4/3))*0.21)+((L51+F51+(LOG(G51)*4/3))*0.341)</f>
        <v>3.33043886661454991</v>
      </c>
      <c r="AZ51" s="76">
        <f>AX51/2</f>
        <v>0.475336690792633032</v>
      </c>
      <c r="BA51" s="76">
        <f>((I51+F51+(LOG(G51)*4/3))*0.291)</f>
        <v>1.67546226893799011</v>
      </c>
      <c r="BB51" s="76">
        <f>((I51+F51+(LOG(G51)*4/3))*0.348)</f>
        <v>2.00364559996708991</v>
      </c>
      <c r="BC51" s="76">
        <f>((J51+F51+(LOG(G51)*4/3))*0.881)</f>
        <v>13.0014476252039994</v>
      </c>
      <c r="BD51" s="76">
        <f>((K51+F51+(LOG(G51)*4/3))*0.574)+((L51+F51+(LOG(G51)*4/3))*0.315)</f>
        <v>3.91450844359407988</v>
      </c>
      <c r="BE51" s="76">
        <f>((L51+F51+(LOG(G51)*4/3))*0.241)</f>
        <v>0.905582154000193995</v>
      </c>
      <c r="BF51" s="76">
        <f>((I51+F51+(LOG(G51)*4/3))*0.485)</f>
        <v>2.7924371148966598</v>
      </c>
      <c r="BG51" s="76">
        <f>((I51+F51+(LOG(G51)*4/3))*0.264)</f>
        <v>1.52000700687158012</v>
      </c>
      <c r="BH51" s="76">
        <f>((J51+F51+(LOG(G51)*4/3))*0.381)</f>
        <v>5.62264647582604038</v>
      </c>
      <c r="BI51" s="76">
        <f>((K51+F51+(LOG(G51)*4/3))*0.673)+((L51+F51+(LOG(G51)*4/3))*0.201)</f>
        <v>3.95714440911272991</v>
      </c>
      <c r="BJ51" s="76">
        <f>((L51+F51+(LOG(G51)*4/3))*0.052)</f>
        <v>0.195395319535311991</v>
      </c>
      <c r="BK51" s="76">
        <f>((I51+F51+(LOG(G51)*4/3))*0.18)</f>
        <v>1.03636841377608002</v>
      </c>
      <c r="BL51" s="76">
        <f>(I51+F51+(LOG(G51)*4/3))*0.068</f>
        <v>0.391516956315407008</v>
      </c>
      <c r="BM51" s="76">
        <f>((J51+F51+(LOG(G51)*4/3))*0.305)</f>
        <v>4.50106870112058033</v>
      </c>
      <c r="BN51" s="76">
        <f>((K51+F51+(LOG(G51)*4/3))*1)+((L51+F51+(LOG(G51)*4/3))*0.286)</f>
        <v>5.83227655620019991</v>
      </c>
      <c r="BO51" s="76">
        <f>((L51+F51+(LOG(G51)*4/3))*0.135)</f>
        <v>0.507276310332058955</v>
      </c>
      <c r="BP51" s="76">
        <f>((I51+F51+(LOG(G51)*4/3))*0.284)</f>
        <v>1.63515905284669998</v>
      </c>
      <c r="BQ51" s="76">
        <f>(I51+F51+(LOG(G51)*4/3))*0.244</f>
        <v>1.40485496089646</v>
      </c>
      <c r="BR51" s="76">
        <f>((J51+F51+(LOG(G51)*4/3))*0.455)</f>
        <v>6.71470904593398021</v>
      </c>
      <c r="BS51" s="76">
        <f>((K51+F51+(LOG(G51)*4/3))*0.864)+((L51+F51+(LOG(G51)*4/3))*0.244)</f>
        <v>5.02742334702163962</v>
      </c>
      <c r="BT51" s="76">
        <f>((L51+F51+(LOG(G51)*4/3))*0.121)</f>
        <v>0.454669878149474993</v>
      </c>
      <c r="BU51" s="76">
        <f>((I51+F51+(LOG(G51)*4/3))*0.284)</f>
        <v>1.63515905284669998</v>
      </c>
      <c r="BV51" s="76">
        <f>((I51+F51+(LOG(G51)*4/3))*0.244)</f>
        <v>1.40485496089646</v>
      </c>
      <c r="BW51" s="76">
        <f>((J51+F51+(LOG(G51)*4/3))*0.631)</f>
        <v>9.31204705051504078</v>
      </c>
      <c r="BX51" s="76">
        <f>((K51+F51+(LOG(G51)*4/3))*0.702)+((L51+F51+(LOG(G51)*4/3))*0.193)</f>
        <v>4.06505405738661985</v>
      </c>
      <c r="BY51" s="76">
        <f>((L51+F51+(LOG(G51)*4/3))*0.148)</f>
        <v>0.556125140215887015</v>
      </c>
      <c r="BZ51" s="76">
        <f>((J51+F51+(LOG(G51)*4/3))*0.406)</f>
        <v>5.99158653329493962</v>
      </c>
      <c r="CA51" s="76">
        <f>IF(D51="TEC",((K51+F51+(LOG(G51)*4/3))*0.15)+((L51+F51+(LOG(G51)*4/3))*0.324)+((M51+F51+(LOG(G51)*4/3))*0.127),(((K51+F51+(LOG(G51)*4/3))*0.144)+((L51+F51+(LOG(G51)*4/3))*0.25)+((M51+F51+(LOG(G51)*4/3))*0.127)))</f>
        <v>2.86371079765187009</v>
      </c>
      <c r="CB51" s="76">
        <f>((L51+F51+(LOG(G51)*4/3))*0.543)+((M51+F51+(LOG(G51)*4/3))*0.583)</f>
        <v>7.72906018839923981</v>
      </c>
      <c r="CC51" s="76">
        <f>CA51</f>
        <v>2.86371079765187009</v>
      </c>
      <c r="CD51" s="76">
        <f>((M51+1+(LOG(G51)*4/3))*0.26)+((K51+F51+(LOG(G51)*4/3))*0.221)+((L51+F51+(LOG(G51)*4/3))*0.142)</f>
        <v>4.12198623212498028</v>
      </c>
      <c r="CE51" s="76">
        <f>((M51+F51+(LOG(G51)*4/3))*1)+((L51+F51+(LOG(G51)*4/3))*0.369)</f>
        <v>11.1441575469970005</v>
      </c>
      <c r="CF51" s="76">
        <f>CD51</f>
        <v>4.12198623212498028</v>
      </c>
      <c r="CG51" s="76">
        <f>((J51+F51+(LOG(G51)*4/3))*0.25)</f>
        <v>3.68940057468899996</v>
      </c>
    </row>
    <row r="52" spans="1:85">
      <c r="A52" t="str">
        <f>A18</f>
        <v>M. Bondarewski</v>
      </c>
      <c r="B52">
        <f>B18</f>
        <v>22</v>
      </c>
      <c r="C52" s="54">
        <f>C18</f>
        <v>33</v>
      </c>
      <c r="D52" t="str">
        <f>D18</f>
        <v>RAP</v>
      </c>
      <c r="E52" s="211">
        <f>E18</f>
        <v>43627</v>
      </c>
      <c r="F52" s="157">
        <f>I18</f>
        <v>1</v>
      </c>
      <c r="G52" s="158">
        <f>J18</f>
        <v>3.9</v>
      </c>
      <c r="H52" s="53">
        <f>K18</f>
        <v>0</v>
      </c>
      <c r="I52" s="53">
        <f>L18</f>
        <v>2</v>
      </c>
      <c r="J52" s="53">
        <f>M18</f>
        <v>13</v>
      </c>
      <c r="K52" s="53">
        <f>N18</f>
        <v>5</v>
      </c>
      <c r="L52" s="53">
        <f>O18</f>
        <v>4</v>
      </c>
      <c r="M52" s="53">
        <f>P18</f>
        <v>8</v>
      </c>
      <c r="N52" s="53">
        <f>Q18</f>
        <v>17</v>
      </c>
      <c r="O52" s="158">
        <f>((2*(L52+1))+(I52+1))/8</f>
        <v>1.625</v>
      </c>
      <c r="P52" s="158">
        <f>1.66*(M52+(LOG(G52)*4/3)+F52)+0.55*(N52+(LOG(G52)*4/3)+F52)-7.6</f>
        <v>18.9816703753714009</v>
      </c>
      <c r="Q52" s="158">
        <f>(0.5*M52+0.3*N52)/10</f>
        <v>0.909999999999999964</v>
      </c>
      <c r="R52" s="158">
        <f>(0.4*I52+0.3*N52)/10</f>
        <v>0.589999999999999947</v>
      </c>
      <c r="S52" s="158">
        <f aca="1">IF(TODAY()-E52&gt;335,(N52+1+(LOG(G52)*4/3)),(N52+((TODAY()-E52)^0.5)/(336^0.5)+(LOG(G52)*4/3)))</f>
        <v>18.7880861427019994</v>
      </c>
      <c r="T52" s="76">
        <f>((H52+F52+(LOG(G52)*4/3))*0.597)+((I52+F52+(LOG(G52)*4/3))*0.276)</f>
        <v>2.11299920257884022</v>
      </c>
      <c r="U52" s="76">
        <f>((H52+F52+(LOG(G52)*4/3))*0.866)+((I52+F52+(LOG(G52)*4/3))*0.425)</f>
        <v>3.15841921022827998</v>
      </c>
      <c r="V52" s="76">
        <f>T52</f>
        <v>2.11299920257884022</v>
      </c>
      <c r="W52" s="76">
        <f>((I52+F52+(LOG(G52)*4/3))*0.516)</f>
        <v>1.95465244963422986</v>
      </c>
      <c r="X52" s="76">
        <f>(I52+F52+(LOG(G52)*4/3))*1</f>
        <v>3.78808614270199984</v>
      </c>
      <c r="Y52" s="76">
        <f>W52/2</f>
        <v>0.977326224817115019</v>
      </c>
      <c r="Z52" s="76">
        <f>(J52+F52+(LOG(G52)*4/3))*0.238</f>
        <v>3.51956450196307991</v>
      </c>
      <c r="AA52" s="76">
        <f>((I52+F52+(LOG(G52)*4/3))*0.378)</f>
        <v>1.43189656194135999</v>
      </c>
      <c r="AB52" s="76">
        <f>(I52+F52+(LOG(G52)*4/3))*0.723</f>
        <v>2.73878628117354994</v>
      </c>
      <c r="AC52" s="76">
        <f>AA52/2</f>
        <v>0.715948280970679996</v>
      </c>
      <c r="AD52" s="76">
        <f>(J52+F52+(LOG(G52)*4/3))*0.385</f>
        <v>5.69341316494026994</v>
      </c>
      <c r="AE52" s="249">
        <f>((I52+F52+(LOG(G52)*4/3))*0.92)</f>
        <v>3.48503925128584013</v>
      </c>
      <c r="AF52" s="76">
        <f>(I52+F52+(LOG(G52)*4/3))*0.414</f>
        <v>1.56826766307863004</v>
      </c>
      <c r="AG52" s="76">
        <f>((J52+F52+(LOG(G52)*4/3))*0.167)</f>
        <v>2.46961038583122994</v>
      </c>
      <c r="AH52" s="249">
        <f>(K52+F52+(LOG(G52)*4/3))*0.588</f>
        <v>3.99139465190877996</v>
      </c>
      <c r="AI52" s="76">
        <f>((I52+F52+(LOG(G52)*4/3))*0.754)</f>
        <v>2.85621695159731015</v>
      </c>
      <c r="AJ52" s="76">
        <f>((I52+F52+(LOG(G52)*4/3))*0.708)</f>
        <v>2.68196498903302016</v>
      </c>
      <c r="AK52" s="76">
        <f>((N52+F52+(LOG(G52)*4/3))*0.167)</f>
        <v>3.13761038583123009</v>
      </c>
      <c r="AL52" s="76">
        <f>((O52+F52+(LOG(G52)*4/3))*0.288)</f>
        <v>0.982968809098175988</v>
      </c>
      <c r="AM52" s="76">
        <f>((I52+F52+(LOG(G52)*4/3))*0.27)</f>
        <v>1.02278325852954</v>
      </c>
      <c r="AN52" s="76">
        <f>((I52+F52+(LOG(G52)*4/3))*0.594)</f>
        <v>2.25012316876498986</v>
      </c>
      <c r="AO52" s="76">
        <f>AM52/2</f>
        <v>0.511391629264769954</v>
      </c>
      <c r="AP52" s="76">
        <f>((J52+F52+(LOG(G52)*4/3))*0.944)</f>
        <v>13.9599533187106992</v>
      </c>
      <c r="AQ52" s="76">
        <f>((L52+F52+(LOG(G52)*4/3))*0.13)</f>
        <v>0.752451198551259992</v>
      </c>
      <c r="AR52" s="76">
        <f>((M52+F52+(LOG(G52)*4/3))*0.173)+((L52+F52+(LOG(G52)*4/3))*0.12)</f>
        <v>2.38790923981169012</v>
      </c>
      <c r="AS52" s="76">
        <f>AQ52/2</f>
        <v>0.376225599275629996</v>
      </c>
      <c r="AT52" s="76">
        <f>((I52+F52+(LOG(G52)*4/3))*0.189)</f>
        <v>0.715948280970677953</v>
      </c>
      <c r="AU52" s="76">
        <f>((I52+F52+(LOG(G52)*4/3))*0.4)</f>
        <v>1.51523445708080011</v>
      </c>
      <c r="AV52" s="76">
        <f>AT52/2</f>
        <v>0.357974140485338976</v>
      </c>
      <c r="AW52" s="76">
        <f>((J52+F52+(LOG(G52)*4/3))*1)</f>
        <v>14.7880861427019994</v>
      </c>
      <c r="AX52" s="76">
        <f>((L52+F52+(LOG(G52)*4/3))*0.253)</f>
        <v>1.46438579410361003</v>
      </c>
      <c r="AY52" s="76">
        <f>((M52+F52+(LOG(G52)*4/3))*0.21)+((L52+F52+(LOG(G52)*4/3))*0.341)</f>
        <v>4.02923546462880022</v>
      </c>
      <c r="AZ52" s="76">
        <f>AX52/2</f>
        <v>0.73219289705180497</v>
      </c>
      <c r="BA52" s="76">
        <f>((I52+F52+(LOG(G52)*4/3))*0.291)</f>
        <v>1.10233306752627991</v>
      </c>
      <c r="BB52" s="76">
        <f>((I52+F52+(LOG(G52)*4/3))*0.348)</f>
        <v>1.31825397766029995</v>
      </c>
      <c r="BC52" s="76">
        <f>((J52+F52+(LOG(G52)*4/3))*0.881)</f>
        <v>13.0283038917204994</v>
      </c>
      <c r="BD52" s="76">
        <f>((K52+F52+(LOG(G52)*4/3))*0.574)+((L52+F52+(LOG(G52)*4/3))*0.315)</f>
        <v>5.71960858086208024</v>
      </c>
      <c r="BE52" s="76">
        <f>((L52+F52+(LOG(G52)*4/3))*0.241)</f>
        <v>1.39492876039117997</v>
      </c>
      <c r="BF52" s="76">
        <f>((I52+F52+(LOG(G52)*4/3))*0.485)</f>
        <v>1.83722177921046992</v>
      </c>
      <c r="BG52" s="76">
        <f>((I52+F52+(LOG(G52)*4/3))*0.264)</f>
        <v>1.00005474167333008</v>
      </c>
      <c r="BH52" s="76">
        <f>((J52+F52+(LOG(G52)*4/3))*0.381)</f>
        <v>5.63426082036945974</v>
      </c>
      <c r="BI52" s="76">
        <f>((K52+F52+(LOG(G52)*4/3))*0.673)+((L52+F52+(LOG(G52)*4/3))*0.201)</f>
        <v>5.73178728872155041</v>
      </c>
      <c r="BJ52" s="76">
        <f>((L52+F52+(LOG(G52)*4/3))*0.052)</f>
        <v>0.300980479420503988</v>
      </c>
      <c r="BK52" s="76">
        <f>((I52+F52+(LOG(G52)*4/3))*0.18)</f>
        <v>0.681855505686359997</v>
      </c>
      <c r="BL52" s="76">
        <f>(I52+F52+(LOG(G52)*4/3))*0.068</f>
        <v>0.257589857703735969</v>
      </c>
      <c r="BM52" s="76">
        <f>((J52+F52+(LOG(G52)*4/3))*0.305)</f>
        <v>4.51036627352411035</v>
      </c>
      <c r="BN52" s="76">
        <f>((K52+F52+(LOG(G52)*4/3))*1)+((L52+F52+(LOG(G52)*4/3))*0.286)</f>
        <v>8.44347877951476988</v>
      </c>
      <c r="BO52" s="76">
        <f>((L52+F52+(LOG(G52)*4/3))*0.135)</f>
        <v>0.78139162926477006</v>
      </c>
      <c r="BP52" s="76">
        <f>((I52+F52+(LOG(G52)*4/3))*0.284)</f>
        <v>1.07581646452737001</v>
      </c>
      <c r="BQ52" s="76">
        <f>(I52+F52+(LOG(G52)*4/3))*0.244</f>
        <v>0.924293018819288115</v>
      </c>
      <c r="BR52" s="76">
        <f>((J52+F52+(LOG(G52)*4/3))*0.455)</f>
        <v>6.72857919492941026</v>
      </c>
      <c r="BS52" s="76">
        <f>((K52+F52+(LOG(G52)*4/3))*0.864)+((L52+F52+(LOG(G52)*4/3))*0.244)</f>
        <v>7.27719944611382008</v>
      </c>
      <c r="BT52" s="76">
        <f>((L52+F52+(LOG(G52)*4/3))*0.121)</f>
        <v>0.700358423266941976</v>
      </c>
      <c r="BU52" s="76">
        <f>((I52+F52+(LOG(G52)*4/3))*0.284)</f>
        <v>1.07581646452737001</v>
      </c>
      <c r="BV52" s="76">
        <f>((I52+F52+(LOG(G52)*4/3))*0.244)</f>
        <v>0.924293018819288115</v>
      </c>
      <c r="BW52" s="76">
        <f>((J52+F52+(LOG(G52)*4/3))*0.631)</f>
        <v>9.33128235604496048</v>
      </c>
      <c r="BX52" s="76">
        <f>((K52+F52+(LOG(G52)*4/3))*0.702)+((L52+F52+(LOG(G52)*4/3))*0.193)</f>
        <v>5.88233709771829982</v>
      </c>
      <c r="BY52" s="76">
        <f>((L52+F52+(LOG(G52)*4/3))*0.148)</f>
        <v>0.856636749119896024</v>
      </c>
      <c r="BZ52" s="76">
        <f>((J52+F52+(LOG(G52)*4/3))*0.406)</f>
        <v>6.00396297393700973</v>
      </c>
      <c r="CA52" s="76">
        <f>IF(D52="TEC",((K52+F52+(LOG(G52)*4/3))*0.15)+((L52+F52+(LOG(G52)*4/3))*0.324)+((M52+F52+(LOG(G52)*4/3))*0.127),(((K52+F52+(LOG(G52)*4/3))*0.144)+((L52+F52+(LOG(G52)*4/3))*0.25)+((M52+F52+(LOG(G52)*4/3))*0.127)))</f>
        <v>3.66759288034774</v>
      </c>
      <c r="CB52" s="76">
        <f>((L52+F52+(LOG(G52)*4/3))*0.543)+((M52+F52+(LOG(G52)*4/3))*0.583)</f>
        <v>8.84938499668245981</v>
      </c>
      <c r="CC52" s="76">
        <f>CA52</f>
        <v>3.66759288034774</v>
      </c>
      <c r="CD52" s="76">
        <f>((M52+1+(LOG(G52)*4/3))*0.26)+((K52+F52+(LOG(G52)*4/3))*0.221)+((L52+F52+(LOG(G52)*4/3))*0.142)</f>
        <v>4.86697766690334976</v>
      </c>
      <c r="CE52" s="76">
        <f>((M52+F52+(LOG(G52)*4/3))*1)+((L52+F52+(LOG(G52)*4/3))*0.369)</f>
        <v>11.9238899293589995</v>
      </c>
      <c r="CF52" s="76">
        <f>CD52</f>
        <v>4.86697766690334976</v>
      </c>
      <c r="CG52" s="76">
        <f>((J52+F52+(LOG(G52)*4/3))*0.25)</f>
        <v>3.69702153567549985</v>
      </c>
    </row>
    <row r="53" spans="1:85">
      <c r="A53" t="str">
        <f>A19</f>
        <v>P. Tuderek</v>
      </c>
      <c r="B53">
        <f>B19</f>
        <v>22</v>
      </c>
      <c r="C53" s="54">
        <f>C19</f>
        <v>19</v>
      </c>
      <c r="D53" t="str">
        <f>D19</f>
        <v>CAB</v>
      </c>
      <c r="E53" s="211">
        <f>E19</f>
        <v>43626</v>
      </c>
      <c r="F53" s="157">
        <f>I19</f>
        <v>1</v>
      </c>
      <c r="G53" s="158">
        <f>J19</f>
        <v>2.9</v>
      </c>
      <c r="H53" s="53">
        <f>K19</f>
        <v>0</v>
      </c>
      <c r="I53" s="53">
        <f>L19</f>
        <v>6</v>
      </c>
      <c r="J53" s="53">
        <f>M19</f>
        <v>12</v>
      </c>
      <c r="K53" s="53">
        <f>N19</f>
        <v>2</v>
      </c>
      <c r="L53" s="53">
        <f>O19</f>
        <v>3</v>
      </c>
      <c r="M53" s="53">
        <f>P19</f>
        <v>6</v>
      </c>
      <c r="N53" s="53">
        <f>Q19</f>
        <v>17.25</v>
      </c>
      <c r="O53" s="158">
        <f>((2*(L53+1))+(I53+1))/8</f>
        <v>1.875</v>
      </c>
      <c r="P53" s="158">
        <f>1.66*(M53+(LOG(G53)*4/3)+F53)+0.55*(N53+(LOG(G53)*4/3)+F53)-7.6</f>
        <v>15.4200327671421995</v>
      </c>
      <c r="Q53" s="158">
        <f>(0.5*M53+0.3*N53)/10</f>
        <v>0.817500000000000071</v>
      </c>
      <c r="R53" s="158">
        <f>(0.4*I53+0.3*N53)/10</f>
        <v>0.757499999999999929</v>
      </c>
      <c r="S53" s="158">
        <f aca="1">IF(TODAY()-E53&gt;335,(N53+1+(LOG(G53)*4/3)),(N53+((TODAY()-E53)^0.5)/(336^0.5)+(LOG(G53)*4/3)))</f>
        <v>18.8665306638653014</v>
      </c>
      <c r="T53" s="76">
        <f>((H53+F53+(LOG(G53)*4/3))*0.597)+((I53+F53+(LOG(G53)*4/3))*0.276)</f>
        <v>3.06723126955438996</v>
      </c>
      <c r="U53" s="76">
        <f>((H53+F53+(LOG(G53)*4/3))*0.866)+((I53+F53+(LOG(G53)*4/3))*0.425)</f>
        <v>4.63694108705005981</v>
      </c>
      <c r="V53" s="76">
        <f>T53</f>
        <v>3.06723126955438996</v>
      </c>
      <c r="W53" s="76">
        <f>((I53+F53+(LOG(G53)*4/3))*0.516)</f>
        <v>3.93012982255448016</v>
      </c>
      <c r="X53" s="76">
        <f>(I53+F53+(LOG(G53)*4/3))*1</f>
        <v>7.61653066386527033</v>
      </c>
      <c r="Y53" s="76">
        <f>W53/2</f>
        <v>1.96506491127724008</v>
      </c>
      <c r="Z53" s="76">
        <f>(J53+F53+(LOG(G53)*4/3))*0.238</f>
        <v>3.24073429799994006</v>
      </c>
      <c r="AA53" s="76">
        <f>((I53+F53+(LOG(G53)*4/3))*0.378)</f>
        <v>2.87904859094106982</v>
      </c>
      <c r="AB53" s="76">
        <f>(I53+F53+(LOG(G53)*4/3))*0.723</f>
        <v>5.50675166997458998</v>
      </c>
      <c r="AC53" s="76">
        <f>AA53/2</f>
        <v>1.43952429547054006</v>
      </c>
      <c r="AD53" s="76">
        <f>(J53+F53+(LOG(G53)*4/3))*0.385</f>
        <v>5.24236430558813993</v>
      </c>
      <c r="AE53" s="249">
        <f>((I53+F53+(LOG(G53)*4/3))*0.92)</f>
        <v>7.00720821075605027</v>
      </c>
      <c r="AF53" s="76">
        <f>(I53+F53+(LOG(G53)*4/3))*0.414</f>
        <v>3.15324369484021982</v>
      </c>
      <c r="AG53" s="76">
        <f>((J53+F53+(LOG(G53)*4/3))*0.167)</f>
        <v>2.27396062086550987</v>
      </c>
      <c r="AH53" s="249">
        <f>(K53+F53+(LOG(G53)*4/3))*0.588</f>
        <v>2.12652003035278003</v>
      </c>
      <c r="AI53" s="76">
        <f>((I53+F53+(LOG(G53)*4/3))*0.754)</f>
        <v>5.74286412055440998</v>
      </c>
      <c r="AJ53" s="76">
        <f>((I53+F53+(LOG(G53)*4/3))*0.708)</f>
        <v>5.39250371001661044</v>
      </c>
      <c r="AK53" s="76">
        <f>((N53+F53+(LOG(G53)*4/3))*0.167)</f>
        <v>3.15071062086550979</v>
      </c>
      <c r="AL53" s="76">
        <f>((O53+F53+(LOG(G53)*4/3))*0.288)</f>
        <v>1.00556083119320006</v>
      </c>
      <c r="AM53" s="76">
        <f>((I53+F53+(LOG(G53)*4/3))*0.27)</f>
        <v>2.05646327924362016</v>
      </c>
      <c r="AN53" s="76">
        <f>((I53+F53+(LOG(G53)*4/3))*0.594)</f>
        <v>4.52421921433596985</v>
      </c>
      <c r="AO53" s="76">
        <f>AM53/2</f>
        <v>1.02823163962181008</v>
      </c>
      <c r="AP53" s="76">
        <f>((J53+F53+(LOG(G53)*4/3))*0.944)</f>
        <v>12.8540049466888</v>
      </c>
      <c r="AQ53" s="76">
        <f>((L53+F53+(LOG(G53)*4/3))*0.13)</f>
        <v>0.60014898630248501</v>
      </c>
      <c r="AR53" s="76">
        <f>((M53+F53+(LOG(G53)*4/3))*0.173)+((L53+F53+(LOG(G53)*4/3))*0.12)</f>
        <v>1.87164348451251996</v>
      </c>
      <c r="AS53" s="76">
        <f>AQ53/2</f>
        <v>0.300074493151242994</v>
      </c>
      <c r="AT53" s="76">
        <f>((I53+F53+(LOG(G53)*4/3))*0.189)</f>
        <v>1.43952429547054006</v>
      </c>
      <c r="AU53" s="76">
        <f>((I53+F53+(LOG(G53)*4/3))*0.4)</f>
        <v>3.04661226554611009</v>
      </c>
      <c r="AV53" s="76">
        <f>AT53/2</f>
        <v>0.71976214773527003</v>
      </c>
      <c r="AW53" s="76">
        <f>((J53+F53+(LOG(G53)*4/3))*1)</f>
        <v>13.6165306638652996</v>
      </c>
      <c r="AX53" s="76">
        <f>((L53+F53+(LOG(G53)*4/3))*0.253)</f>
        <v>1.16798225795791</v>
      </c>
      <c r="AY53" s="76">
        <f>((M53+F53+(LOG(G53)*4/3))*0.21)+((L53+F53+(LOG(G53)*4/3))*0.341)</f>
        <v>3.17370839578976982</v>
      </c>
      <c r="AZ53" s="76">
        <f>AX53/2</f>
        <v>0.583991128978954954</v>
      </c>
      <c r="BA53" s="76">
        <f>((I53+F53+(LOG(G53)*4/3))*0.291)</f>
        <v>2.21641042318479009</v>
      </c>
      <c r="BB53" s="76">
        <f>((I53+F53+(LOG(G53)*4/3))*0.348)</f>
        <v>2.65055267102510994</v>
      </c>
      <c r="BC53" s="76">
        <f>((J53+F53+(LOG(G53)*4/3))*0.881)</f>
        <v>11.9961635148652999</v>
      </c>
      <c r="BD53" s="76">
        <f>((K53+F53+(LOG(G53)*4/3))*0.574)+((L53+F53+(LOG(G53)*4/3))*0.315)</f>
        <v>3.53009576017623017</v>
      </c>
      <c r="BE53" s="76">
        <f>((L53+F53+(LOG(G53)*4/3))*0.241)</f>
        <v>1.11258388999152991</v>
      </c>
      <c r="BF53" s="76">
        <f>((I53+F53+(LOG(G53)*4/3))*0.485)</f>
        <v>3.69401737197466007</v>
      </c>
      <c r="BG53" s="76">
        <f>((I53+F53+(LOG(G53)*4/3))*0.264)</f>
        <v>2.01076409526043021</v>
      </c>
      <c r="BH53" s="76">
        <f>((J53+F53+(LOG(G53)*4/3))*0.381)</f>
        <v>5.18789818293268024</v>
      </c>
      <c r="BI53" s="76">
        <f>((K53+F53+(LOG(G53)*4/3))*0.673)+((L53+F53+(LOG(G53)*4/3))*0.201)</f>
        <v>3.36184780021824992</v>
      </c>
      <c r="BJ53" s="76">
        <f>((L53+F53+(LOG(G53)*4/3))*0.052)</f>
        <v>0.240059594520994013</v>
      </c>
      <c r="BK53" s="76">
        <f>((I53+F53+(LOG(G53)*4/3))*0.18)</f>
        <v>1.37097551949575003</v>
      </c>
      <c r="BL53" s="76">
        <f>(I53+F53+(LOG(G53)*4/3))*0.068</f>
        <v>0.517924085142838031</v>
      </c>
      <c r="BM53" s="76">
        <f>((J53+F53+(LOG(G53)*4/3))*0.305)</f>
        <v>4.15304185247892033</v>
      </c>
      <c r="BN53" s="76">
        <f>((K53+F53+(LOG(G53)*4/3))*1)+((L53+F53+(LOG(G53)*4/3))*0.286)</f>
        <v>4.93685843373074018</v>
      </c>
      <c r="BO53" s="76">
        <f>((L53+F53+(LOG(G53)*4/3))*0.135)</f>
        <v>0.62323163962181205</v>
      </c>
      <c r="BP53" s="76">
        <f>((I53+F53+(LOG(G53)*4/3))*0.284)</f>
        <v>2.16309470853774011</v>
      </c>
      <c r="BQ53" s="76">
        <f>(I53+F53+(LOG(G53)*4/3))*0.244</f>
        <v>1.85843348198313016</v>
      </c>
      <c r="BR53" s="76">
        <f>((J53+F53+(LOG(G53)*4/3))*0.455)</f>
        <v>6.19552145205870985</v>
      </c>
      <c r="BS53" s="76">
        <f>((K53+F53+(LOG(G53)*4/3))*0.864)+((L53+F53+(LOG(G53)*4/3))*0.244)</f>
        <v>4.25111597556271992</v>
      </c>
      <c r="BT53" s="76">
        <f>((L53+F53+(LOG(G53)*4/3))*0.121)</f>
        <v>0.558600210327698043</v>
      </c>
      <c r="BU53" s="76">
        <f>((I53+F53+(LOG(G53)*4/3))*0.284)</f>
        <v>2.16309470853774011</v>
      </c>
      <c r="BV53" s="76">
        <f>((I53+F53+(LOG(G53)*4/3))*0.244)</f>
        <v>1.85843348198313016</v>
      </c>
      <c r="BW53" s="76">
        <f>((J53+F53+(LOG(G53)*4/3))*0.631)</f>
        <v>8.59203084889900914</v>
      </c>
      <c r="BX53" s="76">
        <f>((K53+F53+(LOG(G53)*4/3))*0.702)+((L53+F53+(LOG(G53)*4/3))*0.193)</f>
        <v>3.42979494415942021</v>
      </c>
      <c r="BY53" s="76">
        <f>((L53+F53+(LOG(G53)*4/3))*0.148)</f>
        <v>0.683246538252060098</v>
      </c>
      <c r="BZ53" s="76">
        <f>((J53+F53+(LOG(G53)*4/3))*0.406)</f>
        <v>5.5283114495293102</v>
      </c>
      <c r="CA53" s="76">
        <f>IF(D53="TEC",((K53+F53+(LOG(G53)*4/3))*0.15)+((L53+F53+(LOG(G53)*4/3))*0.324)+((M53+F53+(LOG(G53)*4/3))*0.127),(((K53+F53+(LOG(G53)*4/3))*0.144)+((L53+F53+(LOG(G53)*4/3))*0.25)+((M53+F53+(LOG(G53)*4/3))*0.127)))</f>
        <v>2.64221247587380992</v>
      </c>
      <c r="CB53" s="76">
        <f>((L53+F53+(LOG(G53)*4/3))*0.543)+((M53+F53+(LOG(G53)*4/3))*0.583)</f>
        <v>6.94721352751229038</v>
      </c>
      <c r="CC53" s="76">
        <f>CA53</f>
        <v>2.64221247587380992</v>
      </c>
      <c r="CD53" s="76">
        <f>((M53+1+(LOG(G53)*4/3))*0.26)+((K53+F53+(LOG(G53)*4/3))*0.221)+((L53+F53+(LOG(G53)*4/3))*0.142)</f>
        <v>3.43509860358807018</v>
      </c>
      <c r="CE53" s="76">
        <f>((M53+F53+(LOG(G53)*4/3))*1)+((L53+F53+(LOG(G53)*4/3))*0.369)</f>
        <v>9.32003047883154956</v>
      </c>
      <c r="CF53" s="76">
        <f>CD53</f>
        <v>3.43509860358807018</v>
      </c>
      <c r="CG53" s="76">
        <f>((J53+F53+(LOG(G53)*4/3))*0.25)</f>
        <v>3.4041326659663298</v>
      </c>
    </row>
    <row r="54" spans="1:85">
      <c r="A54" t="str">
        <f>A20</f>
        <v>R. Forsyth</v>
      </c>
      <c r="B54">
        <f>B20</f>
        <v>22</v>
      </c>
      <c r="C54" s="54">
        <f>C20</f>
        <v>74</v>
      </c>
      <c r="D54" t="str">
        <f>D20</f>
        <v>POT</v>
      </c>
      <c r="E54" s="211">
        <f>E20</f>
        <v>43626</v>
      </c>
      <c r="F54" s="157">
        <f>I20</f>
        <v>1</v>
      </c>
      <c r="G54" s="158">
        <f>J20</f>
        <v>3.9</v>
      </c>
      <c r="H54" s="53">
        <f>K20</f>
        <v>0</v>
      </c>
      <c r="I54" s="53">
        <f>L20</f>
        <v>7</v>
      </c>
      <c r="J54" s="53">
        <f>M20</f>
        <v>13</v>
      </c>
      <c r="K54" s="53">
        <f>N20</f>
        <v>3</v>
      </c>
      <c r="L54" s="53">
        <f>O20</f>
        <v>4</v>
      </c>
      <c r="M54" s="53">
        <f>P20</f>
        <v>6</v>
      </c>
      <c r="N54" s="53">
        <f>Q20</f>
        <v>15</v>
      </c>
      <c r="O54" s="158">
        <f>((2*(L54+1))+(I54+1))/8</f>
        <v>2.25</v>
      </c>
      <c r="P54" s="158">
        <f>1.66*(M54+(LOG(G54)*4/3)+F54)+0.55*(N54+(LOG(G54)*4/3)+F54)-7.6</f>
        <v>14.5616703753713992</v>
      </c>
      <c r="Q54" s="158">
        <f>(0.5*M54+0.3*N54)/10</f>
        <v>0.75</v>
      </c>
      <c r="R54" s="158">
        <f>(0.4*I54+0.3*N54)/10</f>
        <v>0.729999999999999982</v>
      </c>
      <c r="S54" s="158">
        <f aca="1">IF(TODAY()-E54&gt;335,(N54+1+(LOG(G54)*4/3)),(N54+((TODAY()-E54)^0.5)/(336^0.5)+(LOG(G54)*4/3)))</f>
        <v>16.7880861427019994</v>
      </c>
      <c r="T54" s="76">
        <f>((H54+F54+(LOG(G54)*4/3))*0.597)+((I54+F54+(LOG(G54)*4/3))*0.276)</f>
        <v>3.49299920257884011</v>
      </c>
      <c r="U54" s="76">
        <f>((H54+F54+(LOG(G54)*4/3))*0.866)+((I54+F54+(LOG(G54)*4/3))*0.425)</f>
        <v>5.28341921022828043</v>
      </c>
      <c r="V54" s="76">
        <f>T54</f>
        <v>3.49299920257884011</v>
      </c>
      <c r="W54" s="76">
        <f>((I54+F54+(LOG(G54)*4/3))*0.516)</f>
        <v>4.53465244963422975</v>
      </c>
      <c r="X54" s="76">
        <f>(I54+F54+(LOG(G54)*4/3))*1</f>
        <v>8.78808614270199939</v>
      </c>
      <c r="Y54" s="76">
        <f>W54/2</f>
        <v>2.26732622481712021</v>
      </c>
      <c r="Z54" s="76">
        <f>(J54+F54+(LOG(G54)*4/3))*0.238</f>
        <v>3.51956450196307991</v>
      </c>
      <c r="AA54" s="76">
        <f>((I54+F54+(LOG(G54)*4/3))*0.378)</f>
        <v>3.32189656194135985</v>
      </c>
      <c r="AB54" s="76">
        <f>(I54+F54+(LOG(G54)*4/3))*0.723</f>
        <v>6.35378628117354971</v>
      </c>
      <c r="AC54" s="76">
        <f>AA54/2</f>
        <v>1.66094828097067992</v>
      </c>
      <c r="AD54" s="76">
        <f>(J54+F54+(LOG(G54)*4/3))*0.385</f>
        <v>5.69341316494026994</v>
      </c>
      <c r="AE54" s="249">
        <f>((I54+F54+(LOG(G54)*4/3))*0.92)</f>
        <v>8.08503925128584022</v>
      </c>
      <c r="AF54" s="76">
        <f>(I54+F54+(LOG(G54)*4/3))*0.414</f>
        <v>3.63826766307863014</v>
      </c>
      <c r="AG54" s="76">
        <f>((J54+F54+(LOG(G54)*4/3))*0.167)</f>
        <v>2.46961038583122994</v>
      </c>
      <c r="AH54" s="249">
        <f>(K54+F54+(LOG(G54)*4/3))*0.588</f>
        <v>2.8153946519087798</v>
      </c>
      <c r="AI54" s="76">
        <f>((I54+F54+(LOG(G54)*4/3))*0.754)</f>
        <v>6.62621695159730972</v>
      </c>
      <c r="AJ54" s="76">
        <f>((I54+F54+(LOG(G54)*4/3))*0.708)</f>
        <v>6.22196498903301976</v>
      </c>
      <c r="AK54" s="76">
        <f>((N54+F54+(LOG(G54)*4/3))*0.167)</f>
        <v>2.80361038583123001</v>
      </c>
      <c r="AL54" s="76">
        <f>((O54+F54+(LOG(G54)*4/3))*0.288)</f>
        <v>1.16296880909818001</v>
      </c>
      <c r="AM54" s="76">
        <f>((I54+F54+(LOG(G54)*4/3))*0.27)</f>
        <v>2.37278325852954008</v>
      </c>
      <c r="AN54" s="76">
        <f>((I54+F54+(LOG(G54)*4/3))*0.594)</f>
        <v>5.22012316876498961</v>
      </c>
      <c r="AO54" s="76">
        <f>AM54/2</f>
        <v>1.18639162926477004</v>
      </c>
      <c r="AP54" s="76">
        <f>((J54+F54+(LOG(G54)*4/3))*0.944)</f>
        <v>13.9599533187106992</v>
      </c>
      <c r="AQ54" s="76">
        <f>((L54+F54+(LOG(G54)*4/3))*0.13)</f>
        <v>0.752451198551259992</v>
      </c>
      <c r="AR54" s="76">
        <f>((M54+F54+(LOG(G54)*4/3))*0.173)+((L54+F54+(LOG(G54)*4/3))*0.12)</f>
        <v>2.04190923981169004</v>
      </c>
      <c r="AS54" s="76">
        <f>AQ54/2</f>
        <v>0.376225599275629996</v>
      </c>
      <c r="AT54" s="76">
        <f>((I54+F54+(LOG(G54)*4/3))*0.189)</f>
        <v>1.66094828097067992</v>
      </c>
      <c r="AU54" s="76">
        <f>((I54+F54+(LOG(G54)*4/3))*0.4)</f>
        <v>3.51523445708079985</v>
      </c>
      <c r="AV54" s="76">
        <f>AT54/2</f>
        <v>0.830474140485339873</v>
      </c>
      <c r="AW54" s="76">
        <f>((J54+F54+(LOG(G54)*4/3))*1)</f>
        <v>14.7880861427019994</v>
      </c>
      <c r="AX54" s="76">
        <f>((L54+F54+(LOG(G54)*4/3))*0.253)</f>
        <v>1.46438579410361003</v>
      </c>
      <c r="AY54" s="76">
        <f>((M54+F54+(LOG(G54)*4/3))*0.21)+((L54+F54+(LOG(G54)*4/3))*0.341)</f>
        <v>3.60923546462879985</v>
      </c>
      <c r="AZ54" s="76">
        <f>AX54/2</f>
        <v>0.73219289705180497</v>
      </c>
      <c r="BA54" s="76">
        <f>((I54+F54+(LOG(G54)*4/3))*0.291)</f>
        <v>2.55733306752627998</v>
      </c>
      <c r="BB54" s="76">
        <f>((I54+F54+(LOG(G54)*4/3))*0.348)</f>
        <v>3.05825397766029994</v>
      </c>
      <c r="BC54" s="76">
        <f>((J54+F54+(LOG(G54)*4/3))*0.881)</f>
        <v>13.0283038917204994</v>
      </c>
      <c r="BD54" s="76">
        <f>((K54+F54+(LOG(G54)*4/3))*0.574)+((L54+F54+(LOG(G54)*4/3))*0.315)</f>
        <v>4.57160858086207966</v>
      </c>
      <c r="BE54" s="76">
        <f>((L54+F54+(LOG(G54)*4/3))*0.241)</f>
        <v>1.39492876039117997</v>
      </c>
      <c r="BF54" s="76">
        <f>((I54+F54+(LOG(G54)*4/3))*0.485)</f>
        <v>4.26222177921046974</v>
      </c>
      <c r="BG54" s="76">
        <f>((I54+F54+(LOG(G54)*4/3))*0.264)</f>
        <v>2.32005474167333015</v>
      </c>
      <c r="BH54" s="76">
        <f>((J54+F54+(LOG(G54)*4/3))*0.381)</f>
        <v>5.63426082036945974</v>
      </c>
      <c r="BI54" s="76">
        <f>((K54+F54+(LOG(G54)*4/3))*0.673)+((L54+F54+(LOG(G54)*4/3))*0.201)</f>
        <v>4.38578728872155033</v>
      </c>
      <c r="BJ54" s="76">
        <f>((L54+F54+(LOG(G54)*4/3))*0.052)</f>
        <v>0.300980479420503988</v>
      </c>
      <c r="BK54" s="76">
        <f>((I54+F54+(LOG(G54)*4/3))*0.18)</f>
        <v>1.58185550568635991</v>
      </c>
      <c r="BL54" s="76">
        <f>(I54+F54+(LOG(G54)*4/3))*0.068</f>
        <v>0.597589857703735916</v>
      </c>
      <c r="BM54" s="76">
        <f>((J54+F54+(LOG(G54)*4/3))*0.305)</f>
        <v>4.51036627352411035</v>
      </c>
      <c r="BN54" s="76">
        <f>((K54+F54+(LOG(G54)*4/3))*1)+((L54+F54+(LOG(G54)*4/3))*0.286)</f>
        <v>6.44347877951476988</v>
      </c>
      <c r="BO54" s="76">
        <f>((L54+F54+(LOG(G54)*4/3))*0.135)</f>
        <v>0.78139162926477006</v>
      </c>
      <c r="BP54" s="76">
        <f>((I54+F54+(LOG(G54)*4/3))*0.284)</f>
        <v>2.49581646452736994</v>
      </c>
      <c r="BQ54" s="76">
        <f>(I54+F54+(LOG(G54)*4/3))*0.244</f>
        <v>2.14429301881928991</v>
      </c>
      <c r="BR54" s="76">
        <f>((J54+F54+(LOG(G54)*4/3))*0.455)</f>
        <v>6.72857919492941026</v>
      </c>
      <c r="BS54" s="76">
        <f>((K54+F54+(LOG(G54)*4/3))*0.864)+((L54+F54+(LOG(G54)*4/3))*0.244)</f>
        <v>5.54919944611382032</v>
      </c>
      <c r="BT54" s="76">
        <f>((L54+F54+(LOG(G54)*4/3))*0.121)</f>
        <v>0.700358423266941976</v>
      </c>
      <c r="BU54" s="76">
        <f>((I54+F54+(LOG(G54)*4/3))*0.284)</f>
        <v>2.49581646452736994</v>
      </c>
      <c r="BV54" s="76">
        <f>((I54+F54+(LOG(G54)*4/3))*0.244)</f>
        <v>2.14429301881928991</v>
      </c>
      <c r="BW54" s="76">
        <f>((J54+F54+(LOG(G54)*4/3))*0.631)</f>
        <v>9.33128235604496048</v>
      </c>
      <c r="BX54" s="76">
        <f>((K54+F54+(LOG(G54)*4/3))*0.702)+((L54+F54+(LOG(G54)*4/3))*0.193)</f>
        <v>4.47833709771829014</v>
      </c>
      <c r="BY54" s="76">
        <f>((L54+F54+(LOG(G54)*4/3))*0.148)</f>
        <v>0.856636749119896024</v>
      </c>
      <c r="BZ54" s="76">
        <f>((J54+F54+(LOG(G54)*4/3))*0.406)</f>
        <v>6.00396297393700973</v>
      </c>
      <c r="CA54" s="76">
        <f>IF(D54="TEC",((K54+F54+(LOG(G54)*4/3))*0.15)+((L54+F54+(LOG(G54)*4/3))*0.324)+((M54+F54+(LOG(G54)*4/3))*0.127),(((K54+F54+(LOG(G54)*4/3))*0.144)+((L54+F54+(LOG(G54)*4/3))*0.25)+((M54+F54+(LOG(G54)*4/3))*0.127)))</f>
        <v>3.12559288034774019</v>
      </c>
      <c r="CB54" s="76">
        <f>((L54+F54+(LOG(G54)*4/3))*0.543)+((M54+F54+(LOG(G54)*4/3))*0.583)</f>
        <v>7.68338499668246033</v>
      </c>
      <c r="CC54" s="76">
        <f>CA54</f>
        <v>3.12559288034774019</v>
      </c>
      <c r="CD54" s="76">
        <f>((M54+1+(LOG(G54)*4/3))*0.26)+((K54+F54+(LOG(G54)*4/3))*0.221)+((L54+F54+(LOG(G54)*4/3))*0.142)</f>
        <v>3.90497766690333989</v>
      </c>
      <c r="CE54" s="76">
        <f>((M54+F54+(LOG(G54)*4/3))*1)+((L54+F54+(LOG(G54)*4/3))*0.369)</f>
        <v>9.92388992935904035</v>
      </c>
      <c r="CF54" s="76">
        <f>CD54</f>
        <v>3.90497766690333989</v>
      </c>
      <c r="CG54" s="76">
        <f>((J54+F54+(LOG(G54)*4/3))*0.25)</f>
        <v>3.69702153567549985</v>
      </c>
    </row>
    <row r="55" spans="1:85">
      <c r="A55" t="str">
        <f>A21</f>
        <v>J-P. Kechele</v>
      </c>
      <c r="B55">
        <f>B21</f>
        <v>29</v>
      </c>
      <c r="C55" s="54">
        <f>C21</f>
        <v>107</v>
      </c>
      <c r="D55" t="str">
        <f>D21</f>
        <v>CAB</v>
      </c>
      <c r="E55" s="211">
        <f>E21</f>
        <v>43982</v>
      </c>
      <c r="F55" s="157">
        <f>I21</f>
        <v>0.310366521471105994</v>
      </c>
      <c r="G55" s="158">
        <f>J21</f>
        <v>7.59999999999999964</v>
      </c>
      <c r="H55" s="53">
        <f>K21</f>
        <v>0</v>
      </c>
      <c r="I55" s="53">
        <f>L21</f>
        <v>4</v>
      </c>
      <c r="J55" s="53">
        <f>M21</f>
        <v>14</v>
      </c>
      <c r="K55" s="53">
        <f>N21</f>
        <v>4</v>
      </c>
      <c r="L55" s="53">
        <f>O21</f>
        <v>9</v>
      </c>
      <c r="M55" s="53">
        <f>P21</f>
        <v>8</v>
      </c>
      <c r="N55" s="53">
        <f>Q21</f>
        <v>19.25</v>
      </c>
      <c r="O55" s="158">
        <f>((2*(L55+1))+(I55+1))/8</f>
        <v>3.125</v>
      </c>
      <c r="P55" s="158">
        <f>1.66*(M55+(LOG(G55)*4/3)+F55)+0.55*(N55+(LOG(G55)*4/3)+F55)-7.6</f>
        <v>19.5488740643719012</v>
      </c>
      <c r="Q55" s="158">
        <f>(0.5*M55+0.3*N55)/10</f>
        <v>0.977500000000000036</v>
      </c>
      <c r="R55" s="158">
        <f>(0.4*I55+0.3*N55)/10</f>
        <v>0.7375</v>
      </c>
      <c r="S55" s="158">
        <f aca="1">IF(TODAY()-E55&gt;335,(N55+1+(LOG(G55)*4/3)),(N55+((TODAY()-E55)^0.5)/(336^0.5)+(LOG(G55)*4/3)))</f>
        <v>20.8253099859097013</v>
      </c>
      <c r="T55" s="76">
        <f>((H55+F55+(LOG(G55)*4/3))*0.597)+((I55+F55+(LOG(G55)*4/3))*0.276)</f>
        <v>2.40021699465913008</v>
      </c>
      <c r="U55" s="76">
        <f>((H55+F55+(LOG(G55)*4/3))*0.866)+((I55+F55+(LOG(G55)*4/3))*0.425)</f>
        <v>3.61685697606520984</v>
      </c>
      <c r="V55" s="76">
        <f>T55</f>
        <v>2.40021699465913008</v>
      </c>
      <c r="W55" s="76">
        <f>((I55+F55+(LOG(G55)*4/3))*0.516)</f>
        <v>2.83014887656828016</v>
      </c>
      <c r="X55" s="76">
        <f>(I55+F55+(LOG(G55)*4/3))*1</f>
        <v>5.48478464451217018</v>
      </c>
      <c r="Y55" s="76">
        <f>W55/2</f>
        <v>1.41507443828414008</v>
      </c>
      <c r="Z55" s="76">
        <f>(J55+F55+(LOG(G55)*4/3))*0.238</f>
        <v>3.68537874539389998</v>
      </c>
      <c r="AA55" s="76">
        <f>((I55+F55+(LOG(G55)*4/3))*0.378)</f>
        <v>2.07324859562559993</v>
      </c>
      <c r="AB55" s="76">
        <f>(I55+F55+(LOG(G55)*4/3))*0.723</f>
        <v>3.96549929798229996</v>
      </c>
      <c r="AC55" s="76">
        <f>AA55/2</f>
        <v>1.03662429781279997</v>
      </c>
      <c r="AD55" s="76">
        <f>(J55+F55+(LOG(G55)*4/3))*0.385</f>
        <v>5.96164208813720009</v>
      </c>
      <c r="AE55" s="249">
        <f>((I55+F55+(LOG(G55)*4/3))*0.92)</f>
        <v>5.04600187295119973</v>
      </c>
      <c r="AF55" s="76">
        <f>(I55+F55+(LOG(G55)*4/3))*0.414</f>
        <v>2.27070084282803997</v>
      </c>
      <c r="AG55" s="76">
        <f>((J55+F55+(LOG(G55)*4/3))*0.167)</f>
        <v>2.58595903563354002</v>
      </c>
      <c r="AH55" s="249">
        <f>(K55+F55+(LOG(G55)*4/3))*0.588</f>
        <v>3.22505337097316014</v>
      </c>
      <c r="AI55" s="76">
        <f>((I55+F55+(LOG(G55)*4/3))*0.754)</f>
        <v>4.13552762196218016</v>
      </c>
      <c r="AJ55" s="76">
        <f>((I55+F55+(LOG(G55)*4/3))*0.708)</f>
        <v>3.8832275283146199</v>
      </c>
      <c r="AK55" s="76">
        <f>((N55+F55+(LOG(G55)*4/3))*0.167)</f>
        <v>3.46270903563353993</v>
      </c>
      <c r="AL55" s="76">
        <f>((O55+F55+(LOG(G55)*4/3))*0.288)</f>
        <v>1.32761797761951006</v>
      </c>
      <c r="AM55" s="76">
        <f>((I55+F55+(LOG(G55)*4/3))*0.27)</f>
        <v>1.48089185401829004</v>
      </c>
      <c r="AN55" s="76">
        <f>((I55+F55+(LOG(G55)*4/3))*0.594)</f>
        <v>3.25796207884022992</v>
      </c>
      <c r="AO55" s="76">
        <f>AM55/2</f>
        <v>0.740445927009145066</v>
      </c>
      <c r="AP55" s="76">
        <f>((J55+F55+(LOG(G55)*4/3))*0.944)</f>
        <v>14.6176367044194997</v>
      </c>
      <c r="AQ55" s="76">
        <f>((L55+F55+(LOG(G55)*4/3))*0.13)</f>
        <v>1.36302200378659011</v>
      </c>
      <c r="AR55" s="76">
        <f>((M55+F55+(LOG(G55)*4/3))*0.173)+((L55+F55+(LOG(G55)*4/3))*0.12)</f>
        <v>2.89904190084206981</v>
      </c>
      <c r="AS55" s="76">
        <f>AQ55/2</f>
        <v>0.68151100189329501</v>
      </c>
      <c r="AT55" s="76">
        <f>((I55+F55+(LOG(G55)*4/3))*0.189)</f>
        <v>1.03662429781279997</v>
      </c>
      <c r="AU55" s="76">
        <f>((I55+F55+(LOG(G55)*4/3))*0.4)</f>
        <v>2.19391385780487003</v>
      </c>
      <c r="AV55" s="76">
        <f>AT55/2</f>
        <v>0.518312148906399983</v>
      </c>
      <c r="AW55" s="76">
        <f>((J55+F55+(LOG(G55)*4/3))*1)</f>
        <v>15.4847846445121995</v>
      </c>
      <c r="AX55" s="76">
        <f>((L55+F55+(LOG(G55)*4/3))*0.253)</f>
        <v>2.65265051506159022</v>
      </c>
      <c r="AY55" s="76">
        <f>((M55+F55+(LOG(G55)*4/3))*0.21)+((L55+F55+(LOG(G55)*4/3))*0.341)</f>
        <v>5.56711633912621995</v>
      </c>
      <c r="AZ55" s="76">
        <f>AX55/2</f>
        <v>1.32632525753079999</v>
      </c>
      <c r="BA55" s="76">
        <f>((I55+F55+(LOG(G55)*4/3))*0.291)</f>
        <v>1.59607233155304007</v>
      </c>
      <c r="BB55" s="76">
        <f>((I55+F55+(LOG(G55)*4/3))*0.348)</f>
        <v>1.90870505629023981</v>
      </c>
      <c r="BC55" s="76">
        <f>((J55+F55+(LOG(G55)*4/3))*0.881)</f>
        <v>13.6420952718152009</v>
      </c>
      <c r="BD55" s="76">
        <f>((K55+F55+(LOG(G55)*4/3))*0.574)+((L55+F55+(LOG(G55)*4/3))*0.315)</f>
        <v>6.45097354897133002</v>
      </c>
      <c r="BE55" s="76">
        <f>((L55+F55+(LOG(G55)*4/3))*0.241)</f>
        <v>2.52683309932743994</v>
      </c>
      <c r="BF55" s="76">
        <f>((I55+F55+(LOG(G55)*4/3))*0.485)</f>
        <v>2.66012055258839997</v>
      </c>
      <c r="BG55" s="76">
        <f>((I55+F55+(LOG(G55)*4/3))*0.264)</f>
        <v>1.44798314615121004</v>
      </c>
      <c r="BH55" s="76">
        <f>((J55+F55+(LOG(G55)*4/3))*0.381)</f>
        <v>5.89970294955914998</v>
      </c>
      <c r="BI55" s="76">
        <f>((K55+F55+(LOG(G55)*4/3))*0.673)+((L55+F55+(LOG(G55)*4/3))*0.201)</f>
        <v>5.79870177930363973</v>
      </c>
      <c r="BJ55" s="76">
        <f>((L55+F55+(LOG(G55)*4/3))*0.052)</f>
        <v>0.545208801514634001</v>
      </c>
      <c r="BK55" s="76">
        <f>((I55+F55+(LOG(G55)*4/3))*0.18)</f>
        <v>0.987261236012190935</v>
      </c>
      <c r="BL55" s="76">
        <f>(I55+F55+(LOG(G55)*4/3))*0.068</f>
        <v>0.372965355826827993</v>
      </c>
      <c r="BM55" s="76">
        <f>((J55+F55+(LOG(G55)*4/3))*0.305)</f>
        <v>4.72285931657622005</v>
      </c>
      <c r="BN55" s="76">
        <f>((K55+F55+(LOG(G55)*4/3))*1)+((L55+F55+(LOG(G55)*4/3))*0.286)</f>
        <v>8.48343305284265981</v>
      </c>
      <c r="BO55" s="76">
        <f>((L55+F55+(LOG(G55)*4/3))*0.135)</f>
        <v>1.41544592700914995</v>
      </c>
      <c r="BP55" s="76">
        <f>((I55+F55+(LOG(G55)*4/3))*0.284)</f>
        <v>1.55767883904145998</v>
      </c>
      <c r="BQ55" s="76">
        <f>(I55+F55+(LOG(G55)*4/3))*0.244</f>
        <v>1.33828745326097009</v>
      </c>
      <c r="BR55" s="76">
        <f>((J55+F55+(LOG(G55)*4/3))*0.455)</f>
        <v>7.04557701325304997</v>
      </c>
      <c r="BS55" s="76">
        <f>((K55+F55+(LOG(G55)*4/3))*0.864)+((L55+F55+(LOG(G55)*4/3))*0.244)</f>
        <v>7.29714138611949981</v>
      </c>
      <c r="BT55" s="76">
        <f>((L55+F55+(LOG(G55)*4/3))*0.121)</f>
        <v>1.26865894198597995</v>
      </c>
      <c r="BU55" s="76">
        <f>((I55+F55+(LOG(G55)*4/3))*0.284)</f>
        <v>1.55767883904145998</v>
      </c>
      <c r="BV55" s="76">
        <f>((I55+F55+(LOG(G55)*4/3))*0.244)</f>
        <v>1.33828745326097009</v>
      </c>
      <c r="BW55" s="76">
        <f>((J55+F55+(LOG(G55)*4/3))*0.631)</f>
        <v>9.77089911068719985</v>
      </c>
      <c r="BX55" s="76">
        <f>((K55+F55+(LOG(G55)*4/3))*0.702)+((L55+F55+(LOG(G55)*4/3))*0.193)</f>
        <v>5.87388225683838971</v>
      </c>
      <c r="BY55" s="76">
        <f>((L55+F55+(LOG(G55)*4/3))*0.148)</f>
        <v>1.55174812738780998</v>
      </c>
      <c r="BZ55" s="76">
        <f>((J55+F55+(LOG(G55)*4/3))*0.406)</f>
        <v>6.28682256567195008</v>
      </c>
      <c r="CA55" s="76">
        <f>IF(D55="TEC",((K55+F55+(LOG(G55)*4/3))*0.15)+((L55+F55+(LOG(G55)*4/3))*0.324)+((M55+F55+(LOG(G55)*4/3))*0.127),(((K55+F55+(LOG(G55)*4/3))*0.144)+((L55+F55+(LOG(G55)*4/3))*0.25)+((M55+F55+(LOG(G55)*4/3))*0.127)))</f>
        <v>4.61557279979084978</v>
      </c>
      <c r="CB55" s="76">
        <f>((L55+F55+(LOG(G55)*4/3))*0.543)+((M55+F55+(LOG(G55)*4/3))*0.583)</f>
        <v>11.2228675097207002</v>
      </c>
      <c r="CC55" s="76">
        <f>CA55</f>
        <v>4.61557279979084978</v>
      </c>
      <c r="CD55" s="76">
        <f>((M55+1+(LOG(G55)*4/3))*0.26)+((K55+F55+(LOG(G55)*4/3))*0.221)+((L55+F55+(LOG(G55)*4/3))*0.142)</f>
        <v>5.34632553794861032</v>
      </c>
      <c r="CE55" s="76">
        <f>((M55+F55+(LOG(G55)*4/3))*1)+((L55+F55+(LOG(G55)*4/3))*0.369)</f>
        <v>13.3536701783372003</v>
      </c>
      <c r="CF55" s="76">
        <f>CD55</f>
        <v>5.34632553794861032</v>
      </c>
      <c r="CG55" s="76">
        <f>((J55+F55+(LOG(G55)*4/3))*0.25)</f>
        <v>3.87119616112804987</v>
      </c>
    </row>
    <row r="56" spans="1:85">
      <c r="A56" t="str">
        <f>A22</f>
        <v>S. Zobbe</v>
      </c>
      <c r="B56">
        <f>B22</f>
        <v>35</v>
      </c>
      <c r="C56" s="54">
        <f>C22</f>
        <v>109</v>
      </c>
      <c r="D56" t="str">
        <f>D22</f>
        <v>CAB</v>
      </c>
      <c r="E56" s="211" t="str">
        <f>E22</f>
        <v>Cantera</v>
      </c>
      <c r="F56" s="157">
        <f>I22</f>
        <v>1.5</v>
      </c>
      <c r="G56" s="158">
        <f>J22</f>
        <v>15</v>
      </c>
      <c r="H56" s="53">
        <f>K22</f>
        <v>0</v>
      </c>
      <c r="I56" s="53">
        <f>L22</f>
        <v>7.95000000000000018</v>
      </c>
      <c r="J56" s="53">
        <f>M22</f>
        <v>11.9499999999999993</v>
      </c>
      <c r="K56" s="53">
        <f>N22</f>
        <v>11.9499999999999993</v>
      </c>
      <c r="L56" s="53">
        <f>O22</f>
        <v>9.94999999999999929</v>
      </c>
      <c r="M56" s="53">
        <f>P22</f>
        <v>4.95000000000000018</v>
      </c>
      <c r="N56" s="53">
        <f>Q22</f>
        <v>18</v>
      </c>
      <c r="O56" s="158">
        <f>((2*(L56+1))+(I56+1))/8</f>
        <v>3.85625000000000018</v>
      </c>
      <c r="P56" s="158">
        <f>1.66*(M56+(LOG(G56)*4/3)+F56)+0.55*(N56+(LOG(G56)*4/3)+F56)-7.6</f>
        <v>17.2975489100174009</v>
      </c>
      <c r="Q56" s="158">
        <f>(0.5*M56+0.3*N56)/10</f>
        <v>0.7875</v>
      </c>
      <c r="R56" s="158">
        <f>(0.4*I56+0.3*N56)/10</f>
        <v>0.858000000000000007</v>
      </c>
      <c r="S56" s="158" t="e">
        <f aca="1">IF(TODAY()-E56&gt;335,(N56+1+(LOG(G56)*4/3)),(N56+((TODAY()-E56)^0.5)/(336^0.5)+(LOG(G56)*4/3)))</f>
        <v>#VALUE!</v>
      </c>
      <c r="T56" s="76">
        <f>((H56+F56+(LOG(G56)*4/3))*0.597)+((I56+F56+(LOG(G56)*4/3))*0.276)</f>
        <v>4.87267022554081031</v>
      </c>
      <c r="U56" s="76">
        <f>((H56+F56+(LOG(G56)*4/3))*0.866)+((I56+F56+(LOG(G56)*4/3))*0.425)</f>
        <v>7.33969508725451014</v>
      </c>
      <c r="V56" s="76">
        <f>T56</f>
        <v>4.87267022554081031</v>
      </c>
      <c r="W56" s="76">
        <f>((I56+F56+(LOG(G56)*4/3))*0.516)</f>
        <v>5.68535078623030987</v>
      </c>
      <c r="X56" s="76">
        <f>(I56+F56+(LOG(G56)*4/3))*1</f>
        <v>11.0181216787409006</v>
      </c>
      <c r="Y56" s="76">
        <f>W56/2</f>
        <v>2.84267539311515982</v>
      </c>
      <c r="Z56" s="76">
        <f>(J56+F56+(LOG(G56)*4/3))*0.238</f>
        <v>3.57431295954032979</v>
      </c>
      <c r="AA56" s="76">
        <f>((I56+F56+(LOG(G56)*4/3))*0.378)</f>
        <v>4.1648499945640598</v>
      </c>
      <c r="AB56" s="76">
        <f>(I56+F56+(LOG(G56)*4/3))*0.723</f>
        <v>7.96610197372967033</v>
      </c>
      <c r="AC56" s="76">
        <f>AA56/2</f>
        <v>2.0824249972820299</v>
      </c>
      <c r="AD56" s="76">
        <f>(J56+F56+(LOG(G56)*4/3))*0.385</f>
        <v>5.78197684631525011</v>
      </c>
      <c r="AE56" s="249">
        <f>((I56+F56+(LOG(G56)*4/3))*0.92)</f>
        <v>10.1366719444416002</v>
      </c>
      <c r="AF56" s="76">
        <f>(I56+F56+(LOG(G56)*4/3))*0.414</f>
        <v>4.56150237499872979</v>
      </c>
      <c r="AG56" s="76">
        <f>((J56+F56+(LOG(G56)*4/3))*0.167)</f>
        <v>2.50802632034972994</v>
      </c>
      <c r="AH56" s="249">
        <f>(K56+F56+(LOG(G56)*4/3))*0.588</f>
        <v>8.83065554709964928</v>
      </c>
      <c r="AI56" s="76">
        <f>((I56+F56+(LOG(G56)*4/3))*0.754)</f>
        <v>8.30766374577063971</v>
      </c>
      <c r="AJ56" s="76">
        <f>((I56+F56+(LOG(G56)*4/3))*0.708)</f>
        <v>7.80083014854855961</v>
      </c>
      <c r="AK56" s="76">
        <f>((N56+F56+(LOG(G56)*4/3))*0.167)</f>
        <v>3.5183763203497298</v>
      </c>
      <c r="AL56" s="76">
        <f>((O56+F56+(LOG(G56)*4/3))*0.288)</f>
        <v>1.9942190434773801</v>
      </c>
      <c r="AM56" s="76">
        <f>((I56+F56+(LOG(G56)*4/3))*0.27)</f>
        <v>2.97489285326004005</v>
      </c>
      <c r="AN56" s="76">
        <f>((I56+F56+(LOG(G56)*4/3))*0.594)</f>
        <v>6.54476427717210019</v>
      </c>
      <c r="AO56" s="76">
        <f>AM56/2</f>
        <v>1.48744642663002002</v>
      </c>
      <c r="AP56" s="76">
        <f>((J56+F56+(LOG(G56)*4/3))*0.944)</f>
        <v>14.1771068647313996</v>
      </c>
      <c r="AQ56" s="76">
        <f>((L56+F56+(LOG(G56)*4/3))*0.13)</f>
        <v>1.69235581823632009</v>
      </c>
      <c r="AR56" s="76">
        <f>((M56+F56+(LOG(G56)*4/3))*0.173)+((L56+F56+(LOG(G56)*4/3))*0.12)</f>
        <v>2.94930965187108995</v>
      </c>
      <c r="AS56" s="76">
        <f>AQ56/2</f>
        <v>0.846177909118160088</v>
      </c>
      <c r="AT56" s="76">
        <f>((I56+F56+(LOG(G56)*4/3))*0.189)</f>
        <v>2.0824249972820299</v>
      </c>
      <c r="AU56" s="76">
        <f>((I56+F56+(LOG(G56)*4/3))*0.4)</f>
        <v>4.4072486714963599</v>
      </c>
      <c r="AV56" s="76">
        <f>AT56/2</f>
        <v>1.04121249864102006</v>
      </c>
      <c r="AW56" s="76">
        <f>((J56+F56+(LOG(G56)*4/3))*1)</f>
        <v>15.0181216787409006</v>
      </c>
      <c r="AX56" s="76">
        <f>((L56+F56+(LOG(G56)*4/3))*0.253)</f>
        <v>3.29358478472145011</v>
      </c>
      <c r="AY56" s="76">
        <f>((M56+F56+(LOG(G56)*4/3))*0.21)+((L56+F56+(LOG(G56)*4/3))*0.341)</f>
        <v>6.12298504498624041</v>
      </c>
      <c r="AZ56" s="76">
        <f>AX56/2</f>
        <v>1.64679239236072998</v>
      </c>
      <c r="BA56" s="76">
        <f>((I56+F56+(LOG(G56)*4/3))*0.291)</f>
        <v>3.20627340851360021</v>
      </c>
      <c r="BB56" s="76">
        <f>((I56+F56+(LOG(G56)*4/3))*0.348)</f>
        <v>3.83430634420182983</v>
      </c>
      <c r="BC56" s="76">
        <f>((J56+F56+(LOG(G56)*4/3))*0.881)</f>
        <v>13.2309651989707007</v>
      </c>
      <c r="BD56" s="76">
        <f>((K56+F56+(LOG(G56)*4/3))*0.574)+((L56+F56+(LOG(G56)*4/3))*0.315)</f>
        <v>12.7211101724006994</v>
      </c>
      <c r="BE56" s="76">
        <f>((L56+F56+(LOG(G56)*4/3))*0.241)</f>
        <v>3.13736732457656009</v>
      </c>
      <c r="BF56" s="76">
        <f>((I56+F56+(LOG(G56)*4/3))*0.485)</f>
        <v>5.3437890141893396</v>
      </c>
      <c r="BG56" s="76">
        <f>((I56+F56+(LOG(G56)*4/3))*0.264)</f>
        <v>2.90878412318759985</v>
      </c>
      <c r="BH56" s="76">
        <f>((J56+F56+(LOG(G56)*4/3))*0.381)</f>
        <v>5.72190435960027965</v>
      </c>
      <c r="BI56" s="76">
        <f>((K56+F56+(LOG(G56)*4/3))*0.673)+((L56+F56+(LOG(G56)*4/3))*0.201)</f>
        <v>12.7238383472195</v>
      </c>
      <c r="BJ56" s="76">
        <f>((L56+F56+(LOG(G56)*4/3))*0.052)</f>
        <v>0.676942327294526969</v>
      </c>
      <c r="BK56" s="76">
        <f>((I56+F56+(LOG(G56)*4/3))*0.18)</f>
        <v>1.98326190217335991</v>
      </c>
      <c r="BL56" s="76">
        <f>(I56+F56+(LOG(G56)*4/3))*0.068</f>
        <v>0.749232274154381006</v>
      </c>
      <c r="BM56" s="76">
        <f>((J56+F56+(LOG(G56)*4/3))*0.305)</f>
        <v>4.58052711201597962</v>
      </c>
      <c r="BN56" s="76">
        <f>((K56+F56+(LOG(G56)*4/3))*1)+((L56+F56+(LOG(G56)*4/3))*0.286)</f>
        <v>18.7413044788608012</v>
      </c>
      <c r="BO56" s="76">
        <f>((L56+F56+(LOG(G56)*4/3))*0.135)</f>
        <v>1.75744642663002004</v>
      </c>
      <c r="BP56" s="76">
        <f>((I56+F56+(LOG(G56)*4/3))*0.284)</f>
        <v>3.12914655676242015</v>
      </c>
      <c r="BQ56" s="76">
        <f>(I56+F56+(LOG(G56)*4/3))*0.244</f>
        <v>2.68842168961278016</v>
      </c>
      <c r="BR56" s="76">
        <f>((J56+F56+(LOG(G56)*4/3))*0.455)</f>
        <v>6.83324536382710956</v>
      </c>
      <c r="BS56" s="76">
        <f>((K56+F56+(LOG(G56)*4/3))*0.864)+((L56+F56+(LOG(G56)*4/3))*0.244)</f>
        <v>16.152078820044899</v>
      </c>
      <c r="BT56" s="76">
        <f>((L56+F56+(LOG(G56)*4/3))*0.121)</f>
        <v>1.57519272312764986</v>
      </c>
      <c r="BU56" s="76">
        <f>((I56+F56+(LOG(G56)*4/3))*0.284)</f>
        <v>3.12914655676242015</v>
      </c>
      <c r="BV56" s="76">
        <f>((I56+F56+(LOG(G56)*4/3))*0.244)</f>
        <v>2.68842168961278016</v>
      </c>
      <c r="BW56" s="76">
        <f>((J56+F56+(LOG(G56)*4/3))*0.631)</f>
        <v>9.47643477928551015</v>
      </c>
      <c r="BX56" s="76">
        <f>((K56+F56+(LOG(G56)*4/3))*0.702)+((L56+F56+(LOG(G56)*4/3))*0.193)</f>
        <v>13.0552189024731007</v>
      </c>
      <c r="BY56" s="76">
        <f>((L56+F56+(LOG(G56)*4/3))*0.148)</f>
        <v>1.92668200845364996</v>
      </c>
      <c r="BZ56" s="76">
        <f>((J56+F56+(LOG(G56)*4/3))*0.406)</f>
        <v>6.0973574015688099</v>
      </c>
      <c r="CA56" s="76">
        <f>IF(D56="TEC",((K56+F56+(LOG(G56)*4/3))*0.15)+((L56+F56+(LOG(G56)*4/3))*0.324)+((M56+F56+(LOG(G56)*4/3))*0.127),(((K56+F56+(LOG(G56)*4/3))*0.144)+((L56+F56+(LOG(G56)*4/3))*0.25)+((M56+F56+(LOG(G56)*4/3))*0.127)))</f>
        <v>6.43544139462401965</v>
      </c>
      <c r="CB56" s="76">
        <f>((L56+F56+(LOG(G56)*4/3))*0.543)+((M56+F56+(LOG(G56)*4/3))*0.583)</f>
        <v>11.7434050102623004</v>
      </c>
      <c r="CC56" s="76">
        <f>CA56</f>
        <v>6.43544139462401965</v>
      </c>
      <c r="CD56" s="76">
        <f>((M56+1+(LOG(G56)*4/3))*0.26)+((K56+F56+(LOG(G56)*4/3))*0.221)+((L56+F56+(LOG(G56)*4/3))*0.142)</f>
        <v>7.12228980585558968</v>
      </c>
      <c r="CE56" s="76">
        <f>((M56+F56+(LOG(G56)*4/3))*1)+((L56+F56+(LOG(G56)*4/3))*0.369)</f>
        <v>12.8218085781963005</v>
      </c>
      <c r="CF56" s="76">
        <f>CD56</f>
        <v>7.12228980585558968</v>
      </c>
      <c r="CG56" s="76">
        <f>((J56+F56+(LOG(G56)*4/3))*0.25)</f>
        <v>3.75453041968523005</v>
      </c>
    </row>
    <row r="57" spans="1:85">
      <c r="A57" t="str">
        <f>A23</f>
        <v>P .Trivadi</v>
      </c>
      <c r="B57">
        <f>B23</f>
        <v>35</v>
      </c>
      <c r="C57" s="54">
        <f>C23</f>
        <v>65</v>
      </c>
      <c r="D57">
        <f>D23</f>
        <v>0</v>
      </c>
      <c r="E57" s="211" t="str">
        <f>E23</f>
        <v>Cantera</v>
      </c>
      <c r="F57" s="157">
        <f>I23</f>
        <v>1.5</v>
      </c>
      <c r="G57" s="158">
        <f>J23</f>
        <v>6.29999999999999982</v>
      </c>
      <c r="H57" s="53">
        <f>K23</f>
        <v>0</v>
      </c>
      <c r="I57" s="53">
        <f>L23</f>
        <v>3.95000000000000018</v>
      </c>
      <c r="J57" s="53">
        <f>M23</f>
        <v>5.95000000000000018</v>
      </c>
      <c r="K57" s="53">
        <f>N23</f>
        <v>4.95000000000000018</v>
      </c>
      <c r="L57" s="53">
        <f>O23</f>
        <v>9.94999999999999929</v>
      </c>
      <c r="M57" s="53">
        <f>P23</f>
        <v>6.95000000000000018</v>
      </c>
      <c r="N57" s="53">
        <f>Q23</f>
        <v>15</v>
      </c>
      <c r="O57" s="158">
        <f>((2*(L57+1))+(I57+1))/8</f>
        <v>3.35625000000000018</v>
      </c>
      <c r="P57" s="158">
        <f>1.66*(M57+(LOG(G57)*4/3)+F57)+0.55*(N57+(LOG(G57)*4/3)+F57)-7.6</f>
        <v>17.8573901523899004</v>
      </c>
      <c r="Q57" s="158">
        <f>(0.5*M57+0.3*N57)/10</f>
        <v>0.797499999999999964</v>
      </c>
      <c r="R57" s="158">
        <f>(0.4*I57+0.3*N57)/10</f>
        <v>0.608000000000000007</v>
      </c>
      <c r="S57" s="158" t="e">
        <f aca="1">IF(TODAY()-E57&gt;335,(N57+1+(LOG(G57)*4/3)),(N57+((TODAY()-E57)^0.5)/(336^0.5)+(LOG(G57)*4/3)))</f>
        <v>#VALUE!</v>
      </c>
      <c r="T57" s="76">
        <f>((H57+F57+(LOG(G57)*4/3))*0.597)+((I57+F57+(LOG(G57)*4/3))*0.276)</f>
        <v>3.33013239956396978</v>
      </c>
      <c r="U57" s="76">
        <f>((H57+F57+(LOG(G57)*4/3))*0.866)+((I57+F57+(LOG(G57)*4/3))*0.425)</f>
        <v>4.99118153245943041</v>
      </c>
      <c r="V57" s="76">
        <f>T57</f>
        <v>3.33013239956396978</v>
      </c>
      <c r="W57" s="76">
        <f>((I57+F57+(LOG(G57)*4/3))*0.516)</f>
        <v>3.36214629802406018</v>
      </c>
      <c r="X57" s="76">
        <f>(I57+F57+(LOG(G57)*4/3))*1</f>
        <v>6.51578739927144035</v>
      </c>
      <c r="Y57" s="76">
        <f>W57/2</f>
        <v>1.68107314901203004</v>
      </c>
      <c r="Z57" s="76">
        <f>(J57+F57+(LOG(G57)*4/3))*0.238</f>
        <v>2.02675740102659985</v>
      </c>
      <c r="AA57" s="76">
        <f>((I57+F57+(LOG(G57)*4/3))*0.378)</f>
        <v>2.46296763692460008</v>
      </c>
      <c r="AB57" s="76">
        <f>(I57+F57+(LOG(G57)*4/3))*0.723</f>
        <v>4.71091428967324966</v>
      </c>
      <c r="AC57" s="76">
        <f>AA57/2</f>
        <v>1.23148381846230004</v>
      </c>
      <c r="AD57" s="76">
        <f>(J57+F57+(LOG(G57)*4/3))*0.385</f>
        <v>3.27857814871951003</v>
      </c>
      <c r="AE57" s="249">
        <f>((I57+F57+(LOG(G57)*4/3))*0.92)</f>
        <v>5.99452440732973013</v>
      </c>
      <c r="AF57" s="76">
        <f>(I57+F57+(LOG(G57)*4/3))*0.414</f>
        <v>2.69753598329837985</v>
      </c>
      <c r="AG57" s="76">
        <f>((J57+F57+(LOG(G57)*4/3))*0.167)</f>
        <v>1.42213649567833</v>
      </c>
      <c r="AH57" s="249">
        <f>(K57+F57+(LOG(G57)*4/3))*0.588</f>
        <v>4.41928299077160958</v>
      </c>
      <c r="AI57" s="76">
        <f>((I57+F57+(LOG(G57)*4/3))*0.754)</f>
        <v>4.91290369905066981</v>
      </c>
      <c r="AJ57" s="76">
        <f>((I57+F57+(LOG(G57)*4/3))*0.708)</f>
        <v>4.61317747868417971</v>
      </c>
      <c r="AK57" s="76">
        <f>((N57+F57+(LOG(G57)*4/3))*0.167)</f>
        <v>2.93348649567831998</v>
      </c>
      <c r="AL57" s="76">
        <f>((O57+F57+(LOG(G57)*4/3))*0.288)</f>
        <v>1.70554677099016994</v>
      </c>
      <c r="AM57" s="76">
        <f>((I57+F57+(LOG(G57)*4/3))*0.27)</f>
        <v>1.75926259780329008</v>
      </c>
      <c r="AN57" s="76">
        <f>((I57+F57+(LOG(G57)*4/3))*0.594)</f>
        <v>3.87037771516724014</v>
      </c>
      <c r="AO57" s="76">
        <f>AM57/2</f>
        <v>0.879631298901644954</v>
      </c>
      <c r="AP57" s="76">
        <f>((J57+F57+(LOG(G57)*4/3))*0.944)</f>
        <v>8.0389033049122407</v>
      </c>
      <c r="AQ57" s="76">
        <f>((L57+F57+(LOG(G57)*4/3))*0.13)</f>
        <v>1.62705236190527991</v>
      </c>
      <c r="AR57" s="76">
        <f>((M57+F57+(LOG(G57)*4/3))*0.173)+((L57+F57+(LOG(G57)*4/3))*0.12)</f>
        <v>3.14812570798653013</v>
      </c>
      <c r="AS57" s="76">
        <f>AQ57/2</f>
        <v>0.813526180952639955</v>
      </c>
      <c r="AT57" s="76">
        <f>((I57+F57+(LOG(G57)*4/3))*0.189)</f>
        <v>1.23148381846230004</v>
      </c>
      <c r="AU57" s="76">
        <f>((I57+F57+(LOG(G57)*4/3))*0.4)</f>
        <v>2.60631495970857996</v>
      </c>
      <c r="AV57" s="76">
        <f>AT57/2</f>
        <v>0.615741909231149975</v>
      </c>
      <c r="AW57" s="76">
        <f>((J57+F57+(LOG(G57)*4/3))*1)</f>
        <v>8.51578739927144035</v>
      </c>
      <c r="AX57" s="76">
        <f>((L57+F57+(LOG(G57)*4/3))*0.253)</f>
        <v>3.16649421201565984</v>
      </c>
      <c r="AY57" s="76">
        <f>((M57+F57+(LOG(G57)*4/3))*0.21)+((L57+F57+(LOG(G57)*4/3))*0.341)</f>
        <v>6.26619885699854962</v>
      </c>
      <c r="AZ57" s="76">
        <f>AX57/2</f>
        <v>1.58324710600782996</v>
      </c>
      <c r="BA57" s="76">
        <f>((I57+F57+(LOG(G57)*4/3))*0.291)</f>
        <v>1.89609413318798996</v>
      </c>
      <c r="BB57" s="76">
        <f>((I57+F57+(LOG(G57)*4/3))*0.348)</f>
        <v>2.26749401494646019</v>
      </c>
      <c r="BC57" s="76">
        <f>((J57+F57+(LOG(G57)*4/3))*0.881)</f>
        <v>7.5024086987581402</v>
      </c>
      <c r="BD57" s="76">
        <f>((K57+F57+(LOG(G57)*4/3))*0.574)+((L57+F57+(LOG(G57)*4/3))*0.315)</f>
        <v>8.25653499795230061</v>
      </c>
      <c r="BE57" s="76">
        <f>((L57+F57+(LOG(G57)*4/3))*0.241)</f>
        <v>3.01630476322441021</v>
      </c>
      <c r="BF57" s="76">
        <f>((I57+F57+(LOG(G57)*4/3))*0.485)</f>
        <v>3.16015688864664979</v>
      </c>
      <c r="BG57" s="76">
        <f>((I57+F57+(LOG(G57)*4/3))*0.264)</f>
        <v>1.72016787340765998</v>
      </c>
      <c r="BH57" s="76">
        <f>((J57+F57+(LOG(G57)*4/3))*0.381)</f>
        <v>3.24451499912242003</v>
      </c>
      <c r="BI57" s="76">
        <f>((K57+F57+(LOG(G57)*4/3))*0.673)+((L57+F57+(LOG(G57)*4/3))*0.201)</f>
        <v>7.57379818696322982</v>
      </c>
      <c r="BJ57" s="76">
        <f>((L57+F57+(LOG(G57)*4/3))*0.052)</f>
        <v>0.650820944762113029</v>
      </c>
      <c r="BK57" s="76">
        <f>((I57+F57+(LOG(G57)*4/3))*0.18)</f>
        <v>1.17284173186885998</v>
      </c>
      <c r="BL57" s="76">
        <f>(I57+F57+(LOG(G57)*4/3))*0.068</f>
        <v>0.443073543150457994</v>
      </c>
      <c r="BM57" s="76">
        <f>((J57+F57+(LOG(G57)*4/3))*0.305)</f>
        <v>2.5973151567777899</v>
      </c>
      <c r="BN57" s="76">
        <f>((K57+F57+(LOG(G57)*4/3))*1)+((L57+F57+(LOG(G57)*4/3))*0.286)</f>
        <v>11.0953025954630995</v>
      </c>
      <c r="BO57" s="76">
        <f>((L57+F57+(LOG(G57)*4/3))*0.135)</f>
        <v>1.68963129890163994</v>
      </c>
      <c r="BP57" s="76">
        <f>((I57+F57+(LOG(G57)*4/3))*0.284)</f>
        <v>1.85048362139309006</v>
      </c>
      <c r="BQ57" s="76">
        <f>(I57+F57+(LOG(G57)*4/3))*0.244</f>
        <v>1.58985212542222998</v>
      </c>
      <c r="BR57" s="76">
        <f>((J57+F57+(LOG(G57)*4/3))*0.455)</f>
        <v>3.87468326666851013</v>
      </c>
      <c r="BS57" s="76">
        <f>((K57+F57+(LOG(G57)*4/3))*0.864)+((L57+F57+(LOG(G57)*4/3))*0.244)</f>
        <v>9.54749243839274975</v>
      </c>
      <c r="BT57" s="76">
        <f>((L57+F57+(LOG(G57)*4/3))*0.121)</f>
        <v>1.51441027531183998</v>
      </c>
      <c r="BU57" s="76">
        <f>((I57+F57+(LOG(G57)*4/3))*0.284)</f>
        <v>1.85048362139309006</v>
      </c>
      <c r="BV57" s="76">
        <f>((I57+F57+(LOG(G57)*4/3))*0.244)</f>
        <v>1.58985212542222998</v>
      </c>
      <c r="BW57" s="76">
        <f>((J57+F57+(LOG(G57)*4/3))*0.631)</f>
        <v>5.37346184894027967</v>
      </c>
      <c r="BX57" s="76">
        <f>((K57+F57+(LOG(G57)*4/3))*0.702)+((L57+F57+(LOG(G57)*4/3))*0.193)</f>
        <v>7.69162972234792974</v>
      </c>
      <c r="BY57" s="76">
        <f>((L57+F57+(LOG(G57)*4/3))*0.148)</f>
        <v>1.85233653509216989</v>
      </c>
      <c r="BZ57" s="76">
        <f>((J57+F57+(LOG(G57)*4/3))*0.406)</f>
        <v>3.4574096841042099</v>
      </c>
      <c r="CA57" s="76">
        <f>IF(D57="TEC",((K57+F57+(LOG(G57)*4/3))*0.15)+((L57+F57+(LOG(G57)*4/3))*0.324)+((M57+F57+(LOG(G57)*4/3))*0.127),(((K57+F57+(LOG(G57)*4/3))*0.144)+((L57+F57+(LOG(G57)*4/3))*0.25)+((M57+F57+(LOG(G57)*4/3))*0.127)))</f>
        <v>5.41972523502040993</v>
      </c>
      <c r="CB57" s="76">
        <f>((L57+F57+(LOG(G57)*4/3))*0.543)+((M57+F57+(LOG(G57)*4/3))*0.583)</f>
        <v>12.3437766115795995</v>
      </c>
      <c r="CC57" s="76">
        <f>CA57</f>
        <v>5.41972523502040993</v>
      </c>
      <c r="CD57" s="76">
        <f>((M57+1+(LOG(G57)*4/3))*0.26)+((K57+F57+(LOG(G57)*4/3))*0.221)+((L57+F57+(LOG(G57)*4/3))*0.142)</f>
        <v>5.78233554974610975</v>
      </c>
      <c r="CE57" s="76">
        <f>((M57+F57+(LOG(G57)*4/3))*1)+((L57+F57+(LOG(G57)*4/3))*0.369)</f>
        <v>14.1341129496025992</v>
      </c>
      <c r="CF57" s="76">
        <f>CD57</f>
        <v>5.78233554974610975</v>
      </c>
      <c r="CG57" s="76">
        <f>((J57+F57+(LOG(G57)*4/3))*0.25)</f>
        <v>2.12894684981786009</v>
      </c>
    </row>
    <row r="58" spans="1:85">
      <c r="A58"/>
      <c r="B58"/>
      <c r="C58" s="54"/>
      <c r="D58"/>
      <c r="E58" s="211"/>
      <c r="F58" s="157"/>
      <c r="G58" s="158"/>
      <c r="H58" s="53"/>
      <c r="I58" s="53"/>
      <c r="J58" s="53"/>
      <c r="K58" s="53"/>
      <c r="L58" s="53"/>
      <c r="M58" s="53"/>
      <c r="N58" s="53"/>
      <c r="O58" s="158"/>
      <c r="P58" s="158"/>
      <c r="Q58" s="158"/>
      <c r="R58" s="158"/>
      <c r="S58" s="158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249"/>
      <c r="AF58" s="76"/>
      <c r="AG58" s="76"/>
      <c r="AH58" s="249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  <c r="BV58" s="76"/>
      <c r="BW58" s="76"/>
      <c r="BX58" s="76"/>
      <c r="BY58" s="76"/>
      <c r="BZ58" s="76"/>
      <c r="CA58" s="76"/>
      <c r="CB58" s="76"/>
      <c r="CC58" s="76"/>
      <c r="CD58" s="76"/>
      <c r="CE58" s="76"/>
      <c r="CF58" s="76"/>
      <c r="CG58" s="76"/>
    </row>
    <row r="59" spans="1:85">
      <c r="A59"/>
      <c r="B59"/>
      <c r="C59" s="54"/>
      <c r="D59"/>
      <c r="E59" s="211"/>
      <c r="F59" s="157"/>
      <c r="G59" s="158"/>
      <c r="H59" s="53"/>
      <c r="I59" s="53"/>
      <c r="J59" s="53"/>
      <c r="K59" s="53"/>
      <c r="L59" s="53"/>
      <c r="M59" s="53"/>
      <c r="N59" s="53"/>
      <c r="O59" s="158"/>
      <c r="P59" s="158"/>
      <c r="Q59" s="158"/>
      <c r="R59" s="158"/>
      <c r="S59" s="158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249"/>
      <c r="AF59" s="76"/>
      <c r="AG59" s="76"/>
      <c r="AH59" s="249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  <c r="CC59" s="76"/>
      <c r="CD59" s="76"/>
      <c r="CE59" s="76"/>
      <c r="CF59" s="76"/>
      <c r="CG59" s="76"/>
    </row>
    <row r="60" spans="1:85">
      <c r="A60"/>
      <c r="B60"/>
      <c r="C60" s="54"/>
      <c r="D60"/>
      <c r="E60" s="211"/>
      <c r="F60" s="157"/>
      <c r="G60" s="158"/>
      <c r="H60" s="53"/>
      <c r="I60" s="53"/>
      <c r="J60" s="53"/>
      <c r="K60" s="53"/>
      <c r="L60" s="53"/>
      <c r="M60" s="53"/>
      <c r="N60" s="53"/>
      <c r="O60" s="158"/>
      <c r="P60" s="158"/>
      <c r="Q60" s="158"/>
      <c r="R60" s="158"/>
      <c r="S60" s="158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249"/>
      <c r="AF60" s="76"/>
      <c r="AG60" s="76"/>
      <c r="AH60" s="249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  <c r="CC60" s="76"/>
      <c r="CD60" s="76"/>
      <c r="CE60" s="76"/>
      <c r="CF60" s="76"/>
      <c r="CG60" s="76"/>
    </row>
  </sheetData>
  <mergeCells count="2">
    <mergeCell ref="A1:E1"/>
    <mergeCell ref="A35:E35"/>
  </mergeCells>
  <conditionalFormatting sqref="X37:X60 AE37:AE60 AP37:AP60 AW37:AW60 BC37:BC60 BH37:BH60">
    <cfRule type="cellIs" dxfId="45" priority="1" operator="greaterThan">
      <formula>12</formula>
    </cfRule>
  </conditionalFormatting>
  <conditionalFormatting sqref="G37:G60">
    <cfRule type="cellIs" dxfId="46" priority="2" operator="greaterThan">
      <formula>7</formula>
    </cfRule>
  </conditionalFormatting>
  <conditionalFormatting sqref="T37:W60 Y37:AD60 AF37:AF60 AH37:AJ60 AL37:AO60 AQ37:AV60 AX37:BA60 BD37:BG60 BI37:CG60">
    <cfRule type="cellIs" dxfId="47" priority="3" operator="greaterThan">
      <formula>12.5</formula>
    </cfRule>
  </conditionalFormatting>
  <conditionalFormatting sqref="Q37:R60">
    <cfRule type="cellIs" dxfId="48" priority="4" operator="greaterThan">
      <formula>0.6</formula>
    </cfRule>
  </conditionalFormatting>
  <conditionalFormatting sqref="O37:O60">
    <cfRule type="cellIs" dxfId="49" priority="5" operator="greaterThan">
      <formula>3.2</formula>
    </cfRule>
  </conditionalFormatting>
  <conditionalFormatting sqref="S37:S60">
    <cfRule type="cellIs" dxfId="50" priority="6" operator="greaterThan">
      <formula>15</formula>
    </cfRule>
  </conditionalFormatting>
  <conditionalFormatting sqref="P37:P60">
    <cfRule type="colorScale" priority="7">
      <colorScale>
        <cfvo type="min"/>
        <cfvo type="max"/>
        <color rgb="FFFFEF9C"/>
        <color rgb="FF63BE7B"/>
      </colorScale>
    </cfRule>
  </conditionalFormatting>
  <conditionalFormatting sqref="H37:N60">
    <cfRule type="colorScale" priority="8">
      <colorScale>
        <cfvo type="min"/>
        <cfvo type="max"/>
        <color rgb="FFFCFCFF"/>
        <color rgb="FFF8696B"/>
      </colorScale>
    </cfRule>
  </conditionalFormatting>
  <conditionalFormatting sqref="AB3:AB26 AI3:AI26 AT3:AT26 BA3:BA26 BG3:BG26 BL3:BL26">
    <cfRule type="cellIs" dxfId="51" priority="9" operator="greaterThan">
      <formula>12</formula>
    </cfRule>
  </conditionalFormatting>
  <conditionalFormatting sqref="J3:J26">
    <cfRule type="cellIs" dxfId="52" priority="10" operator="greaterThan">
      <formula>7</formula>
    </cfRule>
  </conditionalFormatting>
  <conditionalFormatting sqref="X3:AA26 AC3:AH26 AJ3:AJ26 AL3:AN26 AP3:AS26 AU3:AZ26 BB3:BE26 BH3:BK26 BM3:CK26">
    <cfRule type="cellIs" dxfId="53" priority="11" operator="greaterThan">
      <formula>12.5</formula>
    </cfRule>
  </conditionalFormatting>
  <conditionalFormatting sqref="T3:U26">
    <cfRule type="cellIs" dxfId="54" priority="12" operator="greaterThan">
      <formula>0.6</formula>
    </cfRule>
  </conditionalFormatting>
  <conditionalFormatting sqref="R3:R26">
    <cfRule type="cellIs" dxfId="55" priority="13" operator="greaterThan">
      <formula>3.2</formula>
    </cfRule>
  </conditionalFormatting>
  <conditionalFormatting sqref="V3:W26">
    <cfRule type="cellIs" dxfId="56" priority="14" operator="greaterThan">
      <formula>15</formula>
    </cfRule>
  </conditionalFormatting>
  <conditionalFormatting sqref="K3:Q26">
    <cfRule type="colorScale" priority="15">
      <colorScale>
        <cfvo type="min"/>
        <cfvo type="max"/>
        <color rgb="FFFCFCFF"/>
        <color rgb="FFF8696B"/>
      </colorScale>
    </cfRule>
  </conditionalFormatting>
  <conditionalFormatting sqref="S3:S26">
    <cfRule type="colorScale" priority="16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5601780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5601780" l="56" r="56" t="56" b="56" borderId="0" fillId="0" vertical="0"/>
        <pm:footer xmlns:pm="smNativeData" id="1595601780" l="56" r="56" t="56" b="56" borderId="0" fillId="0" vertical="2"/>
      </ext>
    </extLst>
  </headerFooter>
  <legacyDrawing r:id="rId2"/>
  <extLst>
    <ext uri="smNativeData">
      <pm:sheetPrefs xmlns:pm="smNativeData" day="1595601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92D050"/>
  </sheetPr>
  <dimension ref="A22"/>
  <sheetViews>
    <sheetView view="normal" workbookViewId="0">
      <selection activeCell="A23" sqref="A23"/>
    </sheetView>
  </sheetViews>
  <sheetFormatPr baseColWidth="10" defaultColWidth="10.714286" defaultRowHeight="15.40"/>
  <sheetData>
    <row r="22" spans="1:1">
      <c r="A22" s="78" t="n">
        <v>43720</v>
      </c>
    </row>
  </sheetData>
  <printOptions>
    <extLst>
      <ext uri="smNativeData">
        <pm:pageFlags xmlns:pm="smNativeData" id="1595601780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5601780" l="56" r="56" t="56" b="56" borderId="0" fillId="0" vertical="0"/>
        <pm:footer xmlns:pm="smNativeData" id="1595601780" l="56" r="56" t="56" b="56" borderId="0" fillId="0" vertical="2"/>
      </ext>
    </extLst>
  </headerFooter>
  <drawing r:id="rId1"/>
  <extLst>
    <ext uri="smNativeData">
      <pm:sheetPrefs xmlns:pm="smNativeData" day="1595601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E4DFEC"/>
  </sheetPr>
  <dimension ref="A1:AA34"/>
  <sheetViews>
    <sheetView view="normal" workbookViewId="0">
      <selection activeCell="AB8" sqref="AB8"/>
    </sheetView>
  </sheetViews>
  <sheetFormatPr baseColWidth="10" defaultColWidth="11.428571" defaultRowHeight="15.40"/>
  <cols>
    <col min="1" max="1" width="15.142857" customWidth="1"/>
    <col min="2" max="3" width="6.571429" customWidth="1"/>
    <col min="4" max="4" width="6.571429" customWidth="1" style="8"/>
    <col min="5" max="6" width="6.571429" customWidth="1"/>
    <col min="8" max="8" width="13.285714" customWidth="1"/>
    <col min="9" max="9" width="5.857143" customWidth="1"/>
    <col min="10" max="11" width="5.571429" customWidth="1"/>
    <col min="13" max="13" width="15.142857" customWidth="1"/>
    <col min="14" max="14" width="4.571429" customWidth="1"/>
    <col min="15" max="15" width="3.571429" customWidth="1"/>
    <col min="16" max="16" width="4.571429" customWidth="1"/>
    <col min="17" max="18" width="5.571429" customWidth="1"/>
    <col min="19" max="20" width="5.142857" customWidth="1"/>
    <col min="23" max="23" width="15.142857" customWidth="1"/>
    <col min="24" max="25" width="5.571429" customWidth="1"/>
    <col min="26" max="26" width="6.571429" customWidth="1"/>
    <col min="27" max="27" width="5.571429" customWidth="1"/>
  </cols>
  <sheetData>
    <row r="1" spans="1:27">
      <c r="A1" s="120" t="s">
        <v>87</v>
      </c>
      <c r="B1" s="120" t="s">
        <v>37</v>
      </c>
      <c r="C1" s="120" t="s">
        <v>198</v>
      </c>
      <c r="D1" s="100" t="s">
        <v>496</v>
      </c>
      <c r="E1" s="100" t="s">
        <v>497</v>
      </c>
      <c r="F1" s="100" t="s">
        <v>498</v>
      </c>
      <c r="M1" s="193" t="str">
        <f>Plantilla!D3</f>
        <v>Jugador</v>
      </c>
      <c r="N1" s="193" t="s">
        <v>93</v>
      </c>
      <c r="O1" s="193" t="str">
        <f>Plantilla!AC3</f>
        <v>An</v>
      </c>
      <c r="P1" s="193" t="str">
        <f>Plantilla!AD3</f>
        <v>PA</v>
      </c>
      <c r="Q1" s="193" t="str">
        <f>Plantilla!AI3</f>
        <v>TL</v>
      </c>
      <c r="R1" s="193" t="str">
        <f>Plantilla!AJ3</f>
        <v>PEN</v>
      </c>
      <c r="S1" s="193" t="str">
        <f>Plantilla!AK3</f>
        <v>BPiA</v>
      </c>
      <c r="T1" s="193" t="str">
        <f>Plantilla!AL3</f>
        <v>BPiD</v>
      </c>
      <c r="W1" s="500" t="s">
        <v>499</v>
      </c>
      <c r="X1" s="500"/>
      <c r="Y1" s="500"/>
      <c r="Z1" s="500"/>
      <c r="AA1" s="500"/>
    </row>
    <row r="2" spans="1:27">
      <c r="A2" t="str">
        <f>Plantilla!D4</f>
        <v>D. Gehmacher</v>
      </c>
      <c r="B2" s="76">
        <f>Plantilla!Y4++Plantilla!J4+Plantilla!P4</f>
        <v>12.8476611652491002</v>
      </c>
      <c r="C2" s="76">
        <f>Plantilla!AB4+Plantilla!J4+Plantilla!P4</f>
        <v>2.89766116524907993</v>
      </c>
      <c r="D2" s="113">
        <f>(C2*2+B2)/8</f>
        <v>2.33037293696841008</v>
      </c>
      <c r="E2" s="76">
        <f>D2*Plantilla!R4</f>
        <v>2.33037293696841008</v>
      </c>
      <c r="F2" s="76">
        <f>D2*Plantilla!S4</f>
        <v>2.33037293696841008</v>
      </c>
      <c r="M2" t="str">
        <f>Plantilla!D4</f>
        <v>D. Gehmacher</v>
      </c>
      <c r="N2" s="52">
        <f>Plantilla!J4</f>
        <v>1.89766116524907993</v>
      </c>
      <c r="O2" s="76">
        <f>Plantilla!AC4</f>
        <v>0</v>
      </c>
      <c r="P2" s="76">
        <f>Plantilla!AD4</f>
        <v>17.9499999999999993</v>
      </c>
      <c r="Q2" s="52">
        <f>Plantilla!AI4</f>
        <v>8.67633117520050057</v>
      </c>
      <c r="R2" s="52">
        <f>Plantilla!AJ4</f>
        <v>15.4626611652491004</v>
      </c>
      <c r="S2" s="52">
        <f>Plantilla!AK4</f>
        <v>0.77031289321992702</v>
      </c>
      <c r="T2" s="52">
        <f>Plantilla!AL4</f>
        <v>1.13933628156743993</v>
      </c>
      <c r="W2" t="str">
        <f>M8</f>
        <v>L. Tutorić</v>
      </c>
      <c r="X2" s="121">
        <f>N8</f>
        <v>1.11001188360830993</v>
      </c>
      <c r="Y2" s="121">
        <f>O8</f>
        <v>7</v>
      </c>
      <c r="Z2" s="121">
        <f>P8</f>
        <v>15.3333333333333002</v>
      </c>
      <c r="AA2" s="121"/>
    </row>
    <row r="3" spans="1:27">
      <c r="A3" t="str">
        <f>Plantilla!D5</f>
        <v>林 (Lin) 光维 (Guangwei)</v>
      </c>
      <c r="B3" s="76">
        <f>Plantilla!Y5++Plantilla!J5+Plantilla!P5</f>
        <v>6.48794750954999966</v>
      </c>
      <c r="C3" s="76">
        <f>Plantilla!AB5+Plantilla!J5+Plantilla!P5</f>
        <v>6.48794750954999966</v>
      </c>
      <c r="D3" s="113">
        <f>(C3*2+B3)/8</f>
        <v>2.4329803160812502</v>
      </c>
      <c r="E3" s="76">
        <f>D3*Plantilla!R5</f>
        <v>2.25250207897900001</v>
      </c>
      <c r="F3" s="76">
        <f>D3*Plantilla!S5</f>
        <v>2.43124185189636988</v>
      </c>
      <c r="M3" t="str">
        <f>Plantilla!D5</f>
        <v>林 (Lin) 光维 (Guangwei)</v>
      </c>
      <c r="N3" s="52">
        <f>Plantilla!J5</f>
        <v>0.870950018367127043</v>
      </c>
      <c r="O3" s="76">
        <f>Plantilla!AC5</f>
        <v>3</v>
      </c>
      <c r="P3" s="76">
        <f>Plantilla!AD5</f>
        <v>19.25</v>
      </c>
      <c r="Q3" s="52">
        <f>Plantilla!AI5</f>
        <v>10.4209051279006992</v>
      </c>
      <c r="R3" s="52">
        <f>Plantilla!AJ5</f>
        <v>14.6862356459783001</v>
      </c>
      <c r="S3" s="52">
        <f>Plantilla!AK5</f>
        <v>0.846535800764000079</v>
      </c>
      <c r="T3" s="52">
        <f>Plantilla!AL5</f>
        <v>0.881656325668500074</v>
      </c>
      <c r="W3" t="str">
        <f>M12</f>
        <v>S. Embe</v>
      </c>
      <c r="X3" s="121">
        <f>N12</f>
        <v>0.725424059133700005</v>
      </c>
      <c r="Y3" s="121">
        <f>O12</f>
        <v>6</v>
      </c>
      <c r="Z3" s="121">
        <f>P12</f>
        <v>17.3333333333333002</v>
      </c>
      <c r="AA3" s="121"/>
    </row>
    <row r="4" spans="1:27">
      <c r="A4" t="str">
        <f>Plantilla!D6</f>
        <v>E. Toney</v>
      </c>
      <c r="B4" s="76">
        <f>Plantilla!Y6++Plantilla!J6+Plantilla!P6</f>
        <v>12.1875947432273009</v>
      </c>
      <c r="C4" s="76">
        <f>Plantilla!AB6+Plantilla!J6+Plantilla!P6</f>
        <v>8.18759474322732039</v>
      </c>
      <c r="D4" s="113">
        <f>(C4*2+B4)/8</f>
        <v>3.57034802871024004</v>
      </c>
      <c r="E4" s="76">
        <f>D4*Plantilla!R6</f>
        <v>1.90843129642535008</v>
      </c>
      <c r="F4" s="76">
        <f>D4*Plantilla!S6</f>
        <v>2.33344262189960983</v>
      </c>
      <c r="M4" t="str">
        <f>Plantilla!D6</f>
        <v>E. Toney</v>
      </c>
      <c r="N4" s="52">
        <f>Plantilla!J6</f>
        <v>1.73759474322732004</v>
      </c>
      <c r="O4" s="76">
        <f>Plantilla!AC6</f>
        <v>0</v>
      </c>
      <c r="P4" s="76">
        <f>Plantilla!AD6</f>
        <v>15</v>
      </c>
      <c r="Q4" s="52">
        <f>Plantilla!AI6</f>
        <v>4.17199309061375967</v>
      </c>
      <c r="R4" s="52">
        <f>Plantilla!AJ6</f>
        <v>7.34305326392904956</v>
      </c>
      <c r="S4" s="52">
        <f>Plantilla!AK6</f>
        <v>0.709007579458185067</v>
      </c>
      <c r="T4" s="52">
        <f>Plantilla!AL6</f>
        <v>1.03463163202590991</v>
      </c>
      <c r="W4" t="str">
        <f>M10</f>
        <v>A. Grimaud</v>
      </c>
      <c r="X4" s="121">
        <f>N10</f>
        <v>1.0078331408966601</v>
      </c>
      <c r="Y4" s="121">
        <f>O10</f>
        <v>5</v>
      </c>
      <c r="Z4" s="121">
        <f>P10</f>
        <v>14.3333333333333002</v>
      </c>
      <c r="AA4" s="121"/>
    </row>
    <row r="5" spans="1:27">
      <c r="A5" t="str">
        <f>Plantilla!D7</f>
        <v>F. Lasprilla</v>
      </c>
      <c r="B5" s="76">
        <f>Plantilla!Y7++Plantilla!J7+Plantilla!P7</f>
        <v>11.6613133585049003</v>
      </c>
      <c r="C5" s="76">
        <f>Plantilla!AB7+Plantilla!J7+Plantilla!P7</f>
        <v>10.6613133585049003</v>
      </c>
      <c r="D5" s="113">
        <f>(C5*2+B5)/8</f>
        <v>4.12299250943933959</v>
      </c>
      <c r="E5" s="76">
        <f>D5*Plantilla!R7</f>
        <v>1.55834469105122997</v>
      </c>
      <c r="F5" s="76">
        <f>D5*Plantilla!S7</f>
        <v>2.19831571219736999</v>
      </c>
      <c r="M5" t="str">
        <f>Plantilla!D7</f>
        <v>F. Lasprilla</v>
      </c>
      <c r="N5" s="52">
        <f>Plantilla!J7</f>
        <v>1.2113133585048701</v>
      </c>
      <c r="O5" s="76">
        <f>Plantilla!AC7</f>
        <v>0.95</v>
      </c>
      <c r="P5" s="76">
        <f>Plantilla!AD7</f>
        <v>14</v>
      </c>
      <c r="Q5" s="52">
        <f>Plantilla!AI7</f>
        <v>2.89861049684595997</v>
      </c>
      <c r="R5" s="52">
        <f>Plantilla!AJ7</f>
        <v>4.83655183500824037</v>
      </c>
      <c r="S5" s="52">
        <f>Plantilla!AK7</f>
        <v>0.684405068680390993</v>
      </c>
      <c r="T5" s="52">
        <f>Plantilla!AL7</f>
        <v>0.967791935095343092</v>
      </c>
      <c r="W5" t="str">
        <f>M11</f>
        <v>V. Gardner</v>
      </c>
      <c r="X5" s="121">
        <f>N11</f>
        <v>0.896130477247623958</v>
      </c>
      <c r="Y5" s="121">
        <f>O11</f>
        <v>6</v>
      </c>
      <c r="Z5" s="121">
        <f>P11</f>
        <v>16</v>
      </c>
      <c r="AA5" s="121"/>
    </row>
    <row r="6" spans="1:27">
      <c r="A6" t="str">
        <f>Plantilla!D8</f>
        <v>E. Romweber</v>
      </c>
      <c r="B6" s="76">
        <f>Plantilla!Y8++Plantilla!J8+Plantilla!P8</f>
        <v>12.1875947432273009</v>
      </c>
      <c r="C6" s="76">
        <f>Plantilla!AB8+Plantilla!J8+Plantilla!P8</f>
        <v>10.1875947432273009</v>
      </c>
      <c r="D6" s="113">
        <f>(C6*2+B6)/8</f>
        <v>4.0703480287102396</v>
      </c>
      <c r="E6" s="76">
        <f>D6*Plantilla!R8</f>
        <v>3.07689389527123014</v>
      </c>
      <c r="F6" s="76">
        <f>D6*Plantilla!S8</f>
        <v>3.43663016097743013</v>
      </c>
      <c r="M6" t="str">
        <f>Plantilla!D8</f>
        <v>E. Romweber</v>
      </c>
      <c r="N6" s="52">
        <f>Plantilla!J8</f>
        <v>1.73759474322732004</v>
      </c>
      <c r="O6" s="76">
        <f>Plantilla!AC8</f>
        <v>0.95</v>
      </c>
      <c r="P6" s="76">
        <f>Plantilla!AD8</f>
        <v>16</v>
      </c>
      <c r="Q6" s="52">
        <f>Plantilla!AI8</f>
        <v>7.50795007905407985</v>
      </c>
      <c r="R6" s="52">
        <f>Plantilla!AJ8</f>
        <v>11.1292355269047007</v>
      </c>
      <c r="S6" s="52">
        <f>Plantilla!AK8</f>
        <v>0.786507579458184924</v>
      </c>
      <c r="T6" s="52">
        <f>Plantilla!AL8</f>
        <v>1.06463163202590994</v>
      </c>
      <c r="W6" t="str">
        <f>M17</f>
        <v>M. Bondarewski</v>
      </c>
      <c r="X6" s="121">
        <f>N17</f>
        <v>0.920261440038020062</v>
      </c>
      <c r="Y6" s="121">
        <f>O17</f>
        <v>8</v>
      </c>
      <c r="Z6" s="121">
        <f>P17</f>
        <v>17</v>
      </c>
      <c r="AA6" s="121"/>
    </row>
    <row r="7" spans="1:27">
      <c r="A7" t="str">
        <f>Plantilla!D9</f>
        <v>S. Buschelman</v>
      </c>
      <c r="B7" s="76">
        <f>Plantilla!Y9++Plantilla!J9+Plantilla!P9</f>
        <v>11.0697917973968991</v>
      </c>
      <c r="C7" s="76">
        <f>Plantilla!AB9+Plantilla!J9+Plantilla!P9</f>
        <v>10.0697917973968991</v>
      </c>
      <c r="D7" s="113">
        <f>(C7*2+B7)/8</f>
        <v>3.90117192402383992</v>
      </c>
      <c r="E7" s="76">
        <f>D7*Plantilla!R9</f>
        <v>3.90117192402383992</v>
      </c>
      <c r="F7" s="76">
        <f>D7*Plantilla!S9</f>
        <v>3.90117192402383992</v>
      </c>
      <c r="M7" t="str">
        <f>Plantilla!D9</f>
        <v>S. Buschelman</v>
      </c>
      <c r="N7" s="52">
        <f>Plantilla!J9</f>
        <v>1.61979179739693002</v>
      </c>
      <c r="O7" s="76">
        <f>Plantilla!AC9</f>
        <v>0.95</v>
      </c>
      <c r="P7" s="76">
        <f>Plantilla!AD9</f>
        <v>16</v>
      </c>
      <c r="Q7" s="52">
        <f>Plantilla!AI9</f>
        <v>9.67173987224719944</v>
      </c>
      <c r="R7" s="52">
        <f>Plantilla!AJ9</f>
        <v>14.6047917973968993</v>
      </c>
      <c r="S7" s="52">
        <f>Plantilla!AK9</f>
        <v>0.777083343791754011</v>
      </c>
      <c r="T7" s="52">
        <f>Plantilla!AL9</f>
        <v>1.01638542581778002</v>
      </c>
      <c r="W7" t="str">
        <f>M14</f>
        <v>I. Vanags</v>
      </c>
      <c r="X7" s="121">
        <f>N14</f>
        <v>0.741736667689717066</v>
      </c>
      <c r="Y7" s="121">
        <f>O14</f>
        <v>7</v>
      </c>
      <c r="Z7" s="121">
        <f>P14</f>
        <v>16.3333333333333002</v>
      </c>
      <c r="AA7" s="121"/>
    </row>
    <row r="8" spans="1:27">
      <c r="A8" t="str">
        <f>Plantilla!D10</f>
        <v>L. Tutorić</v>
      </c>
      <c r="B8" s="76">
        <f>Plantilla!Y10++Plantilla!J10+Plantilla!P10</f>
        <v>14.4203784050794006</v>
      </c>
      <c r="C8" s="76">
        <f>Plantilla!AB10+Plantilla!J10+Plantilla!P10</f>
        <v>2.42037840507942015</v>
      </c>
      <c r="D8" s="113">
        <f>(C8*2+B8)/8</f>
        <v>2.40764190190478011</v>
      </c>
      <c r="E8" s="76">
        <f>D8*Plantilla!R10</f>
        <v>2.03482879725748012</v>
      </c>
      <c r="F8" s="76">
        <f>D8*Plantilla!S10</f>
        <v>2.22718495516418979</v>
      </c>
      <c r="M8" t="str">
        <f>Plantilla!D10</f>
        <v>L. Tutorić</v>
      </c>
      <c r="N8" s="52">
        <f>Plantilla!J10</f>
        <v>1.11001188360830993</v>
      </c>
      <c r="O8" s="76">
        <f>Plantilla!AC10</f>
        <v>7</v>
      </c>
      <c r="P8" s="76">
        <f>Plantilla!AD10</f>
        <v>15.3333333333333002</v>
      </c>
      <c r="Q8" s="52">
        <f>Plantilla!AI10</f>
        <v>13.1779575159730999</v>
      </c>
      <c r="R8" s="52">
        <f>Plantilla!AJ10</f>
        <v>12.0465851213932993</v>
      </c>
      <c r="S8" s="52">
        <f>Plantilla!AK10</f>
        <v>0.923630272406352049</v>
      </c>
      <c r="T8" s="52">
        <f>Plantilla!AL10</f>
        <v>1.07942648835555999</v>
      </c>
      <c r="W8" t="str">
        <f>M18</f>
        <v>P. Tuderek</v>
      </c>
      <c r="X8" s="121">
        <f>N18</f>
        <v>0.788086142701999925</v>
      </c>
      <c r="Y8" s="121">
        <f>O18</f>
        <v>6</v>
      </c>
      <c r="Z8" s="121">
        <f>P18</f>
        <v>17.25</v>
      </c>
      <c r="AA8" s="121"/>
    </row>
    <row r="9" spans="1:27">
      <c r="A9" t="str">
        <f>Plantilla!D11</f>
        <v>S. Swärdborn</v>
      </c>
      <c r="B9" s="76">
        <f>Plantilla!Y11++Plantilla!J11+Plantilla!P11</f>
        <v>13.6097309448045003</v>
      </c>
      <c r="C9" s="76">
        <f>Plantilla!AB11+Plantilla!J11+Plantilla!P11</f>
        <v>4.60973094480446033</v>
      </c>
      <c r="D9" s="113">
        <f>(C9*2+B9)/8</f>
        <v>2.85364910430168006</v>
      </c>
      <c r="E9" s="76">
        <f>D9*Plantilla!R11</f>
        <v>2.41177368200278019</v>
      </c>
      <c r="F9" s="76">
        <f>D9*Plantilla!S11</f>
        <v>2.63976314226392983</v>
      </c>
      <c r="H9" s="52"/>
      <c r="M9" t="str">
        <f>Plantilla!D11</f>
        <v>S. Swärdborn</v>
      </c>
      <c r="N9" s="52">
        <f>Plantilla!J11</f>
        <v>1.0078331408966601</v>
      </c>
      <c r="O9" s="76">
        <f>Plantilla!AC11</f>
        <v>6</v>
      </c>
      <c r="P9" s="76">
        <f>Plantilla!AD11</f>
        <v>15.3333333333333002</v>
      </c>
      <c r="Q9" s="52">
        <f>Plantilla!AI11</f>
        <v>12.1286724042727005</v>
      </c>
      <c r="R9" s="52">
        <f>Plantilla!AJ11</f>
        <v>11.9530709495671008</v>
      </c>
      <c r="S9" s="52">
        <f>Plantilla!AK11</f>
        <v>0.888778475584356897</v>
      </c>
      <c r="T9" s="52">
        <f>Plantilla!AL11</f>
        <v>1.05268116613631002</v>
      </c>
      <c r="W9" t="str">
        <f>M20</f>
        <v>J-P. Kechele</v>
      </c>
      <c r="X9" s="121">
        <f>N20</f>
        <v>1.24599793499142009</v>
      </c>
      <c r="Y9" s="121">
        <f>O20</f>
        <v>8</v>
      </c>
      <c r="Z9" s="121">
        <f>P20</f>
        <v>19.25</v>
      </c>
      <c r="AA9" s="121"/>
    </row>
    <row r="10" spans="1:27">
      <c r="A10" t="str">
        <f>Plantilla!D12</f>
        <v>A. Grimaud</v>
      </c>
      <c r="B10" s="76">
        <f>Plantilla!Y12++Plantilla!J12+Plantilla!P12</f>
        <v>13.9319076495297001</v>
      </c>
      <c r="C10" s="76">
        <f>Plantilla!AB12+Plantilla!J12+Plantilla!P12</f>
        <v>4.93190764952967964</v>
      </c>
      <c r="D10" s="113">
        <f>(C10*2+B10)/8</f>
        <v>2.97446536857363988</v>
      </c>
      <c r="E10" s="76">
        <f>D10*Plantilla!R12</f>
        <v>2.75381982430284999</v>
      </c>
      <c r="F10" s="76">
        <f>D10*Plantilla!S12</f>
        <v>2.97233999111857017</v>
      </c>
      <c r="M10" t="str">
        <f>Plantilla!D12</f>
        <v>A. Grimaud</v>
      </c>
      <c r="N10" s="52">
        <f>Plantilla!J12</f>
        <v>1.0078331408966601</v>
      </c>
      <c r="O10" s="76">
        <f>Plantilla!AC12</f>
        <v>5</v>
      </c>
      <c r="P10" s="76">
        <f>Plantilla!AD12</f>
        <v>14.3333333333333002</v>
      </c>
      <c r="Q10" s="52">
        <f>Plantilla!AI12</f>
        <v>11.8994261646218007</v>
      </c>
      <c r="R10" s="52">
        <f>Plantilla!AJ12</f>
        <v>12.4663907502156999</v>
      </c>
      <c r="S10" s="52">
        <f>Plantilla!AK12</f>
        <v>0.83455261196237398</v>
      </c>
      <c r="T10" s="52">
        <f>Plantilla!AL12</f>
        <v>1.04523353546708009</v>
      </c>
      <c r="W10" t="str">
        <f>M19</f>
        <v>R. Forsyth</v>
      </c>
      <c r="X10" s="121">
        <f>N19</f>
        <v>0.920261440038020062</v>
      </c>
      <c r="Y10" s="121">
        <f>O19</f>
        <v>6</v>
      </c>
      <c r="Z10" s="121">
        <f>P19</f>
        <v>15</v>
      </c>
      <c r="AA10" s="121"/>
    </row>
    <row r="11" spans="1:27">
      <c r="A11" t="str">
        <f>Plantilla!D13</f>
        <v>V. Gardner</v>
      </c>
      <c r="B11" s="76">
        <f>Plantilla!Y13++Plantilla!J13+Plantilla!P13</f>
        <v>13.7859952252435995</v>
      </c>
      <c r="C11" s="76">
        <f>Plantilla!AB13+Plantilla!J13+Plantilla!P13</f>
        <v>6.78599522524365018</v>
      </c>
      <c r="D11" s="113">
        <f>(C11*2+B11)/8</f>
        <v>3.41974820946636004</v>
      </c>
      <c r="E11" s="76">
        <f>D11*Plantilla!R13</f>
        <v>3.41974820946636004</v>
      </c>
      <c r="F11" s="76">
        <f>D11*Plantilla!S13</f>
        <v>3.41974820946636004</v>
      </c>
      <c r="M11" t="str">
        <f>Plantilla!D13</f>
        <v>V. Gardner</v>
      </c>
      <c r="N11" s="52">
        <f>Plantilla!J13</f>
        <v>0.896130477247623958</v>
      </c>
      <c r="O11" s="76">
        <f>Plantilla!AC13</f>
        <v>6</v>
      </c>
      <c r="P11" s="76">
        <f>Plantilla!AD13</f>
        <v>16</v>
      </c>
      <c r="Q11" s="52">
        <f>Plantilla!AI13</f>
        <v>15.1070494477884996</v>
      </c>
      <c r="R11" s="52">
        <f>Plantilla!AJ13</f>
        <v>14.7859952252435995</v>
      </c>
      <c r="S11" s="52">
        <f>Plantilla!AK13</f>
        <v>0.922879618019491055</v>
      </c>
      <c r="T11" s="52">
        <f>Plantilla!AL13</f>
        <v>1.08501966576704989</v>
      </c>
      <c r="W11" t="str">
        <f>M15</f>
        <v>I. Stone</v>
      </c>
      <c r="X11" s="121">
        <f>N15</f>
        <v>0.90832164983411694</v>
      </c>
      <c r="Y11" s="121">
        <f>O15</f>
        <v>9</v>
      </c>
      <c r="Z11" s="121">
        <f>P15</f>
        <v>15.3333333333333002</v>
      </c>
      <c r="AA11" s="121"/>
    </row>
    <row r="12" spans="1:27">
      <c r="A12" t="str">
        <f>Plantilla!D14</f>
        <v>S. Embe</v>
      </c>
      <c r="B12" s="76">
        <f>Plantilla!Y14++Plantilla!J14+Plantilla!P14</f>
        <v>12.2317101259179992</v>
      </c>
      <c r="C12" s="76">
        <f>Plantilla!AB14+Plantilla!J14+Plantilla!P14</f>
        <v>6.23171012591797968</v>
      </c>
      <c r="D12" s="113">
        <f>(C12*2+B12)/8</f>
        <v>3.08689129721925015</v>
      </c>
      <c r="E12" s="76">
        <f>D12*Plantilla!R14</f>
        <v>2.85790600877855017</v>
      </c>
      <c r="F12" s="76">
        <f>D12*Plantilla!S14</f>
        <v>3.08468558682884009</v>
      </c>
      <c r="M12" t="str">
        <f>Plantilla!D14</f>
        <v>S. Embe</v>
      </c>
      <c r="N12" s="52">
        <f>Plantilla!J14</f>
        <v>0.725424059133700005</v>
      </c>
      <c r="O12" s="76">
        <f>Plantilla!AC14</f>
        <v>6</v>
      </c>
      <c r="P12" s="76">
        <f>Plantilla!AD14</f>
        <v>17.3333333333333002</v>
      </c>
      <c r="Q12" s="52">
        <f>Plantilla!AI14</f>
        <v>13.5312428548816008</v>
      </c>
      <c r="R12" s="52">
        <f>Plantilla!AJ14</f>
        <v>14.0401020484991008</v>
      </c>
      <c r="S12" s="52">
        <f>Plantilla!AK14</f>
        <v>0.918536810073437948</v>
      </c>
      <c r="T12" s="52">
        <f>Plantilla!AL14</f>
        <v>1.04621970881425996</v>
      </c>
      <c r="Y12" s="194">
        <f>AVERAGE(Y2:Y11)</f>
        <v>6.79999999999999982</v>
      </c>
      <c r="Z12" s="194">
        <f>AVERAGE(Z2:Z11)</f>
        <v>16.3166666666666984</v>
      </c>
      <c r="AA12" s="195">
        <f>1.66*(Y12+1.5)+0.55*(Z12+1.5)-7.6</f>
        <v>15.9771666666666992</v>
      </c>
    </row>
    <row r="13" spans="1:20">
      <c r="A13" t="str">
        <f>Plantilla!D15</f>
        <v>E. Deus</v>
      </c>
      <c r="B13" s="76">
        <f>Plantilla!Y15++Plantilla!J15+Plantilla!P15</f>
        <v>12.4860647421915996</v>
      </c>
      <c r="C13" s="76">
        <f>Plantilla!AB15+Plantilla!J15+Plantilla!P15</f>
        <v>7.48606474219158979</v>
      </c>
      <c r="D13" s="113">
        <f>(C13*2+B13)/8</f>
        <v>3.43227427832185006</v>
      </c>
      <c r="E13" s="76">
        <f>D13*Plantilla!R15</f>
        <v>3.17766851480270018</v>
      </c>
      <c r="F13" s="76">
        <f>D13*Plantilla!S15</f>
        <v>3.42982177763119012</v>
      </c>
      <c r="M13" t="str">
        <f>Plantilla!D15</f>
        <v>E. Deus</v>
      </c>
      <c r="N13" s="52">
        <f>Plantilla!J15</f>
        <v>0.920261440038020062</v>
      </c>
      <c r="O13" s="76">
        <f>Plantilla!AC15</f>
        <v>5</v>
      </c>
      <c r="P13" s="76">
        <f>Plantilla!AD15</f>
        <v>15.3333333333333002</v>
      </c>
      <c r="Q13" s="52">
        <f>Plantilla!AI15</f>
        <v>11.4964048013469</v>
      </c>
      <c r="R13" s="52">
        <f>Plantilla!AJ15</f>
        <v>12.7016944951017994</v>
      </c>
      <c r="S13" s="52">
        <f>Plantilla!AK15</f>
        <v>0.828885179375327041</v>
      </c>
      <c r="T13" s="52">
        <f>Plantilla!AL15</f>
        <v>1.00402453195341002</v>
      </c>
    </row>
    <row r="14" spans="1:20">
      <c r="A14" t="str">
        <f>Plantilla!D16</f>
        <v>I. Vanags</v>
      </c>
      <c r="B14" s="76">
        <f>Plantilla!Y16++Plantilla!J16+Plantilla!P16</f>
        <v>5.74173666768971991</v>
      </c>
      <c r="C14" s="76">
        <f>Plantilla!AB16+Plantilla!J16+Plantilla!P16</f>
        <v>5.74173666768971991</v>
      </c>
      <c r="D14" s="113">
        <f>(C14*2+B14)/8</f>
        <v>2.15315125038363986</v>
      </c>
      <c r="E14" s="76">
        <f>D14*Plantilla!R16</f>
        <v>2.15315125038363986</v>
      </c>
      <c r="F14" s="76">
        <f>D14*Plantilla!S16</f>
        <v>2.15315125038363986</v>
      </c>
      <c r="M14" t="str">
        <f>Plantilla!D16</f>
        <v>I. Vanags</v>
      </c>
      <c r="N14" s="52">
        <f>Plantilla!J16</f>
        <v>0.741736667689717066</v>
      </c>
      <c r="O14" s="76">
        <f>Plantilla!AC16</f>
        <v>7</v>
      </c>
      <c r="P14" s="76">
        <f>Plantilla!AD16</f>
        <v>16.3333333333333002</v>
      </c>
      <c r="Q14" s="52">
        <f>Plantilla!AI16</f>
        <v>16.8525713689275989</v>
      </c>
      <c r="R14" s="52">
        <f>Plantilla!AJ16</f>
        <v>15.2750700010229998</v>
      </c>
      <c r="S14" s="52">
        <f>Plantilla!AK16</f>
        <v>0.979338933415175994</v>
      </c>
      <c r="T14" s="52">
        <f>Plantilla!AL16</f>
        <v>0.771921566738279097</v>
      </c>
    </row>
    <row r="15" spans="1:20">
      <c r="A15" t="str">
        <f>Plantilla!D17</f>
        <v>I. Stone</v>
      </c>
      <c r="B15" s="76">
        <f>Plantilla!Y17++Plantilla!J17+Plantilla!P17</f>
        <v>4.90832164983411978</v>
      </c>
      <c r="C15" s="76">
        <f>Plantilla!AB17+Plantilla!J17+Plantilla!P17</f>
        <v>7.90832164983411978</v>
      </c>
      <c r="D15" s="113">
        <f>(C15*2+B15)/8</f>
        <v>2.59062061868778981</v>
      </c>
      <c r="E15" s="76">
        <f>D15*Plantilla!R17</f>
        <v>2.18947403827141018</v>
      </c>
      <c r="F15" s="76">
        <f>D15*Plantilla!S17</f>
        <v>2.39644909897725</v>
      </c>
      <c r="M15" t="str">
        <f>Plantilla!D17</f>
        <v>I. Stone</v>
      </c>
      <c r="N15" s="52">
        <f>Plantilla!J17</f>
        <v>0.90832164983411694</v>
      </c>
      <c r="O15" s="76">
        <f>Plantilla!AC17</f>
        <v>9</v>
      </c>
      <c r="P15" s="76">
        <f>Plantilla!AD17</f>
        <v>15.3333333333333002</v>
      </c>
      <c r="Q15" s="52">
        <f>Plantilla!AI17</f>
        <v>16.8952455953805014</v>
      </c>
      <c r="R15" s="52">
        <f>Plantilla!AJ17</f>
        <v>12.9660649836008997</v>
      </c>
      <c r="S15" s="52">
        <f>Plantilla!AK17</f>
        <v>1.06266573198673009</v>
      </c>
      <c r="T15" s="52">
        <f>Plantilla!AL17</f>
        <v>0.713582515488386981</v>
      </c>
    </row>
    <row r="16" spans="1:20">
      <c r="A16" t="str">
        <f>Plantilla!D18</f>
        <v>G. Piscaer</v>
      </c>
      <c r="B16" s="76">
        <f>Plantilla!Y18++Plantilla!J18+Plantilla!P18</f>
        <v>5.89613047724762041</v>
      </c>
      <c r="C16" s="76">
        <f>Plantilla!AB18+Plantilla!J18+Plantilla!P18</f>
        <v>3.89613047724762005</v>
      </c>
      <c r="D16" s="113">
        <f>(C16*2+B16)/8</f>
        <v>1.71104892896786005</v>
      </c>
      <c r="E16" s="76">
        <f>D16*Plantilla!R18</f>
        <v>1.29343141346067991</v>
      </c>
      <c r="F16" s="76">
        <f>D16*Plantilla!S18</f>
        <v>1.44465345830939995</v>
      </c>
      <c r="M16" t="str">
        <f>Plantilla!D18</f>
        <v>G. Piscaer</v>
      </c>
      <c r="N16" s="52">
        <f>Plantilla!J18</f>
        <v>0.896130477247623958</v>
      </c>
      <c r="O16" s="76">
        <f>Plantilla!AC18</f>
        <v>8</v>
      </c>
      <c r="P16" s="76">
        <f>Plantilla!AD18</f>
        <v>14.3333333333333002</v>
      </c>
      <c r="Q16" s="52">
        <f>Plantilla!AI18</f>
        <v>13.4205974792897997</v>
      </c>
      <c r="R16" s="52">
        <f>Plantilla!AJ18</f>
        <v>10.8320564753420001</v>
      </c>
      <c r="S16" s="52">
        <f>Plantilla!AK18</f>
        <v>0.981690438179809099</v>
      </c>
      <c r="T16" s="52">
        <f>Plantilla!AL18</f>
        <v>0.722729133407332025</v>
      </c>
    </row>
    <row r="17" spans="1:20">
      <c r="A17" t="str">
        <f>Plantilla!D19</f>
        <v>M. Bondarewski</v>
      </c>
      <c r="B17" s="76">
        <f>Plantilla!Y19++Plantilla!J19+Plantilla!P19</f>
        <v>3.92026144003801988</v>
      </c>
      <c r="C17" s="76">
        <f>Plantilla!AB19+Plantilla!J19+Plantilla!P19</f>
        <v>5.92026144003802024</v>
      </c>
      <c r="D17" s="113">
        <f>(C17*2+B17)/8</f>
        <v>1.97009804001425</v>
      </c>
      <c r="E17" s="76">
        <f>D17*Plantilla!R19</f>
        <v>1.8239563639676998</v>
      </c>
      <c r="F17" s="76">
        <f>D17*Plantilla!S19</f>
        <v>1.96869032419318994</v>
      </c>
      <c r="M17" t="str">
        <f>Plantilla!D19</f>
        <v>M. Bondarewski</v>
      </c>
      <c r="N17" s="52">
        <f>Plantilla!J19</f>
        <v>0.920261440038020062</v>
      </c>
      <c r="O17" s="76">
        <f>Plantilla!AC19</f>
        <v>8</v>
      </c>
      <c r="P17" s="76">
        <f>Plantilla!AD19</f>
        <v>17</v>
      </c>
      <c r="Q17" s="52">
        <f>Plantilla!AI19</f>
        <v>17.8440508695733016</v>
      </c>
      <c r="R17" s="52">
        <f>Plantilla!AJ19</f>
        <v>15.0170440647529002</v>
      </c>
      <c r="S17" s="52">
        <f>Plantilla!AK19</f>
        <v>1.06362091520304003</v>
      </c>
      <c r="T17" s="52">
        <f>Plantilla!AL19</f>
        <v>0.724418300802661008</v>
      </c>
    </row>
    <row r="18" spans="1:20">
      <c r="A18" t="str">
        <f>Plantilla!D20</f>
        <v>P. Tuderek</v>
      </c>
      <c r="B18" s="76">
        <f>Plantilla!Y20++Plantilla!J20+Plantilla!P20</f>
        <v>7.78808614270200028</v>
      </c>
      <c r="C18" s="76">
        <f>Plantilla!AB20+Plantilla!J20+Plantilla!P20</f>
        <v>4.78808614270200028</v>
      </c>
      <c r="D18" s="113">
        <f>(C18*2+B18)/8</f>
        <v>2.17053230351325022</v>
      </c>
      <c r="E18" s="76">
        <f>D18*Plantilla!R20</f>
        <v>1.83443461133990997</v>
      </c>
      <c r="F18" s="76">
        <f>D18*Plantilla!S20</f>
        <v>2.00784713343711019</v>
      </c>
      <c r="M18" t="str">
        <f>Plantilla!D20</f>
        <v>P. Tuderek</v>
      </c>
      <c r="N18" s="52">
        <f>Plantilla!J20</f>
        <v>0.788086142701999925</v>
      </c>
      <c r="O18" s="76">
        <f>Plantilla!AC20</f>
        <v>6</v>
      </c>
      <c r="P18" s="76">
        <f>Plantilla!AD20</f>
        <v>17.25</v>
      </c>
      <c r="Q18" s="52">
        <f>Plantilla!AI20</f>
        <v>13.3527360639258994</v>
      </c>
      <c r="R18" s="52">
        <f>Plantilla!AJ20</f>
        <v>13.2377238956838994</v>
      </c>
      <c r="S18" s="52">
        <f>Plantilla!AK20</f>
        <v>0.960546891416159987</v>
      </c>
      <c r="T18" s="52">
        <f>Plantilla!AL20</f>
        <v>0.8826660299891401</v>
      </c>
    </row>
    <row r="19" spans="1:20">
      <c r="A19" t="str">
        <f>Plantilla!D21</f>
        <v>R. Forsyth</v>
      </c>
      <c r="B19" s="76">
        <f>Plantilla!Y21++Plantilla!J21+Plantilla!P21</f>
        <v>8.92026144003802024</v>
      </c>
      <c r="C19" s="76">
        <f>Plantilla!AB21+Plantilla!J21+Plantilla!P21</f>
        <v>5.92026144003802024</v>
      </c>
      <c r="D19" s="113">
        <f>(C19*2+B19)/8</f>
        <v>2.59509804001424982</v>
      </c>
      <c r="E19" s="76">
        <f>D19*Plantilla!R21</f>
        <v>2.59509804001424982</v>
      </c>
      <c r="F19" s="76">
        <f>D19*Plantilla!S21</f>
        <v>2.59509804001424982</v>
      </c>
      <c r="M19" t="str">
        <f>Plantilla!D21</f>
        <v>R. Forsyth</v>
      </c>
      <c r="N19" s="52">
        <f>Plantilla!J21</f>
        <v>0.920261440038020062</v>
      </c>
      <c r="O19" s="76">
        <f>Plantilla!AC21</f>
        <v>6</v>
      </c>
      <c r="P19" s="76">
        <f>Plantilla!AD21</f>
        <v>15</v>
      </c>
      <c r="Q19" s="52">
        <f>Plantilla!AI21</f>
        <v>14.8537777824840003</v>
      </c>
      <c r="R19" s="52">
        <f>Plantilla!AJ21</f>
        <v>14.2202614400379996</v>
      </c>
      <c r="S19" s="52">
        <f>Plantilla!AK21</f>
        <v>0.903620915203040909</v>
      </c>
      <c r="T19" s="52">
        <f>Plantilla!AL21</f>
        <v>0.864418300802661044</v>
      </c>
    </row>
    <row r="20" spans="1:20">
      <c r="A20" t="str">
        <f>Plantilla!D22</f>
        <v>J-P. Kechele</v>
      </c>
      <c r="B20" s="76">
        <f>Plantilla!Y22++Plantilla!J22+Plantilla!P22</f>
        <v>5.5563644564625303</v>
      </c>
      <c r="C20" s="76">
        <f>Plantilla!AB22+Plantilla!J22+Plantilla!P22</f>
        <v>10.5563644564625001</v>
      </c>
      <c r="D20" s="113">
        <f>(C20*2+B20)/8</f>
        <v>3.3336366711734402</v>
      </c>
      <c r="E20" s="76">
        <f>D20*Plantilla!R22</f>
        <v>3.08634783551122993</v>
      </c>
      <c r="F20" s="76">
        <f>D20*Plantilla!S22</f>
        <v>3.33125465109710017</v>
      </c>
      <c r="M20" t="str">
        <f>Plantilla!D22</f>
        <v>J-P. Kechele</v>
      </c>
      <c r="N20" s="52">
        <f>Plantilla!J22</f>
        <v>1.24599793499142009</v>
      </c>
      <c r="O20" s="76">
        <f>Plantilla!AC22</f>
        <v>8</v>
      </c>
      <c r="P20" s="76">
        <f>Plantilla!AD22</f>
        <v>19.25</v>
      </c>
      <c r="Q20" s="52">
        <f>Plantilla!AI22</f>
        <v>18.2451973000157999</v>
      </c>
      <c r="R20" s="52">
        <f>Plantilla!AJ22</f>
        <v>16.1383075802539011</v>
      </c>
      <c r="S20" s="52">
        <f>Plantilla!AK22</f>
        <v>1.10200915651700004</v>
      </c>
      <c r="T20" s="52">
        <f>Plantilla!AL22</f>
        <v>0.846445511952376073</v>
      </c>
    </row>
    <row r="21" spans="1:20">
      <c r="A21" t="str">
        <f>Plantilla!D23</f>
        <v>S. Zobbe</v>
      </c>
      <c r="B21" s="76">
        <f>Plantilla!Y23++Plantilla!J23+Plantilla!P23</f>
        <v>11.0554933102079005</v>
      </c>
      <c r="C21" s="76">
        <f>Plantilla!AB23+Plantilla!J23+Plantilla!P23</f>
        <v>13.0554933102079005</v>
      </c>
      <c r="D21" s="113">
        <f>(C21*2+B21)/8</f>
        <v>4.64580999132796002</v>
      </c>
      <c r="E21" s="76">
        <f>D21*Plantilla!R23</f>
        <v>3.9264260808310798</v>
      </c>
      <c r="F21" s="76">
        <f>D21*Plantilla!S23</f>
        <v>4.29759845475820956</v>
      </c>
      <c r="M21" t="str">
        <f>Plantilla!D23</f>
        <v>S. Zobbe</v>
      </c>
      <c r="N21" s="52">
        <f>Plantilla!J23</f>
        <v>1.60549331020791008</v>
      </c>
      <c r="O21" s="76">
        <f>Plantilla!AC23</f>
        <v>4.95000000000000018</v>
      </c>
      <c r="P21" s="76">
        <f>Plantilla!AD23</f>
        <v>18</v>
      </c>
      <c r="Q21" s="52">
        <f>Plantilla!AI23</f>
        <v>14.6888994509581998</v>
      </c>
      <c r="R21" s="52">
        <f>Plantilla!AJ23</f>
        <v>14.5286185620043007</v>
      </c>
      <c r="S21" s="52">
        <f>Plantilla!AK23</f>
        <v>1.03593946481663002</v>
      </c>
      <c r="T21" s="52">
        <f>Plantilla!AL23</f>
        <v>1.07538453171455006</v>
      </c>
    </row>
    <row r="22" spans="1:20">
      <c r="A22" t="str">
        <f>Plantilla!D24</f>
        <v>P .Trivadi</v>
      </c>
      <c r="B22" s="76">
        <f>Plantilla!Y24++Plantilla!J24+Plantilla!P24</f>
        <v>6.60109714682726967</v>
      </c>
      <c r="C22" s="76">
        <f>Plantilla!AB24+Plantilla!J24+Plantilla!P24</f>
        <v>12.6010971468272999</v>
      </c>
      <c r="D22" s="113">
        <f>(C22*2+B22)/8</f>
        <v>3.97541143006024011</v>
      </c>
      <c r="E22" s="76">
        <f>D22*Plantilla!R24</f>
        <v>2.60251768526338978</v>
      </c>
      <c r="F22" s="76">
        <f>D22*Plantilla!S24</f>
        <v>3.00136981090376986</v>
      </c>
      <c r="M22" t="str">
        <f>Plantilla!D24</f>
        <v>P .Trivadi</v>
      </c>
      <c r="N22" s="52">
        <f>Plantilla!J24</f>
        <v>1.15109714682726993</v>
      </c>
      <c r="O22" s="76">
        <f>Plantilla!AC24</f>
        <v>6.95000000000000018</v>
      </c>
      <c r="P22" s="76">
        <f>Plantilla!AD24</f>
        <v>15</v>
      </c>
      <c r="Q22" s="52">
        <f>Plantilla!AI24</f>
        <v>11.8138308425664995</v>
      </c>
      <c r="R22" s="52">
        <f>Plantilla!AJ24</f>
        <v>9.97436692443383954</v>
      </c>
      <c r="S22" s="52">
        <f>Plantilla!AK24</f>
        <v>1.00958777174618008</v>
      </c>
      <c r="T22" s="52">
        <f>Plantilla!AL24</f>
        <v>0.793576800277909999</v>
      </c>
    </row>
    <row r="23" spans="1:20">
      <c r="A23">
        <f>Plantilla!D25</f>
        <v>0</v>
      </c>
      <c r="B23" s="76">
        <f>Plantilla!Y25++Plantilla!J25+Plantilla!P25</f>
        <v>0</v>
      </c>
      <c r="C23" s="76">
        <f>Plantilla!AB25+Plantilla!J25+Plantilla!P25</f>
        <v>0</v>
      </c>
      <c r="D23" s="113">
        <f>(C23*2+B23)/8</f>
        <v>0</v>
      </c>
      <c r="E23" s="76">
        <f>D23*Plantilla!R25</f>
        <v>0</v>
      </c>
      <c r="F23" s="76">
        <f>D23*Plantilla!S25</f>
        <v>0</v>
      </c>
      <c r="M23">
        <f>Plantilla!D25</f>
        <v>0</v>
      </c>
      <c r="N23" s="52">
        <f>Plantilla!J25</f>
        <v>0</v>
      </c>
      <c r="O23" s="76">
        <f>Plantilla!AC25</f>
        <v>0</v>
      </c>
      <c r="P23" s="76">
        <f>Plantilla!AD25</f>
        <v>0</v>
      </c>
      <c r="Q23" s="52">
        <f>Plantilla!AI25</f>
        <v>0</v>
      </c>
      <c r="R23" s="52">
        <f>Plantilla!AJ25</f>
        <v>0</v>
      </c>
      <c r="S23" s="52">
        <f>Plantilla!AK25</f>
        <v>0</v>
      </c>
      <c r="T23" s="52">
        <f>Plantilla!AL25</f>
        <v>0</v>
      </c>
    </row>
    <row r="24" spans="1:20">
      <c r="A24">
        <f>Plantilla!D26</f>
        <v>0</v>
      </c>
      <c r="B24" s="76">
        <f>Plantilla!Y26++Plantilla!J26+Plantilla!P26</f>
        <v>0</v>
      </c>
      <c r="C24" s="76">
        <f>Plantilla!AB26+Plantilla!J26+Plantilla!P26</f>
        <v>0</v>
      </c>
      <c r="D24" s="113">
        <f>(C24*2+B24)/8</f>
        <v>0</v>
      </c>
      <c r="E24" s="76">
        <f>D24*Plantilla!R26</f>
        <v>0</v>
      </c>
      <c r="F24" s="76">
        <f>D24*Plantilla!S26</f>
        <v>0</v>
      </c>
      <c r="M24">
        <f>Plantilla!D26</f>
        <v>0</v>
      </c>
      <c r="N24" s="52">
        <f>Plantilla!J26</f>
        <v>0</v>
      </c>
      <c r="O24" s="76">
        <f>Plantilla!AC26</f>
        <v>0</v>
      </c>
      <c r="P24" s="76">
        <f>Plantilla!AD26</f>
        <v>0</v>
      </c>
      <c r="Q24" s="52">
        <f>Plantilla!AI26</f>
        <v>0</v>
      </c>
      <c r="R24" s="52">
        <f>Plantilla!AJ26</f>
        <v>0</v>
      </c>
      <c r="S24" s="52">
        <f>Plantilla!AK26</f>
        <v>0</v>
      </c>
      <c r="T24" s="52">
        <f>Plantilla!AL26</f>
        <v>0</v>
      </c>
    </row>
    <row r="25" spans="1:20">
      <c r="A25">
        <f>Plantilla!D27</f>
        <v>0</v>
      </c>
      <c r="B25" s="76">
        <f>Plantilla!Y27++Plantilla!J27+Plantilla!P27</f>
        <v>0</v>
      </c>
      <c r="C25" s="76">
        <f>Plantilla!AB27+Plantilla!J27+Plantilla!P27</f>
        <v>0</v>
      </c>
      <c r="D25" s="113">
        <f>(C25*2+B25)/8</f>
        <v>0</v>
      </c>
      <c r="E25" s="76">
        <f>D25*Plantilla!R27</f>
        <v>0</v>
      </c>
      <c r="F25" s="76">
        <f>D25*Plantilla!S27</f>
        <v>0</v>
      </c>
      <c r="M25">
        <f>Plantilla!D27</f>
        <v>0</v>
      </c>
      <c r="N25" s="52">
        <f>Plantilla!J27</f>
        <v>0</v>
      </c>
      <c r="O25" s="76">
        <f>Plantilla!AC27</f>
        <v>0</v>
      </c>
      <c r="P25" s="76">
        <f>Plantilla!AD27</f>
        <v>0</v>
      </c>
      <c r="Q25" s="52">
        <f>Plantilla!AI27</f>
        <v>0</v>
      </c>
      <c r="R25" s="52">
        <f>Plantilla!AJ27</f>
        <v>0</v>
      </c>
      <c r="S25" s="52">
        <f>Plantilla!AK27</f>
        <v>0</v>
      </c>
      <c r="T25" s="52">
        <f>Plantilla!AL27</f>
        <v>0</v>
      </c>
    </row>
    <row r="26" spans="2:6">
      <c r="B26" s="76"/>
      <c r="C26" s="76"/>
      <c r="D26" s="113"/>
      <c r="E26" s="76"/>
      <c r="F26" s="76"/>
    </row>
    <row r="27" spans="1:10">
      <c r="A27" s="500" t="s">
        <v>500</v>
      </c>
      <c r="B27" s="500"/>
      <c r="C27" s="500"/>
      <c r="D27" s="500"/>
      <c r="E27" s="500"/>
      <c r="F27" s="500"/>
      <c r="G27" s="500"/>
      <c r="H27" s="500"/>
      <c r="I27" s="500"/>
      <c r="J27" s="500"/>
    </row>
    <row r="28" spans="1:10">
      <c r="A28" s="120" t="s">
        <v>501</v>
      </c>
      <c r="B28" s="120" t="str">
        <f>D1</f>
        <v>N_CA</v>
      </c>
      <c r="C28" s="100" t="s">
        <v>497</v>
      </c>
      <c r="D28" s="100" t="s">
        <v>498</v>
      </c>
      <c r="G28" s="120" t="s">
        <v>501</v>
      </c>
      <c r="H28" s="120" t="str">
        <f>B28</f>
        <v>N_CA</v>
      </c>
      <c r="I28" s="100" t="s">
        <v>497</v>
      </c>
      <c r="J28" s="100" t="s">
        <v>498</v>
      </c>
    </row>
    <row r="29" spans="1:10">
      <c r="A29" s="52" t="str">
        <f>A7</f>
        <v>S. Buschelman</v>
      </c>
      <c r="B29" s="52">
        <f>D7</f>
        <v>3.90117192402383992</v>
      </c>
      <c r="C29" s="52">
        <f>E7</f>
        <v>3.90117192402383992</v>
      </c>
      <c r="D29" s="52">
        <f>F7</f>
        <v>3.90117192402383992</v>
      </c>
      <c r="G29" s="52" t="str">
        <f>A29</f>
        <v>S. Buschelman</v>
      </c>
      <c r="H29" s="52">
        <f>B29</f>
        <v>3.90117192402383992</v>
      </c>
      <c r="I29" s="52">
        <f>C29</f>
        <v>3.90117192402383992</v>
      </c>
      <c r="J29" s="52">
        <f>D29</f>
        <v>3.90117192402383992</v>
      </c>
    </row>
    <row r="30" spans="1:10">
      <c r="A30" s="52" t="str">
        <f>A4</f>
        <v>E. Toney</v>
      </c>
      <c r="B30" s="52">
        <f>D4</f>
        <v>3.57034802871024004</v>
      </c>
      <c r="C30" s="52">
        <f>E4</f>
        <v>1.90843129642535008</v>
      </c>
      <c r="D30" s="52">
        <f>F4</f>
        <v>2.33344262189960983</v>
      </c>
      <c r="G30" s="52" t="str">
        <f>A30</f>
        <v>E. Toney</v>
      </c>
      <c r="H30" s="52">
        <f>B30</f>
        <v>3.57034802871024004</v>
      </c>
      <c r="I30" s="52">
        <f>C30</f>
        <v>1.90843129642535008</v>
      </c>
      <c r="J30" s="52">
        <f>D30</f>
        <v>2.33344262189960983</v>
      </c>
    </row>
    <row r="31" spans="1:10">
      <c r="A31" t="str">
        <f>A8</f>
        <v>L. Tutorić</v>
      </c>
      <c r="B31" s="52">
        <f>D8</f>
        <v>2.40764190190478011</v>
      </c>
      <c r="C31" s="52">
        <f>E8</f>
        <v>2.03482879725748012</v>
      </c>
      <c r="D31" s="52">
        <f>F8</f>
        <v>2.22718495516418979</v>
      </c>
      <c r="G31" s="52" t="str">
        <f>A31</f>
        <v>L. Tutorić</v>
      </c>
      <c r="H31" s="52">
        <f>B31</f>
        <v>2.40764190190478011</v>
      </c>
      <c r="I31" s="52">
        <f>C31</f>
        <v>2.03482879725748012</v>
      </c>
      <c r="J31" s="52">
        <f>D31</f>
        <v>2.22718495516418979</v>
      </c>
    </row>
    <row r="32" spans="1:10">
      <c r="A32" s="52" t="str">
        <f>A9</f>
        <v>S. Swärdborn</v>
      </c>
      <c r="B32" s="52">
        <f>D9</f>
        <v>2.85364910430168006</v>
      </c>
      <c r="C32" s="52">
        <f>E9</f>
        <v>2.41177368200278019</v>
      </c>
      <c r="D32" s="52">
        <f>F9</f>
        <v>2.63976314226392983</v>
      </c>
      <c r="G32" s="52" t="str">
        <f>A32</f>
        <v>S. Swärdborn</v>
      </c>
      <c r="H32" s="52">
        <f>B32</f>
        <v>2.85364910430168006</v>
      </c>
      <c r="I32" s="52">
        <f>C32</f>
        <v>2.41177368200278019</v>
      </c>
      <c r="J32" s="52">
        <f>D32</f>
        <v>2.63976314226392983</v>
      </c>
    </row>
    <row r="33" spans="1:10">
      <c r="A33" t="str">
        <f>A5</f>
        <v>F. Lasprilla</v>
      </c>
      <c r="B33" s="52">
        <f>D5</f>
        <v>4.12299250943933959</v>
      </c>
      <c r="C33" s="52">
        <f>E5</f>
        <v>1.55834469105122997</v>
      </c>
      <c r="D33" s="52">
        <f>F5</f>
        <v>2.19831571219736999</v>
      </c>
      <c r="H33" s="52"/>
      <c r="I33" s="76"/>
      <c r="J33" s="76"/>
    </row>
    <row r="34" spans="2:10">
      <c r="B34" s="130">
        <f>SUM(B29:B33)</f>
        <v>16.8558034683799001</v>
      </c>
      <c r="C34" s="243">
        <f>SUM(C29:C33)</f>
        <v>11.8145503907607008</v>
      </c>
      <c r="D34" s="243">
        <f>SUM(D29:D33)</f>
        <v>13.2998783555489002</v>
      </c>
      <c r="E34" s="130"/>
      <c r="G34" s="130"/>
      <c r="H34" s="130">
        <f>SUM(H29:H33)</f>
        <v>12.7328109589404992</v>
      </c>
      <c r="I34" s="243">
        <f>SUM(I29:I33)</f>
        <v>10.2562056997095006</v>
      </c>
      <c r="J34" s="243">
        <f>SUM(J29:J33)</f>
        <v>11.1015626433516008</v>
      </c>
    </row>
  </sheetData>
  <mergeCells count="2">
    <mergeCell ref="W1:AA1"/>
    <mergeCell ref="A27:J27"/>
  </mergeCells>
  <conditionalFormatting sqref="Q2:Q25">
    <cfRule type="cellIs" dxfId="57" priority="1" operator="lessThan">
      <formula>11</formula>
    </cfRule>
  </conditionalFormatting>
  <conditionalFormatting sqref="Q2:Q25">
    <cfRule type="cellIs" dxfId="58" priority="2" operator="between">
      <formula>11</formula>
      <formula>15</formula>
    </cfRule>
  </conditionalFormatting>
  <conditionalFormatting sqref="Q2:Q25">
    <cfRule type="cellIs" dxfId="59" priority="3" operator="greaterThan">
      <formula>15</formula>
    </cfRule>
  </conditionalFormatting>
  <conditionalFormatting sqref="D2:D26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rintOptions>
    <extLst>
      <ext uri="smNativeData">
        <pm:pageFlags xmlns:pm="smNativeData" id="1595601780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601780" l="56" r="56" t="56" b="56" borderId="0" fillId="0" vertical="0"/>
        <pm:footer xmlns:pm="smNativeData" id="1595601780" l="56" r="56" t="56" b="56" borderId="0" fillId="0" vertical="2"/>
      </ext>
    </extLst>
  </headerFooter>
  <extLst>
    <ext uri="smNativeData">
      <pm:sheetPrefs xmlns:pm="smNativeData" day="1595601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E4DFEC"/>
  </sheetPr>
  <dimension ref="A1:Z27"/>
  <sheetViews>
    <sheetView view="normal" workbookViewId="0">
      <selection activeCell="A5" sqref="A5"/>
    </sheetView>
  </sheetViews>
  <sheetFormatPr baseColWidth="10" defaultColWidth="11.428571" defaultRowHeight="15.40"/>
  <cols>
    <col min="1" max="1" width="24.000000" customWidth="1"/>
    <col min="2" max="8" width="6.571429" customWidth="1"/>
    <col min="9" max="10" width="7.714286" customWidth="1"/>
    <col min="12" max="12" width="32.714286" customWidth="1"/>
    <col min="14" max="14" width="7.714286" customWidth="1"/>
    <col min="15" max="15" width="23.285714" customWidth="1"/>
    <col min="16" max="17" width="6.571429" customWidth="1"/>
    <col min="18" max="18" width="7.428571" customWidth="1"/>
    <col min="19" max="19" width="4.571429" customWidth="1"/>
    <col min="21" max="21" width="7.714286" customWidth="1"/>
    <col min="22" max="22" width="21.714286" customWidth="1" style="57"/>
    <col min="23" max="24" width="5.571429" customWidth="1"/>
    <col min="25" max="26" width="4.571429" customWidth="1"/>
  </cols>
  <sheetData>
    <row r="1" spans="1:26">
      <c r="A1" s="78" t="n">
        <v>41900</v>
      </c>
      <c r="E1" s="106" t="s">
        <v>497</v>
      </c>
      <c r="F1" s="107" t="s">
        <v>498</v>
      </c>
      <c r="G1" s="13"/>
      <c r="H1" s="13"/>
      <c r="I1" s="108" t="s">
        <v>497</v>
      </c>
      <c r="J1" s="109" t="s">
        <v>498</v>
      </c>
      <c r="K1"/>
      <c r="P1" s="106" t="s">
        <v>497</v>
      </c>
      <c r="Q1" s="107" t="s">
        <v>498</v>
      </c>
      <c r="R1" s="106"/>
      <c r="S1" s="107"/>
      <c r="W1" s="106" t="s">
        <v>497</v>
      </c>
      <c r="X1" s="107" t="s">
        <v>498</v>
      </c>
      <c r="Y1" s="106"/>
      <c r="Z1" s="107"/>
    </row>
    <row r="2" spans="1:26">
      <c r="A2" s="105" t="s">
        <v>87</v>
      </c>
      <c r="B2" s="105" t="s">
        <v>502</v>
      </c>
      <c r="C2" s="105" t="s">
        <v>503</v>
      </c>
      <c r="D2" s="105" t="s">
        <v>110</v>
      </c>
      <c r="E2" s="106" t="s">
        <v>92</v>
      </c>
      <c r="F2" s="107" t="s">
        <v>92</v>
      </c>
      <c r="G2" s="13" t="s">
        <v>91</v>
      </c>
      <c r="H2" s="13" t="s">
        <v>91</v>
      </c>
      <c r="I2" s="108" t="s">
        <v>270</v>
      </c>
      <c r="J2" s="109" t="s">
        <v>270</v>
      </c>
      <c r="K2"/>
      <c r="P2" s="106" t="s">
        <v>92</v>
      </c>
      <c r="Q2" s="107" t="s">
        <v>92</v>
      </c>
      <c r="R2" s="106" t="s">
        <v>91</v>
      </c>
      <c r="S2" s="107" t="s">
        <v>91</v>
      </c>
      <c r="W2" s="106" t="s">
        <v>92</v>
      </c>
      <c r="X2" s="107" t="s">
        <v>92</v>
      </c>
      <c r="Y2" s="106" t="s">
        <v>91</v>
      </c>
      <c r="Z2" s="107" t="s">
        <v>91</v>
      </c>
    </row>
    <row r="3" spans="1:26">
      <c r="A3" s="8" t="str">
        <f>Plantilla!D4</f>
        <v>D. Gehmacher</v>
      </c>
      <c r="B3">
        <f>Plantilla!E4</f>
        <v>38</v>
      </c>
      <c r="C3">
        <f>Plantilla!H4</f>
        <v>6</v>
      </c>
      <c r="D3" s="76">
        <f>Plantilla!I4</f>
        <v>25.5</v>
      </c>
      <c r="E3" s="110">
        <f>D3</f>
        <v>25.5</v>
      </c>
      <c r="F3" s="110">
        <f>E3+0.1</f>
        <v>25.6000000000000014</v>
      </c>
      <c r="G3" s="110">
        <f>C3</f>
        <v>6</v>
      </c>
      <c r="H3" s="110">
        <f>G3+0.99</f>
        <v>6.99000000000000021</v>
      </c>
      <c r="I3" s="114">
        <f>G3*G3*E3</f>
        <v>918</v>
      </c>
      <c r="J3" s="114">
        <f>H3*H3*F3</f>
        <v>1250.81855999999993</v>
      </c>
      <c r="K3" s="111"/>
      <c r="N3" s="8" t="s">
        <v>270</v>
      </c>
      <c r="O3" t="str">
        <f>A3</f>
        <v>D. Gehmacher</v>
      </c>
      <c r="P3" s="112">
        <f>E3</f>
        <v>25.5</v>
      </c>
      <c r="Q3" s="112">
        <f>F3</f>
        <v>25.6000000000000014</v>
      </c>
      <c r="R3" s="112">
        <f>G3</f>
        <v>6</v>
      </c>
      <c r="S3" s="112">
        <f>H3</f>
        <v>6.99000000000000021</v>
      </c>
      <c r="U3" s="8" t="s">
        <v>270</v>
      </c>
      <c r="V3" s="57" t="str">
        <f>O3</f>
        <v>D. Gehmacher</v>
      </c>
      <c r="W3" s="112">
        <f>P3</f>
        <v>25.5</v>
      </c>
      <c r="X3" s="112">
        <f>Q3</f>
        <v>25.6000000000000014</v>
      </c>
      <c r="Y3" s="112">
        <f>R3</f>
        <v>6</v>
      </c>
      <c r="Z3" s="112">
        <f>S3</f>
        <v>6.99000000000000021</v>
      </c>
    </row>
    <row r="4" spans="1:26">
      <c r="A4" s="8" t="str">
        <f>Plantilla!D5</f>
        <v>林 (Lin) 光维 (Guangwei)</v>
      </c>
      <c r="B4">
        <f>Plantilla!E5</f>
        <v>22</v>
      </c>
      <c r="C4">
        <f>Plantilla!H5</f>
        <v>0</v>
      </c>
      <c r="D4" s="76">
        <f>Plantilla!I5</f>
        <v>3.5</v>
      </c>
      <c r="E4" s="110">
        <f>D4</f>
        <v>3.5</v>
      </c>
      <c r="F4" s="110">
        <f>E4+0.1</f>
        <v>3.60000000000000009</v>
      </c>
      <c r="G4" s="110">
        <f>C4</f>
        <v>0</v>
      </c>
      <c r="H4" s="110">
        <f>G4+0.99</f>
        <v>0.990000000000000036</v>
      </c>
      <c r="I4" s="114">
        <f>G4*G4*E4</f>
        <v>0</v>
      </c>
      <c r="J4" s="114">
        <f>H4*H4*F4</f>
        <v>3.52836000000000016</v>
      </c>
      <c r="K4" s="111"/>
      <c r="O4" t="str">
        <f>A7</f>
        <v>E. Romweber</v>
      </c>
      <c r="P4" s="112">
        <f>E7</f>
        <v>19.1000000000000014</v>
      </c>
      <c r="Q4" s="112">
        <f>F7</f>
        <v>19.1999999999999993</v>
      </c>
      <c r="R4" s="112">
        <f>G7</f>
        <v>0</v>
      </c>
      <c r="S4" s="112">
        <f>H7</f>
        <v>0.990000000000000036</v>
      </c>
      <c r="V4" s="57" t="str">
        <f>O4</f>
        <v>E. Romweber</v>
      </c>
      <c r="W4" s="112">
        <f>P4</f>
        <v>19.1000000000000014</v>
      </c>
      <c r="X4" s="112">
        <f>Q4</f>
        <v>19.1999999999999993</v>
      </c>
      <c r="Y4" s="112">
        <f>R4</f>
        <v>0</v>
      </c>
      <c r="Z4" s="112">
        <f>S4</f>
        <v>0.990000000000000036</v>
      </c>
    </row>
    <row r="5" spans="1:26">
      <c r="A5" s="8" t="str">
        <f>Plantilla!D6</f>
        <v>E. Toney</v>
      </c>
      <c r="B5">
        <f>Plantilla!E6</f>
        <v>39</v>
      </c>
      <c r="C5">
        <f>Plantilla!H6</f>
        <v>4</v>
      </c>
      <c r="D5" s="76">
        <f>Plantilla!I6</f>
        <v>19.1000000000000014</v>
      </c>
      <c r="E5" s="110">
        <f>D5</f>
        <v>19.1000000000000014</v>
      </c>
      <c r="F5" s="110">
        <f>E5+0.1</f>
        <v>19.1999999999999993</v>
      </c>
      <c r="G5" s="110">
        <f>C5</f>
        <v>4</v>
      </c>
      <c r="H5" s="110">
        <f>G5+0.99</f>
        <v>4.99000000000000021</v>
      </c>
      <c r="I5" s="114">
        <f>G5*G5*E5</f>
        <v>305.600000000000023</v>
      </c>
      <c r="J5" s="114">
        <f>H5*H5*F5</f>
        <v>478.081920000000025</v>
      </c>
      <c r="K5" s="111"/>
      <c r="L5"/>
      <c r="O5" t="str">
        <f>A14</f>
        <v>E. Deus</v>
      </c>
      <c r="P5" s="112">
        <f>E14</f>
        <v>3.9</v>
      </c>
      <c r="Q5" s="112">
        <f>F14</f>
        <v>4</v>
      </c>
      <c r="R5" s="112">
        <f>G14</f>
        <v>3</v>
      </c>
      <c r="S5" s="112">
        <f>H14</f>
        <v>3.99000000000000021</v>
      </c>
      <c r="V5" s="57" t="str">
        <f>O5</f>
        <v>E. Deus</v>
      </c>
      <c r="W5" s="112">
        <f>P5</f>
        <v>3.9</v>
      </c>
      <c r="X5" s="112">
        <f>Q5</f>
        <v>4</v>
      </c>
      <c r="Y5" s="112">
        <f>R5</f>
        <v>3</v>
      </c>
      <c r="Z5" s="112">
        <f>S5</f>
        <v>3.99000000000000021</v>
      </c>
    </row>
    <row r="6" spans="1:26">
      <c r="A6" s="8" t="str">
        <f>Plantilla!D7</f>
        <v>F. Lasprilla</v>
      </c>
      <c r="B6">
        <f>Plantilla!E7</f>
        <v>35</v>
      </c>
      <c r="C6">
        <f>Plantilla!H7</f>
        <v>4</v>
      </c>
      <c r="D6" s="76">
        <f>Plantilla!I7</f>
        <v>7.09999999999999964</v>
      </c>
      <c r="E6" s="110">
        <f>D6</f>
        <v>7.09999999999999964</v>
      </c>
      <c r="F6" s="110">
        <f>E6+0.1</f>
        <v>7.20000000000000018</v>
      </c>
      <c r="G6" s="110">
        <f>C6</f>
        <v>4</v>
      </c>
      <c r="H6" s="110">
        <f>G6+0.99</f>
        <v>4.99000000000000021</v>
      </c>
      <c r="I6" s="114">
        <f>G6*G6*E6</f>
        <v>113.599999999999994</v>
      </c>
      <c r="J6" s="114">
        <f>H6*H6*F6</f>
        <v>179.280720000000002</v>
      </c>
      <c r="K6" s="111"/>
      <c r="O6" t="str">
        <f>A5</f>
        <v>E. Toney</v>
      </c>
      <c r="P6" s="112">
        <f>E5</f>
        <v>19.1000000000000014</v>
      </c>
      <c r="Q6" s="112">
        <f>F5</f>
        <v>19.1999999999999993</v>
      </c>
      <c r="R6" s="112">
        <f>G5</f>
        <v>4</v>
      </c>
      <c r="S6" s="112">
        <f>H5</f>
        <v>4.99000000000000021</v>
      </c>
      <c r="V6" s="57" t="str">
        <f>O6</f>
        <v>E. Toney</v>
      </c>
      <c r="W6" s="112">
        <f>P6</f>
        <v>19.1000000000000014</v>
      </c>
      <c r="X6" s="112">
        <f>Q6</f>
        <v>19.1999999999999993</v>
      </c>
      <c r="Y6" s="112">
        <f>R6</f>
        <v>4</v>
      </c>
      <c r="Z6" s="112">
        <f>S6</f>
        <v>4.99000000000000021</v>
      </c>
    </row>
    <row r="7" spans="1:26">
      <c r="A7" s="8" t="str">
        <f>Plantilla!D8</f>
        <v>E. Romweber</v>
      </c>
      <c r="B7">
        <f>Plantilla!E8</f>
        <v>39</v>
      </c>
      <c r="C7">
        <f>Plantilla!H8</f>
        <v>0</v>
      </c>
      <c r="D7" s="76">
        <f>Plantilla!I8</f>
        <v>19.1000000000000014</v>
      </c>
      <c r="E7" s="110">
        <f>D7</f>
        <v>19.1000000000000014</v>
      </c>
      <c r="F7" s="110">
        <f>E7+0.1</f>
        <v>19.1999999999999993</v>
      </c>
      <c r="G7" s="110">
        <f>C7</f>
        <v>0</v>
      </c>
      <c r="H7" s="110">
        <f>G7+0.99</f>
        <v>0.990000000000000036</v>
      </c>
      <c r="I7" s="114">
        <f>G7*G7*E7</f>
        <v>0</v>
      </c>
      <c r="J7" s="114">
        <f>H7*H7*F7</f>
        <v>18.8179200000000009</v>
      </c>
      <c r="K7" s="111"/>
      <c r="O7" t="str">
        <f>A6</f>
        <v>F. Lasprilla</v>
      </c>
      <c r="P7" s="112">
        <f>E6</f>
        <v>7.09999999999999964</v>
      </c>
      <c r="Q7" s="112">
        <f>F6</f>
        <v>7.20000000000000018</v>
      </c>
      <c r="R7" s="112">
        <f>G6</f>
        <v>4</v>
      </c>
      <c r="S7" s="112">
        <f>H6</f>
        <v>4.99000000000000021</v>
      </c>
      <c r="V7" s="57" t="str">
        <f>O7</f>
        <v>F. Lasprilla</v>
      </c>
      <c r="W7" s="112">
        <f>P7</f>
        <v>7.09999999999999964</v>
      </c>
      <c r="X7" s="112">
        <f>Q7</f>
        <v>7.20000000000000018</v>
      </c>
      <c r="Y7" s="112">
        <f>R7</f>
        <v>4</v>
      </c>
      <c r="Z7" s="112">
        <f>S7</f>
        <v>4.99000000000000021</v>
      </c>
    </row>
    <row r="8" spans="1:26">
      <c r="A8" s="8" t="str">
        <f>Plantilla!D9</f>
        <v>S. Buschelman</v>
      </c>
      <c r="B8">
        <f>Plantilla!E9</f>
        <v>37</v>
      </c>
      <c r="C8">
        <f>Plantilla!H9</f>
        <v>3</v>
      </c>
      <c r="D8" s="76">
        <f>Plantilla!I9</f>
        <v>15.4000000000000004</v>
      </c>
      <c r="E8" s="110">
        <f>D8</f>
        <v>15.4000000000000004</v>
      </c>
      <c r="F8" s="110">
        <f>E8+0.1</f>
        <v>15.5</v>
      </c>
      <c r="G8" s="110">
        <f>C8</f>
        <v>3</v>
      </c>
      <c r="H8" s="110">
        <f>G8+0.99</f>
        <v>3.99000000000000021</v>
      </c>
      <c r="I8" s="114">
        <f>G8*G8*E8</f>
        <v>138.599999999999994</v>
      </c>
      <c r="J8" s="114">
        <f>H8*H8*F8</f>
        <v>246.76155</v>
      </c>
      <c r="K8" s="111"/>
      <c r="O8" t="str">
        <f>A12</f>
        <v>V. Gardner</v>
      </c>
      <c r="P8" s="112">
        <f>E12</f>
        <v>3.70000000000000018</v>
      </c>
      <c r="Q8" s="112">
        <f>F12</f>
        <v>3.79999999999999982</v>
      </c>
      <c r="R8" s="112">
        <f>G12</f>
        <v>3</v>
      </c>
      <c r="S8" s="112">
        <f>H12</f>
        <v>3.99000000000000021</v>
      </c>
      <c r="V8" s="57" t="str">
        <f>O8</f>
        <v>V. Gardner</v>
      </c>
      <c r="W8" s="112">
        <f>P8</f>
        <v>3.70000000000000018</v>
      </c>
      <c r="X8" s="112">
        <f>Q8</f>
        <v>3.79999999999999982</v>
      </c>
      <c r="Y8" s="112">
        <f>R8</f>
        <v>3</v>
      </c>
      <c r="Z8" s="112">
        <f>S8</f>
        <v>3.99000000000000021</v>
      </c>
    </row>
    <row r="9" spans="1:26">
      <c r="A9" s="8" t="str">
        <f>Plantilla!D10</f>
        <v>L. Tutorić</v>
      </c>
      <c r="B9">
        <f>Plantilla!E10</f>
        <v>29</v>
      </c>
      <c r="C9">
        <f>Plantilla!H10</f>
        <v>3</v>
      </c>
      <c r="D9" s="76">
        <f>Plantilla!I10</f>
        <v>5.79999999999999982</v>
      </c>
      <c r="E9" s="110">
        <f>D9</f>
        <v>5.79999999999999982</v>
      </c>
      <c r="F9" s="110">
        <f>E9+0.1</f>
        <v>5.90000000000000036</v>
      </c>
      <c r="G9" s="110">
        <f>C9</f>
        <v>3</v>
      </c>
      <c r="H9" s="110">
        <f>G9+0.99</f>
        <v>3.99000000000000021</v>
      </c>
      <c r="I9" s="114">
        <f>G9*G9*E9</f>
        <v>52.2000000000000028</v>
      </c>
      <c r="J9" s="114">
        <f>H9*H9*F9</f>
        <v>93.9285899999999998</v>
      </c>
      <c r="K9" s="111"/>
      <c r="O9" t="str">
        <f>A15</f>
        <v>I. Vanags</v>
      </c>
      <c r="P9" s="112">
        <f>E15</f>
        <v>2.60000000000000009</v>
      </c>
      <c r="Q9" s="112">
        <f>F15</f>
        <v>2.70000000000000018</v>
      </c>
      <c r="R9" s="112">
        <f>G15</f>
        <v>4</v>
      </c>
      <c r="S9" s="112">
        <f>H15</f>
        <v>4.99000000000000021</v>
      </c>
      <c r="V9" s="57" t="str">
        <f>O9</f>
        <v>I. Vanags</v>
      </c>
      <c r="W9" s="112">
        <f>P9</f>
        <v>2.60000000000000009</v>
      </c>
      <c r="X9" s="112">
        <f>Q9</f>
        <v>2.70000000000000018</v>
      </c>
      <c r="Y9" s="112">
        <f>R9</f>
        <v>4</v>
      </c>
      <c r="Z9" s="112">
        <f>S9</f>
        <v>4.99000000000000021</v>
      </c>
    </row>
    <row r="10" spans="1:26">
      <c r="A10" s="8" t="str">
        <f>Plantilla!D11</f>
        <v>S. Swärdborn</v>
      </c>
      <c r="B10">
        <f>Plantilla!E11</f>
        <v>22</v>
      </c>
      <c r="C10">
        <f>Plantilla!H11</f>
        <v>2</v>
      </c>
      <c r="D10" s="76">
        <f>Plantilla!I11</f>
        <v>4.70000000000000018</v>
      </c>
      <c r="E10" s="110">
        <f>D10</f>
        <v>4.70000000000000018</v>
      </c>
      <c r="F10" s="110">
        <f>E10+0.1</f>
        <v>4.79999999999999982</v>
      </c>
      <c r="G10" s="110">
        <f>C10</f>
        <v>2</v>
      </c>
      <c r="H10" s="110">
        <f>G10+0.99</f>
        <v>2.99000000000000021</v>
      </c>
      <c r="I10" s="114">
        <f>G10*G10*E10</f>
        <v>18.8000000000000007</v>
      </c>
      <c r="J10" s="114">
        <f>H10*H10*F10</f>
        <v>42.9124800000000022</v>
      </c>
      <c r="K10" s="111"/>
      <c r="O10" t="str">
        <f>A13</f>
        <v>S. Embe</v>
      </c>
      <c r="P10" s="112">
        <f>E13</f>
        <v>2.5</v>
      </c>
      <c r="Q10" s="112">
        <f>F13</f>
        <v>2.60000000000000009</v>
      </c>
      <c r="R10" s="112">
        <f>G13</f>
        <v>3</v>
      </c>
      <c r="S10" s="112">
        <f>H13</f>
        <v>3.99000000000000021</v>
      </c>
      <c r="V10" s="57" t="str">
        <f>O10</f>
        <v>S. Embe</v>
      </c>
      <c r="W10" s="112">
        <f>P10</f>
        <v>2.5</v>
      </c>
      <c r="X10" s="112">
        <f>Q10</f>
        <v>2.60000000000000009</v>
      </c>
      <c r="Y10" s="112">
        <f>R10</f>
        <v>3</v>
      </c>
      <c r="Z10" s="112">
        <f>S10</f>
        <v>3.99000000000000021</v>
      </c>
    </row>
    <row r="11" spans="1:26">
      <c r="A11" s="8" t="str">
        <f>Plantilla!D12</f>
        <v>A. Grimaud</v>
      </c>
      <c r="B11">
        <f>Plantilla!E12</f>
        <v>22</v>
      </c>
      <c r="C11">
        <f>Plantilla!H12</f>
        <v>2</v>
      </c>
      <c r="D11" s="76">
        <f>Plantilla!I12</f>
        <v>4.70000000000000018</v>
      </c>
      <c r="E11" s="110">
        <f>D11</f>
        <v>4.70000000000000018</v>
      </c>
      <c r="F11" s="110">
        <f>E11+0.1</f>
        <v>4.79999999999999982</v>
      </c>
      <c r="G11" s="110">
        <f>C11</f>
        <v>2</v>
      </c>
      <c r="H11" s="110">
        <f>G11+0.99</f>
        <v>2.99000000000000021</v>
      </c>
      <c r="I11" s="114">
        <f>G11*G11*E11</f>
        <v>18.8000000000000007</v>
      </c>
      <c r="J11" s="114">
        <f>H11*H11*F11</f>
        <v>42.9124800000000022</v>
      </c>
      <c r="K11" s="111"/>
      <c r="O11" t="str">
        <f>A10</f>
        <v>S. Swärdborn</v>
      </c>
      <c r="P11" s="112">
        <f>E10</f>
        <v>4.70000000000000018</v>
      </c>
      <c r="Q11" s="112">
        <f>F10</f>
        <v>4.79999999999999982</v>
      </c>
      <c r="R11" s="112">
        <f>G10</f>
        <v>2</v>
      </c>
      <c r="S11" s="112">
        <f>H10</f>
        <v>2.99000000000000021</v>
      </c>
      <c r="V11" s="57" t="str">
        <f>O11</f>
        <v>S. Swärdborn</v>
      </c>
      <c r="W11" s="112">
        <f>P11</f>
        <v>4.70000000000000018</v>
      </c>
      <c r="X11" s="112">
        <f>Q11</f>
        <v>4.79999999999999982</v>
      </c>
      <c r="Y11" s="112">
        <f>R11</f>
        <v>2</v>
      </c>
      <c r="Z11" s="112">
        <f>S11</f>
        <v>2.99000000000000021</v>
      </c>
    </row>
    <row r="12" spans="1:26">
      <c r="A12" s="8" t="str">
        <f>Plantilla!D13</f>
        <v>V. Gardner</v>
      </c>
      <c r="B12">
        <f>Plantilla!E13</f>
        <v>22</v>
      </c>
      <c r="C12">
        <f>Plantilla!H13</f>
        <v>3</v>
      </c>
      <c r="D12" s="76">
        <f>Plantilla!I13</f>
        <v>3.70000000000000018</v>
      </c>
      <c r="E12" s="110">
        <f>D12</f>
        <v>3.70000000000000018</v>
      </c>
      <c r="F12" s="110">
        <f>E12+0.1</f>
        <v>3.79999999999999982</v>
      </c>
      <c r="G12" s="110">
        <f>C12</f>
        <v>3</v>
      </c>
      <c r="H12" s="110">
        <f>G12+0.99</f>
        <v>3.99000000000000021</v>
      </c>
      <c r="I12" s="114">
        <f>G12*G12*E12</f>
        <v>33.2999999999999972</v>
      </c>
      <c r="J12" s="114">
        <f>H12*H12*F12</f>
        <v>60.496380000000002</v>
      </c>
      <c r="K12" s="111"/>
      <c r="O12" t="str">
        <f>A20</f>
        <v>R. Forsyth</v>
      </c>
      <c r="P12" s="112">
        <f>E20</f>
        <v>3.9</v>
      </c>
      <c r="Q12" s="112">
        <f>F20</f>
        <v>4</v>
      </c>
      <c r="R12" s="112">
        <f>G20</f>
        <v>4</v>
      </c>
      <c r="S12" s="112">
        <f>H20</f>
        <v>4.99000000000000021</v>
      </c>
      <c r="V12" s="57" t="str">
        <f>O12</f>
        <v>R. Forsyth</v>
      </c>
      <c r="W12" s="112">
        <f>P12</f>
        <v>3.9</v>
      </c>
      <c r="X12" s="112">
        <f>Q12</f>
        <v>4</v>
      </c>
      <c r="Y12" s="112">
        <f>R12</f>
        <v>4</v>
      </c>
      <c r="Z12" s="112">
        <f>S12</f>
        <v>4.99000000000000021</v>
      </c>
    </row>
    <row r="13" spans="1:26">
      <c r="A13" s="8" t="str">
        <f>Plantilla!D14</f>
        <v>S. Embe</v>
      </c>
      <c r="B13">
        <f>Plantilla!E14</f>
        <v>22</v>
      </c>
      <c r="C13">
        <f>Plantilla!H14</f>
        <v>3</v>
      </c>
      <c r="D13" s="76">
        <f>Plantilla!I14</f>
        <v>2.5</v>
      </c>
      <c r="E13" s="110">
        <f>D13</f>
        <v>2.5</v>
      </c>
      <c r="F13" s="110">
        <f>E13+0.1</f>
        <v>2.60000000000000009</v>
      </c>
      <c r="G13" s="110">
        <f>C13</f>
        <v>3</v>
      </c>
      <c r="H13" s="110">
        <f>G13+0.99</f>
        <v>3.99000000000000021</v>
      </c>
      <c r="I13" s="114">
        <f>G13*G13*E13</f>
        <v>22.5</v>
      </c>
      <c r="J13" s="114">
        <f>H13*H13*F13</f>
        <v>41.3922600000000003</v>
      </c>
      <c r="K13" s="111"/>
      <c r="O13" t="str">
        <f>A19</f>
        <v>P. Tuderek</v>
      </c>
      <c r="P13" s="112">
        <f>E19</f>
        <v>2.9</v>
      </c>
      <c r="Q13" s="112">
        <f>F19</f>
        <v>3</v>
      </c>
      <c r="R13" s="112">
        <f>G19</f>
        <v>4</v>
      </c>
      <c r="S13" s="112">
        <f>H19</f>
        <v>4.99000000000000021</v>
      </c>
      <c r="V13" s="57" t="str">
        <f>O13</f>
        <v>P. Tuderek</v>
      </c>
      <c r="W13" s="112">
        <f>P13</f>
        <v>2.9</v>
      </c>
      <c r="X13" s="112">
        <f>Q13</f>
        <v>3</v>
      </c>
      <c r="Y13" s="112">
        <f>R13</f>
        <v>4</v>
      </c>
      <c r="Z13" s="112">
        <f>S13</f>
        <v>4.99000000000000021</v>
      </c>
    </row>
    <row r="14" spans="1:26">
      <c r="A14" s="8" t="str">
        <f>Plantilla!D15</f>
        <v>E. Deus</v>
      </c>
      <c r="B14">
        <f>Plantilla!E15</f>
        <v>21</v>
      </c>
      <c r="C14">
        <f>Plantilla!H15</f>
        <v>3</v>
      </c>
      <c r="D14" s="76">
        <f>Plantilla!I15</f>
        <v>3.9</v>
      </c>
      <c r="E14" s="110">
        <f>D14</f>
        <v>3.9</v>
      </c>
      <c r="F14" s="110">
        <f>E14+0.1</f>
        <v>4</v>
      </c>
      <c r="G14" s="110">
        <f>C14</f>
        <v>3</v>
      </c>
      <c r="H14" s="110">
        <f>G14+0.99</f>
        <v>3.99000000000000021</v>
      </c>
      <c r="I14" s="114">
        <f>G14*G14*E14</f>
        <v>35.1000000000000014</v>
      </c>
      <c r="J14" s="114">
        <f>H14*H14*F14</f>
        <v>63.6803999999999988</v>
      </c>
      <c r="K14" s="111"/>
      <c r="P14" s="52">
        <f>SUM(P4:P13)/10</f>
        <v>6.95000000000000018</v>
      </c>
      <c r="Q14" s="52">
        <f>SUM(Q4:Q13)/10</f>
        <v>7.04999999999999982</v>
      </c>
      <c r="R14" s="52"/>
      <c r="S14" s="52"/>
      <c r="W14" s="52">
        <f>SUM(W4:W13)/10</f>
        <v>6.95000000000000018</v>
      </c>
      <c r="X14" s="52">
        <f>SUM(X4:X13)/10</f>
        <v>7.04999999999999982</v>
      </c>
      <c r="Y14" s="52"/>
      <c r="Z14" s="52"/>
    </row>
    <row r="15" spans="1:11">
      <c r="A15" s="8" t="str">
        <f>Plantilla!D16</f>
        <v>I. Vanags</v>
      </c>
      <c r="B15">
        <f>Plantilla!E16</f>
        <v>22</v>
      </c>
      <c r="C15">
        <f>Plantilla!H16</f>
        <v>4</v>
      </c>
      <c r="D15" s="76">
        <f>Plantilla!I16</f>
        <v>2.60000000000000009</v>
      </c>
      <c r="E15" s="110">
        <f>D15</f>
        <v>2.60000000000000009</v>
      </c>
      <c r="F15" s="110">
        <f>E15+0.1</f>
        <v>2.70000000000000018</v>
      </c>
      <c r="G15" s="110">
        <f>C15</f>
        <v>4</v>
      </c>
      <c r="H15" s="110">
        <f>G15+0.99</f>
        <v>4.99000000000000021</v>
      </c>
      <c r="I15" s="114">
        <f>G15*G15*E15</f>
        <v>41.6000000000000014</v>
      </c>
      <c r="J15" s="114">
        <f>H15*H15*F15</f>
        <v>67.2302700000000044</v>
      </c>
      <c r="K15" s="111"/>
    </row>
    <row r="16" spans="1:25">
      <c r="A16" s="8" t="str">
        <f>Plantilla!D17</f>
        <v>I. Stone</v>
      </c>
      <c r="B16">
        <f>Plantilla!E17</f>
        <v>21</v>
      </c>
      <c r="C16">
        <f>Plantilla!H17</f>
        <v>6</v>
      </c>
      <c r="D16" s="76">
        <f>Plantilla!I17</f>
        <v>3.79999999999999982</v>
      </c>
      <c r="E16" s="110">
        <f>D16</f>
        <v>3.79999999999999982</v>
      </c>
      <c r="F16" s="110">
        <f>E16+0.1</f>
        <v>3.9</v>
      </c>
      <c r="G16" s="110">
        <f>C16</f>
        <v>6</v>
      </c>
      <c r="H16" s="110">
        <f>G16+0.99</f>
        <v>6.99000000000000021</v>
      </c>
      <c r="I16" s="114">
        <f>G16*G16*E16</f>
        <v>136.800000000000011</v>
      </c>
      <c r="J16" s="114">
        <f>H16*H16*F16</f>
        <v>190.554390000000012</v>
      </c>
      <c r="K16" s="111"/>
      <c r="L16" s="58" t="s">
        <v>504</v>
      </c>
      <c r="O16" t="s">
        <v>505</v>
      </c>
      <c r="P16" s="76">
        <f>SUM(P3:P13)</f>
        <v>95</v>
      </c>
      <c r="Q16" s="76">
        <f>SUM(Q3:Q13)</f>
        <v>96.0999999999999943</v>
      </c>
      <c r="R16" s="76"/>
      <c r="V16" s="57" t="s">
        <v>505</v>
      </c>
      <c r="W16" s="76">
        <f>SUM(W3:W13)</f>
        <v>95</v>
      </c>
      <c r="X16" s="76">
        <f>SUM(X3:X13)</f>
        <v>96.0999999999999943</v>
      </c>
      <c r="Y16" s="76"/>
    </row>
    <row r="17" spans="1:25">
      <c r="A17" s="8" t="str">
        <f>Plantilla!D18</f>
        <v>G. Piscaer</v>
      </c>
      <c r="B17">
        <f>Plantilla!E18</f>
        <v>22</v>
      </c>
      <c r="C17">
        <f>Plantilla!H18</f>
        <v>1</v>
      </c>
      <c r="D17" s="76">
        <f>Plantilla!I18</f>
        <v>3.70000000000000018</v>
      </c>
      <c r="E17" s="110">
        <f>D17</f>
        <v>3.70000000000000018</v>
      </c>
      <c r="F17" s="110">
        <f>E17+0.1</f>
        <v>3.79999999999999982</v>
      </c>
      <c r="G17" s="110">
        <f>C17</f>
        <v>1</v>
      </c>
      <c r="H17" s="110">
        <f>G17+0.99</f>
        <v>1.99000000000000004</v>
      </c>
      <c r="I17" s="114">
        <f>G17*G17*E17</f>
        <v>3.70000000000000018</v>
      </c>
      <c r="J17" s="114">
        <f>H17*H17*F17</f>
        <v>15.0483799999999999</v>
      </c>
      <c r="K17" s="111"/>
      <c r="O17" s="97" t="s">
        <v>506</v>
      </c>
      <c r="P17" s="52">
        <f>P16/16.5</f>
        <v>5.75757575757575957</v>
      </c>
      <c r="Q17" s="52">
        <f>Q16/16.5</f>
        <v>5.82424242424243044</v>
      </c>
      <c r="R17" s="52"/>
      <c r="V17" s="57" t="s">
        <v>507</v>
      </c>
      <c r="W17" s="52">
        <f>W16/17</f>
        <v>5.5882352941176503</v>
      </c>
      <c r="X17" s="52">
        <f>X16/17</f>
        <v>5.65294117647059036</v>
      </c>
      <c r="Y17" s="52"/>
    </row>
    <row r="18" spans="1:25">
      <c r="A18" s="8" t="str">
        <f>Plantilla!D19</f>
        <v>M. Bondarewski</v>
      </c>
      <c r="B18">
        <f>Plantilla!E19</f>
        <v>22</v>
      </c>
      <c r="C18">
        <f>Plantilla!H19</f>
        <v>1</v>
      </c>
      <c r="D18" s="76">
        <f>Plantilla!I19</f>
        <v>3.9</v>
      </c>
      <c r="E18" s="110">
        <f>D18</f>
        <v>3.9</v>
      </c>
      <c r="F18" s="110">
        <f>E18+0.1</f>
        <v>4</v>
      </c>
      <c r="G18" s="110">
        <f>C18</f>
        <v>1</v>
      </c>
      <c r="H18" s="110">
        <f>G18+0.99</f>
        <v>1.99000000000000004</v>
      </c>
      <c r="I18" s="114">
        <f>G18*G18*E18</f>
        <v>3.9</v>
      </c>
      <c r="J18" s="114">
        <f>H18*H18*F18</f>
        <v>15.8404000000000007</v>
      </c>
      <c r="K18" s="111"/>
      <c r="L18" s="58" t="s">
        <v>508</v>
      </c>
      <c r="O18" t="s">
        <v>509</v>
      </c>
      <c r="P18" s="76">
        <f>R3^2</f>
        <v>36</v>
      </c>
      <c r="Q18" s="76">
        <f>S3^2</f>
        <v>48.8601000000000028</v>
      </c>
      <c r="R18" s="76"/>
      <c r="V18" s="57" t="s">
        <v>509</v>
      </c>
      <c r="W18" s="76">
        <f>Y3^2</f>
        <v>36</v>
      </c>
      <c r="X18" s="76">
        <f>Z3^2</f>
        <v>48.8601000000000028</v>
      </c>
      <c r="Y18" s="76"/>
    </row>
    <row r="19" spans="1:25">
      <c r="A19" s="8" t="str">
        <f>Plantilla!D20</f>
        <v>P. Tuderek</v>
      </c>
      <c r="B19">
        <f>Plantilla!E20</f>
        <v>22</v>
      </c>
      <c r="C19">
        <f>Plantilla!H20</f>
        <v>4</v>
      </c>
      <c r="D19" s="76">
        <f>Plantilla!I20</f>
        <v>2.9</v>
      </c>
      <c r="E19" s="110">
        <f>D19</f>
        <v>2.9</v>
      </c>
      <c r="F19" s="110">
        <f>E19+0.1</f>
        <v>3</v>
      </c>
      <c r="G19" s="110">
        <f>C19</f>
        <v>4</v>
      </c>
      <c r="H19" s="110">
        <f>G19+0.99</f>
        <v>4.99000000000000021</v>
      </c>
      <c r="I19" s="114">
        <f>G19*G19*E19</f>
        <v>46.3999999999999986</v>
      </c>
      <c r="J19" s="114">
        <f>H19*H19*F19</f>
        <v>74.7002999999999986</v>
      </c>
      <c r="K19" s="111"/>
      <c r="L19" s="58" t="s">
        <v>510</v>
      </c>
      <c r="O19" t="s">
        <v>511</v>
      </c>
      <c r="P19" s="76">
        <f>P18*P3</f>
        <v>918</v>
      </c>
      <c r="Q19" s="76">
        <f>Q18*Q3</f>
        <v>1250.81855999999993</v>
      </c>
      <c r="R19" s="76"/>
      <c r="V19" s="57" t="s">
        <v>511</v>
      </c>
      <c r="W19" s="76">
        <f>W18*W3</f>
        <v>918</v>
      </c>
      <c r="X19" s="76">
        <f>X18*X3</f>
        <v>1250.81855999999993</v>
      </c>
      <c r="Y19" s="76"/>
    </row>
    <row r="20" spans="1:25">
      <c r="A20" s="8" t="str">
        <f>Plantilla!D21</f>
        <v>R. Forsyth</v>
      </c>
      <c r="B20">
        <f>Plantilla!E21</f>
        <v>22</v>
      </c>
      <c r="C20">
        <f>Plantilla!H21</f>
        <v>4</v>
      </c>
      <c r="D20" s="76">
        <f>Plantilla!I21</f>
        <v>3.9</v>
      </c>
      <c r="E20" s="110">
        <f>D20</f>
        <v>3.9</v>
      </c>
      <c r="F20" s="110">
        <f>E20+0.1</f>
        <v>4</v>
      </c>
      <c r="G20" s="110">
        <f>C20</f>
        <v>4</v>
      </c>
      <c r="H20" s="110">
        <f>G20+0.99</f>
        <v>4.99000000000000021</v>
      </c>
      <c r="I20" s="114">
        <f>G20*G20*E20</f>
        <v>62.3999999999999986</v>
      </c>
      <c r="J20" s="114">
        <f>H20*H20*F20</f>
        <v>99.6003999999999934</v>
      </c>
      <c r="K20" s="111"/>
      <c r="L20" s="58" t="s">
        <v>512</v>
      </c>
      <c r="O20" s="97" t="s">
        <v>513</v>
      </c>
      <c r="P20" s="52">
        <f>(P19^(2/3))/27</f>
        <v>3.49836154099212004</v>
      </c>
      <c r="Q20" s="52">
        <f>(Q19^(2/3))/27</f>
        <v>4.29964349008722024</v>
      </c>
      <c r="R20" s="52"/>
      <c r="V20" s="57" t="s">
        <v>514</v>
      </c>
      <c r="W20" s="52">
        <f>(W19^(2/3))/30</f>
        <v>3.14852538689290995</v>
      </c>
      <c r="X20" s="52">
        <f>(X19^(2/3))/30</f>
        <v>3.8696791410785</v>
      </c>
      <c r="Y20" s="52"/>
    </row>
    <row r="21" spans="1:24">
      <c r="A21" s="8" t="str">
        <f>Plantilla!D22</f>
        <v>J-P. Kechele</v>
      </c>
      <c r="B21">
        <f>Plantilla!E22</f>
        <v>29</v>
      </c>
      <c r="C21">
        <f>Plantilla!H22</f>
        <v>5</v>
      </c>
      <c r="D21" s="76">
        <f>Plantilla!I22</f>
        <v>7.59999999999999964</v>
      </c>
      <c r="E21" s="110">
        <f>D21</f>
        <v>7.59999999999999964</v>
      </c>
      <c r="F21" s="110">
        <f>E21+0.1</f>
        <v>7.70000000000000018</v>
      </c>
      <c r="G21" s="110">
        <f>C21</f>
        <v>5</v>
      </c>
      <c r="H21" s="110">
        <f>G21+0.99</f>
        <v>5.99000000000000021</v>
      </c>
      <c r="I21" s="114">
        <f>G21*G21*E21</f>
        <v>190</v>
      </c>
      <c r="J21" s="114">
        <f>H21*H21*F21</f>
        <v>276.276769999999999</v>
      </c>
      <c r="K21" s="111"/>
      <c r="L21" s="58" t="s">
        <v>515</v>
      </c>
      <c r="O21" s="57" t="s">
        <v>363</v>
      </c>
      <c r="P21" s="237">
        <f>P17+P20</f>
        <v>9.25593729856787917</v>
      </c>
      <c r="Q21" s="237">
        <f>Q17+Q20</f>
        <v>10.1238859143296995</v>
      </c>
      <c r="V21" s="57" t="s">
        <v>363</v>
      </c>
      <c r="W21" s="237">
        <f>W17+W20</f>
        <v>8.73676068101056025</v>
      </c>
      <c r="X21" s="237">
        <f>X17+X20</f>
        <v>9.52262031754909088</v>
      </c>
    </row>
    <row r="22" spans="1:12">
      <c r="A22" s="8" t="str">
        <f>Plantilla!D23</f>
        <v>S. Zobbe</v>
      </c>
      <c r="B22">
        <f>Plantilla!E23</f>
        <v>35</v>
      </c>
      <c r="C22">
        <f>Plantilla!H23</f>
        <v>2</v>
      </c>
      <c r="D22" s="76">
        <f>Plantilla!I23</f>
        <v>15</v>
      </c>
      <c r="E22" s="110">
        <f>D22</f>
        <v>15</v>
      </c>
      <c r="F22" s="110">
        <f>E22+0.1</f>
        <v>15.0999999999999996</v>
      </c>
      <c r="G22" s="110">
        <f>C22</f>
        <v>2</v>
      </c>
      <c r="H22" s="110">
        <f>G22+0.99</f>
        <v>2.99000000000000021</v>
      </c>
      <c r="I22" s="114">
        <f>G22*G22*E22</f>
        <v>60</v>
      </c>
      <c r="J22" s="114">
        <f>H22*H22*F22</f>
        <v>134.995509999999996</v>
      </c>
      <c r="K22" s="111"/>
      <c r="L22" t="s">
        <v>516</v>
      </c>
    </row>
    <row r="23" spans="1:23">
      <c r="A23" s="8" t="str">
        <f>Plantilla!D24</f>
        <v>P .Trivadi</v>
      </c>
      <c r="B23">
        <f>Plantilla!E24</f>
        <v>35</v>
      </c>
      <c r="C23">
        <f>Plantilla!H24</f>
        <v>5</v>
      </c>
      <c r="D23" s="76">
        <f>Plantilla!I24</f>
        <v>6.29999999999999982</v>
      </c>
      <c r="E23" s="110">
        <f>D23</f>
        <v>6.29999999999999982</v>
      </c>
      <c r="F23" s="110">
        <f>E23+0.1</f>
        <v>6.40000000000000036</v>
      </c>
      <c r="G23" s="110">
        <f>C23</f>
        <v>5</v>
      </c>
      <c r="H23" s="110">
        <f>G23+0.99</f>
        <v>5.99000000000000021</v>
      </c>
      <c r="I23" s="114">
        <f>G23*G23*E23</f>
        <v>157.5</v>
      </c>
      <c r="J23" s="114">
        <f>H23*H23*F23</f>
        <v>229.632640000000009</v>
      </c>
      <c r="K23" s="111"/>
      <c r="O23" s="78" t="n">
        <v>42576</v>
      </c>
      <c r="P23" t="n">
        <v>6.75999999999999979</v>
      </c>
      <c r="Q23" t="n">
        <v>6.99000000000000021</v>
      </c>
      <c r="R23" t="s">
        <v>517</v>
      </c>
      <c r="W23" s="52"/>
    </row>
    <row r="24" spans="1:10">
      <c r="A24" s="8">
        <f>Plantilla!D25</f>
        <v>0</v>
      </c>
      <c r="B24">
        <f>Plantilla!E25</f>
        <v>0</v>
      </c>
      <c r="C24">
        <f>Plantilla!H25</f>
        <v>0</v>
      </c>
      <c r="D24" s="76">
        <f>Plantilla!I25</f>
        <v>0</v>
      </c>
      <c r="E24" s="110">
        <f>D24</f>
        <v>0</v>
      </c>
      <c r="F24" s="110">
        <f>E24+0.1</f>
        <v>0.1</v>
      </c>
      <c r="G24" s="110">
        <f>C24</f>
        <v>0</v>
      </c>
      <c r="H24" s="110">
        <f>G24+0.99</f>
        <v>0.990000000000000036</v>
      </c>
      <c r="I24" s="114">
        <f>G24*G24*E24</f>
        <v>0</v>
      </c>
      <c r="J24" s="114">
        <f>H24*H24*F24</f>
        <v>0.0980100000000000016</v>
      </c>
    </row>
    <row r="25" spans="1:22">
      <c r="A25" s="8">
        <f>Plantilla!D26</f>
        <v>0</v>
      </c>
      <c r="B25">
        <f>Plantilla!E26</f>
        <v>0</v>
      </c>
      <c r="C25">
        <f>Plantilla!H26</f>
        <v>0</v>
      </c>
      <c r="D25" s="76">
        <f>Plantilla!I26</f>
        <v>0</v>
      </c>
      <c r="E25" s="110">
        <f>D25</f>
        <v>0</v>
      </c>
      <c r="F25" s="110">
        <f>E25+0.1</f>
        <v>0.1</v>
      </c>
      <c r="G25" s="110">
        <f>C25</f>
        <v>0</v>
      </c>
      <c r="H25" s="110">
        <f>G25+0.99</f>
        <v>0.990000000000000036</v>
      </c>
      <c r="I25" s="114">
        <f>G25*G25*E25</f>
        <v>0</v>
      </c>
      <c r="J25" s="114">
        <f>H25*H25*F25</f>
        <v>0.0980100000000000016</v>
      </c>
      <c r="V25"/>
    </row>
    <row r="26" spans="1:22">
      <c r="A26" s="8">
        <f>Plantilla!D27</f>
        <v>0</v>
      </c>
      <c r="B26">
        <f>Plantilla!E27</f>
        <v>0</v>
      </c>
      <c r="C26">
        <f>Plantilla!H27</f>
        <v>0</v>
      </c>
      <c r="D26" s="76">
        <f>Plantilla!I27</f>
        <v>0</v>
      </c>
      <c r="E26" s="110">
        <f>D26</f>
        <v>0</v>
      </c>
      <c r="F26" s="110">
        <f>E26+0.1</f>
        <v>0.1</v>
      </c>
      <c r="G26" s="110">
        <f>C26</f>
        <v>0</v>
      </c>
      <c r="H26" s="110">
        <f>G26+0.99</f>
        <v>0.990000000000000036</v>
      </c>
      <c r="I26" s="114">
        <f>G26*G26*E26</f>
        <v>0</v>
      </c>
      <c r="J26" s="114">
        <f>H26*H26*F26</f>
        <v>0.0980100000000000016</v>
      </c>
      <c r="V26"/>
    </row>
    <row r="27" spans="22:22">
      <c r="V27"/>
    </row>
  </sheetData>
  <conditionalFormatting sqref="I3:J26">
    <cfRule type="cellIs" dxfId="60" priority="1" operator="between">
      <formula>70</formula>
      <formula>100</formula>
    </cfRule>
  </conditionalFormatting>
  <conditionalFormatting sqref="I3:J26">
    <cfRule type="cellIs" dxfId="61" priority="2" operator="greaterThan">
      <formula>100</formula>
    </cfRule>
  </conditionalFormatting>
  <printOptions>
    <extLst>
      <ext uri="smNativeData">
        <pm:pageFlags xmlns:pm="smNativeData" id="1595601780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601780" l="56" r="56" t="56" b="56" borderId="0" fillId="0" vertical="0"/>
        <pm:footer xmlns:pm="smNativeData" id="1595601780" l="56" r="56" t="56" b="56" borderId="0" fillId="0" vertical="2"/>
      </ext>
    </extLst>
  </headerFooter>
  <drawing r:id="rId1"/>
  <extLst>
    <ext uri="smNativeData">
      <pm:sheetPrefs xmlns:pm="smNativeData" day="1595601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E4DFEC"/>
  </sheetPr>
  <dimension ref="A1:V45"/>
  <sheetViews>
    <sheetView view="normal" workbookViewId="0">
      <selection activeCell="P4" sqref="P4"/>
    </sheetView>
  </sheetViews>
  <sheetFormatPr baseColWidth="10" defaultColWidth="11.428571" defaultRowHeight="15.40"/>
  <cols>
    <col min="1" max="1" width="17.142857" customWidth="1"/>
    <col min="2" max="3" width="17.714286" customWidth="1"/>
    <col min="4" max="4" width="22.428571" customWidth="1"/>
    <col min="5" max="5" width="5.571429" customWidth="1"/>
    <col min="6" max="6" width="4.571429" customWidth="1"/>
    <col min="7" max="7" width="3.714286" customWidth="1"/>
    <col min="8" max="8" width="4.571429" customWidth="1"/>
    <col min="9" max="9" width="5.285714" customWidth="1"/>
    <col min="10" max="10" width="5.857143" customWidth="1"/>
    <col min="11" max="11" width="6.000000" customWidth="1"/>
    <col min="12" max="12" width="5.000000" customWidth="1"/>
    <col min="13" max="13" width="13.428571" customWidth="1" style="62"/>
    <col min="14" max="14" width="21.571429" customWidth="1" style="62"/>
    <col min="15" max="15" width="14.000000" customWidth="1" style="62"/>
    <col min="16" max="16" width="13.000000" customWidth="1" style="62"/>
    <col min="17" max="17" width="10.428571" customWidth="1" style="62"/>
    <col min="18" max="18" width="10.285714" customWidth="1" style="62"/>
    <col min="19" max="19" width="21.000000" customWidth="1" style="62"/>
    <col min="20" max="20" width="12.000000" customWidth="1" style="62"/>
    <col min="21" max="21" width="16.857143" customWidth="1" style="62"/>
    <col min="22" max="22" width="16.714286" customWidth="1"/>
  </cols>
  <sheetData>
    <row r="1" spans="1:22">
      <c r="A1" s="85" t="s">
        <v>84</v>
      </c>
      <c r="B1" s="85" t="s">
        <v>85</v>
      </c>
      <c r="C1" s="86" t="s">
        <v>518</v>
      </c>
      <c r="D1" s="87" t="s">
        <v>87</v>
      </c>
      <c r="E1" s="85" t="s">
        <v>88</v>
      </c>
      <c r="F1" s="85" t="s">
        <v>90</v>
      </c>
      <c r="G1" s="85" t="s">
        <v>91</v>
      </c>
      <c r="H1" s="85" t="s">
        <v>92</v>
      </c>
      <c r="I1" s="88" t="s">
        <v>519</v>
      </c>
      <c r="J1" s="88" t="s">
        <v>520</v>
      </c>
      <c r="K1" s="85" t="s">
        <v>103</v>
      </c>
      <c r="L1" s="85" t="s">
        <v>105</v>
      </c>
      <c r="M1" s="128" t="s">
        <v>521</v>
      </c>
      <c r="N1" s="128" t="s">
        <v>522</v>
      </c>
      <c r="O1" s="128" t="s">
        <v>523</v>
      </c>
      <c r="P1" s="128" t="s">
        <v>524</v>
      </c>
      <c r="Q1" s="128" t="s">
        <v>525</v>
      </c>
      <c r="R1" s="128" t="s">
        <v>526</v>
      </c>
      <c r="S1" s="128" t="s">
        <v>527</v>
      </c>
      <c r="T1" s="128" t="s">
        <v>528</v>
      </c>
      <c r="U1" s="128" t="s">
        <v>529</v>
      </c>
      <c r="V1" s="128" t="s">
        <v>530</v>
      </c>
    </row>
    <row r="2" spans="1:22">
      <c r="A2" s="84"/>
      <c r="B2" s="84" t="s">
        <v>531</v>
      </c>
      <c r="C2" s="84"/>
      <c r="D2" s="81" t="s">
        <v>532</v>
      </c>
      <c r="E2" s="59" t="n">
        <v>42</v>
      </c>
      <c r="F2" s="75" t="s">
        <v>159</v>
      </c>
      <c r="G2" s="115" t="n">
        <v>3</v>
      </c>
      <c r="H2" s="61" t="n">
        <v>16.0040000000000013</v>
      </c>
      <c r="I2" s="89">
        <f>(G2)*(G2)*(H2)</f>
        <v>144.036000000000001</v>
      </c>
      <c r="J2" s="89">
        <f>(G2+1)*(G2+1)*H2</f>
        <v>256.064000000000021</v>
      </c>
      <c r="K2" s="82" t="n">
        <v>0</v>
      </c>
      <c r="L2" s="82" t="n">
        <v>300</v>
      </c>
      <c r="M2" s="129" t="n">
        <v>41576</v>
      </c>
      <c r="N2" s="129" t="n">
        <v>41731</v>
      </c>
      <c r="O2" s="129" t="n">
        <v>42305</v>
      </c>
      <c r="P2" s="64" t="n">
        <v>772000</v>
      </c>
      <c r="Q2" s="64">
        <f>((N2-M2)/7)*L2</f>
        <v>6642.85714285713038</v>
      </c>
      <c r="R2" s="64">
        <f aca="1">((TODAY()-N2)/7)*L2</f>
        <v>98785.7142857142026</v>
      </c>
      <c r="S2" s="64" t="n">
        <v>2068800</v>
      </c>
      <c r="T2" s="64">
        <f>S2+Q2+P2+R2</f>
        <v>2946228.57142856997</v>
      </c>
      <c r="U2" s="68">
        <f>T2/((O2-N2)/112)</f>
        <v>574873.867595819058</v>
      </c>
      <c r="V2" s="53">
        <f>(O2-N2)/112</f>
        <v>5.125</v>
      </c>
    </row>
    <row r="3" spans="1:22">
      <c r="A3" s="85" t="s">
        <v>84</v>
      </c>
      <c r="B3" s="85" t="s">
        <v>85</v>
      </c>
      <c r="C3" s="86" t="s">
        <v>518</v>
      </c>
      <c r="D3" s="87" t="s">
        <v>87</v>
      </c>
      <c r="E3" s="85" t="s">
        <v>88</v>
      </c>
      <c r="F3" s="85" t="s">
        <v>90</v>
      </c>
      <c r="G3" s="85" t="s">
        <v>91</v>
      </c>
      <c r="H3" s="85" t="s">
        <v>92</v>
      </c>
      <c r="I3" s="88" t="s">
        <v>519</v>
      </c>
      <c r="J3" s="88" t="s">
        <v>520</v>
      </c>
      <c r="K3" s="85" t="s">
        <v>103</v>
      </c>
      <c r="L3" s="85" t="s">
        <v>105</v>
      </c>
      <c r="M3" s="128" t="s">
        <v>521</v>
      </c>
      <c r="N3" s="128" t="s">
        <v>522</v>
      </c>
      <c r="O3" s="128" t="s">
        <v>523</v>
      </c>
      <c r="P3" s="128" t="s">
        <v>524</v>
      </c>
      <c r="Q3" s="128" t="s">
        <v>525</v>
      </c>
      <c r="R3" s="128" t="s">
        <v>526</v>
      </c>
      <c r="S3" s="128" t="s">
        <v>527</v>
      </c>
      <c r="T3" s="128" t="s">
        <v>528</v>
      </c>
      <c r="U3" s="128" t="s">
        <v>529</v>
      </c>
      <c r="V3" s="128" t="s">
        <v>530</v>
      </c>
    </row>
    <row r="4" spans="1:22">
      <c r="A4" s="84"/>
      <c r="B4" s="84" t="s">
        <v>531</v>
      </c>
      <c r="C4" s="84"/>
      <c r="D4" s="81" t="s">
        <v>533</v>
      </c>
      <c r="E4" s="59" t="n">
        <v>44</v>
      </c>
      <c r="F4" s="75" t="s">
        <v>159</v>
      </c>
      <c r="G4" s="115" t="n">
        <v>5</v>
      </c>
      <c r="H4" s="61" t="n">
        <v>16.1090000000000018</v>
      </c>
      <c r="I4" s="89">
        <f>(G4)*(G4)*(H4)</f>
        <v>402.725000000000023</v>
      </c>
      <c r="J4" s="89">
        <f>(G4+1)*(G4+1)*H4</f>
        <v>579.923999999999978</v>
      </c>
      <c r="K4" s="82" t="n">
        <v>0</v>
      </c>
      <c r="L4" s="82" t="n">
        <v>300</v>
      </c>
      <c r="M4" s="129" t="n">
        <v>41976</v>
      </c>
      <c r="N4" s="129" t="n">
        <v>42305</v>
      </c>
      <c r="O4" s="129" t="n">
        <v>42908</v>
      </c>
      <c r="P4" s="64" t="n">
        <v>1052640</v>
      </c>
      <c r="Q4" s="64">
        <f>((N4-M4)/7)*L4</f>
        <v>14100</v>
      </c>
      <c r="R4" s="64">
        <f aca="1">((TODAY()-N4)/7)*L4</f>
        <v>74185.7142857142026</v>
      </c>
      <c r="S4" s="64" t="n">
        <v>2059800</v>
      </c>
      <c r="T4" s="64">
        <f>S4+Q4+P4</f>
        <v>3126540</v>
      </c>
      <c r="U4" s="68">
        <f>T4/((O4-N4)/112)</f>
        <v>580717.213930348982</v>
      </c>
      <c r="V4" s="53">
        <f>(A7-N4)/112</f>
        <v>15.4553571428570997</v>
      </c>
    </row>
    <row r="5" spans="15:15">
      <c r="O5" s="211"/>
    </row>
    <row r="7" spans="1:1">
      <c r="A7" s="56">
        <f aca="1">TODAY()</f>
        <v>44036</v>
      </c>
    </row>
    <row r="8" spans="1:1">
      <c r="A8" s="56" t="n">
        <v>41757</v>
      </c>
    </row>
    <row r="9" spans="1:1">
      <c r="A9" s="57">
        <f>A7-A8</f>
        <v>2279</v>
      </c>
    </row>
    <row r="10" spans="1:1">
      <c r="A10" s="127">
        <f>A9/112</f>
        <v>20.3482142857142989</v>
      </c>
    </row>
    <row r="12" spans="1:22">
      <c r="A12" s="85" t="s">
        <v>84</v>
      </c>
      <c r="B12" s="85" t="s">
        <v>85</v>
      </c>
      <c r="C12" s="86" t="s">
        <v>518</v>
      </c>
      <c r="D12" s="87" t="s">
        <v>87</v>
      </c>
      <c r="E12" s="85" t="s">
        <v>88</v>
      </c>
      <c r="F12" s="85" t="s">
        <v>90</v>
      </c>
      <c r="G12" s="85" t="s">
        <v>91</v>
      </c>
      <c r="H12" s="85" t="s">
        <v>92</v>
      </c>
      <c r="I12" s="88" t="s">
        <v>519</v>
      </c>
      <c r="J12" s="88" t="s">
        <v>520</v>
      </c>
      <c r="K12" s="85" t="s">
        <v>103</v>
      </c>
      <c r="L12" s="85" t="s">
        <v>105</v>
      </c>
      <c r="M12" s="128" t="s">
        <v>521</v>
      </c>
      <c r="N12" s="128" t="s">
        <v>522</v>
      </c>
      <c r="O12" s="128" t="s">
        <v>523</v>
      </c>
      <c r="P12" s="128" t="s">
        <v>524</v>
      </c>
      <c r="Q12" s="128" t="s">
        <v>525</v>
      </c>
      <c r="R12" s="128" t="s">
        <v>526</v>
      </c>
      <c r="S12" s="128" t="s">
        <v>527</v>
      </c>
      <c r="T12" s="128" t="s">
        <v>528</v>
      </c>
      <c r="U12" s="128" t="s">
        <v>529</v>
      </c>
      <c r="V12" s="128" t="s">
        <v>530</v>
      </c>
    </row>
    <row r="13" spans="4:22">
      <c r="D13" s="81" t="s">
        <v>534</v>
      </c>
      <c r="E13" s="59" t="n">
        <v>39</v>
      </c>
      <c r="F13" s="75"/>
      <c r="G13" s="115" t="n">
        <v>6</v>
      </c>
      <c r="H13" s="61" t="n">
        <v>13</v>
      </c>
      <c r="I13" s="89">
        <f>(G13)*(G13)*(H13)</f>
        <v>468</v>
      </c>
      <c r="J13" s="89">
        <f>(G13+1)*(G13+1)*H13</f>
        <v>637</v>
      </c>
      <c r="K13" s="82" t="n">
        <v>1130</v>
      </c>
      <c r="L13" s="82" t="n">
        <v>864</v>
      </c>
      <c r="M13" s="129" t="n">
        <v>42628</v>
      </c>
      <c r="N13" s="129">
        <f>O4</f>
        <v>42908</v>
      </c>
      <c r="O13" s="129">
        <f aca="1">TODAY()</f>
        <v>44036</v>
      </c>
      <c r="P13" s="213" t="n">
        <v>1800000</v>
      </c>
      <c r="Q13" s="64" t="n">
        <v>372</v>
      </c>
      <c r="R13" s="64">
        <f aca="1">((TODAY()-N13)/7)*L13</f>
        <v>139227.428571427998</v>
      </c>
      <c r="S13" s="213" t="n">
        <v>2553000</v>
      </c>
      <c r="T13" s="64">
        <f>S13+Q13+P13</f>
        <v>4353372</v>
      </c>
      <c r="U13" s="68">
        <f>T13/((O13-N13)/112)</f>
        <v>432249.702127658005</v>
      </c>
      <c r="V13" s="53" t="n">
        <v>7</v>
      </c>
    </row>
    <row r="17" spans="1:4">
      <c r="A17" s="202" t="n">
        <v>42908</v>
      </c>
      <c r="B17" s="78"/>
      <c r="C17" t="n">
        <v>112</v>
      </c>
      <c r="D17" t="n">
        <v>0</v>
      </c>
    </row>
    <row r="18" spans="1:4">
      <c r="A18" s="78">
        <f aca="1">TODAY()</f>
        <v>44036</v>
      </c>
      <c r="B18" s="78"/>
      <c r="C18" t="n">
        <v>400</v>
      </c>
      <c r="D18" t="n">
        <v>1</v>
      </c>
    </row>
    <row r="19" spans="1:4">
      <c r="A19">
        <f>A18-A17</f>
        <v>1128</v>
      </c>
      <c r="C19">
        <f>C18-C17</f>
        <v>288</v>
      </c>
      <c r="D19" s="203">
        <f>(A19-C17)/C19</f>
        <v>3.5277777777777799</v>
      </c>
    </row>
    <row r="20" spans="4:4">
      <c r="D20" t="s">
        <v>535</v>
      </c>
    </row>
    <row r="24" spans="1:22">
      <c r="A24" s="85" t="s">
        <v>84</v>
      </c>
      <c r="B24" s="85" t="s">
        <v>85</v>
      </c>
      <c r="C24" s="86" t="s">
        <v>518</v>
      </c>
      <c r="D24" s="87" t="s">
        <v>87</v>
      </c>
      <c r="E24" s="85" t="s">
        <v>88</v>
      </c>
      <c r="F24" s="85" t="s">
        <v>90</v>
      </c>
      <c r="G24" s="85" t="s">
        <v>91</v>
      </c>
      <c r="H24" s="85" t="s">
        <v>92</v>
      </c>
      <c r="I24" s="88" t="s">
        <v>519</v>
      </c>
      <c r="J24" s="88" t="s">
        <v>520</v>
      </c>
      <c r="K24" s="85" t="s">
        <v>103</v>
      </c>
      <c r="L24" s="85" t="s">
        <v>105</v>
      </c>
      <c r="M24" s="128" t="s">
        <v>521</v>
      </c>
      <c r="N24" s="128" t="s">
        <v>522</v>
      </c>
      <c r="O24" s="128" t="s">
        <v>523</v>
      </c>
      <c r="P24" s="128" t="s">
        <v>524</v>
      </c>
      <c r="Q24" s="128" t="s">
        <v>525</v>
      </c>
      <c r="R24" s="128" t="s">
        <v>526</v>
      </c>
      <c r="S24" s="128" t="s">
        <v>527</v>
      </c>
      <c r="T24" s="128" t="s">
        <v>528</v>
      </c>
      <c r="U24" s="128" t="s">
        <v>529</v>
      </c>
      <c r="V24" s="128" t="s">
        <v>530</v>
      </c>
    </row>
    <row r="28" spans="1:4">
      <c r="A28" s="501" t="s">
        <v>536</v>
      </c>
      <c r="B28" s="501"/>
      <c r="C28" s="501"/>
      <c r="D28" s="501"/>
    </row>
    <row r="29" spans="1:4">
      <c r="A29" s="502" t="s">
        <v>537</v>
      </c>
      <c r="B29" s="212" t="s">
        <v>538</v>
      </c>
      <c r="C29" s="212" t="s">
        <v>539</v>
      </c>
      <c r="D29" s="212" t="s">
        <v>540</v>
      </c>
    </row>
    <row r="30" spans="1:4">
      <c r="A30" s="502"/>
      <c r="B30" s="212"/>
      <c r="C30" s="212"/>
      <c r="D30" s="212"/>
    </row>
    <row r="31" spans="1:4">
      <c r="A31" s="65" t="s">
        <v>538</v>
      </c>
      <c r="B31" s="66" t="s">
        <v>541</v>
      </c>
      <c r="C31" s="66" t="s">
        <v>542</v>
      </c>
      <c r="D31" s="66" t="s">
        <v>542</v>
      </c>
    </row>
    <row r="32" spans="1:4">
      <c r="A32" s="212" t="s">
        <v>539</v>
      </c>
      <c r="B32" s="67" t="s">
        <v>543</v>
      </c>
      <c r="C32" s="67" t="s">
        <v>544</v>
      </c>
      <c r="D32" s="67" t="s">
        <v>542</v>
      </c>
    </row>
    <row r="33" spans="1:4">
      <c r="A33" s="65" t="s">
        <v>540</v>
      </c>
      <c r="B33" s="66" t="s">
        <v>545</v>
      </c>
      <c r="C33" s="66" t="s">
        <v>546</v>
      </c>
      <c r="D33" s="66" t="s">
        <v>547</v>
      </c>
    </row>
    <row r="34" spans="1:4">
      <c r="A34" s="212" t="s">
        <v>548</v>
      </c>
      <c r="B34" s="67" t="s">
        <v>549</v>
      </c>
      <c r="C34" s="67" t="s">
        <v>550</v>
      </c>
      <c r="D34" s="67" t="s">
        <v>551</v>
      </c>
    </row>
    <row r="35" spans="1:4">
      <c r="A35" s="65" t="s">
        <v>552</v>
      </c>
      <c r="B35" s="66" t="s">
        <v>553</v>
      </c>
      <c r="C35" s="66" t="s">
        <v>554</v>
      </c>
      <c r="D35" s="66" t="s">
        <v>555</v>
      </c>
    </row>
    <row r="36" spans="1:4">
      <c r="A36" s="212" t="s">
        <v>556</v>
      </c>
      <c r="B36" s="67" t="s">
        <v>557</v>
      </c>
      <c r="C36" s="67" t="s">
        <v>558</v>
      </c>
      <c r="D36" s="67" t="s">
        <v>559</v>
      </c>
    </row>
    <row r="37" spans="1:4">
      <c r="A37" s="65" t="s">
        <v>560</v>
      </c>
      <c r="B37" s="66" t="s">
        <v>561</v>
      </c>
      <c r="C37" s="66" t="s">
        <v>562</v>
      </c>
      <c r="D37" s="66" t="s">
        <v>563</v>
      </c>
    </row>
    <row r="38" spans="1:4">
      <c r="A38" s="212" t="s">
        <v>564</v>
      </c>
      <c r="B38" s="67" t="s">
        <v>565</v>
      </c>
      <c r="C38" s="67" t="s">
        <v>566</v>
      </c>
      <c r="D38" s="67" t="s">
        <v>567</v>
      </c>
    </row>
    <row r="39" spans="1:4">
      <c r="A39" s="65" t="s">
        <v>568</v>
      </c>
      <c r="B39" s="66" t="s">
        <v>569</v>
      </c>
      <c r="C39" s="66" t="s">
        <v>570</v>
      </c>
      <c r="D39" s="66" t="s">
        <v>571</v>
      </c>
    </row>
    <row r="40" spans="1:4">
      <c r="A40" s="212" t="s">
        <v>572</v>
      </c>
      <c r="B40" s="67" t="s">
        <v>573</v>
      </c>
      <c r="C40" s="67" t="s">
        <v>574</v>
      </c>
      <c r="D40" s="67" t="s">
        <v>575</v>
      </c>
    </row>
    <row r="41" spans="1:4">
      <c r="A41" s="65" t="s">
        <v>576</v>
      </c>
      <c r="B41" s="66" t="s">
        <v>577</v>
      </c>
      <c r="C41" s="66" t="s">
        <v>578</v>
      </c>
      <c r="D41" s="66" t="s">
        <v>579</v>
      </c>
    </row>
    <row r="42" spans="1:4">
      <c r="A42" s="212" t="s">
        <v>580</v>
      </c>
      <c r="B42" s="67" t="s">
        <v>581</v>
      </c>
      <c r="C42" s="67" t="s">
        <v>582</v>
      </c>
      <c r="D42" s="67" t="s">
        <v>583</v>
      </c>
    </row>
    <row r="43" spans="1:4">
      <c r="A43" s="65" t="s">
        <v>584</v>
      </c>
      <c r="B43" s="66" t="s">
        <v>585</v>
      </c>
      <c r="C43" s="66" t="s">
        <v>586</v>
      </c>
      <c r="D43" s="66" t="s">
        <v>587</v>
      </c>
    </row>
    <row r="44" spans="1:4">
      <c r="A44" s="212" t="s">
        <v>588</v>
      </c>
      <c r="B44" s="67" t="s">
        <v>589</v>
      </c>
      <c r="C44" s="67" t="s">
        <v>590</v>
      </c>
      <c r="D44" s="67" t="s">
        <v>591</v>
      </c>
    </row>
    <row r="45" spans="1:4">
      <c r="A45" s="65" t="s">
        <v>592</v>
      </c>
      <c r="B45" s="66" t="s">
        <v>593</v>
      </c>
      <c r="C45" s="66" t="s">
        <v>594</v>
      </c>
      <c r="D45" s="66" t="s">
        <v>595</v>
      </c>
    </row>
  </sheetData>
  <mergeCells count="5">
    <mergeCell ref="A28:D28"/>
    <mergeCell ref="A29:A30"/>
    <mergeCell ref="B29:B30"/>
    <mergeCell ref="C29:C30"/>
    <mergeCell ref="D29:D30"/>
  </mergeCells>
  <conditionalFormatting sqref="M4:O4">
    <cfRule type="colorScale" priority="1">
      <colorScale>
        <cfvo type="min"/>
        <cfvo type="max"/>
        <color rgb="FFFFEF9C"/>
        <color rgb="FFFF7128"/>
      </colorScale>
    </cfRule>
  </conditionalFormatting>
  <conditionalFormatting sqref="C4">
    <cfRule type="colorScale" priority="2">
      <colorScale>
        <cfvo type="min"/>
        <cfvo type="max"/>
        <color rgb="FFFFEF9C"/>
        <color rgb="FF63BE7B"/>
      </colorScale>
    </cfRule>
  </conditionalFormatting>
  <conditionalFormatting sqref="L4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{7B2E120E-95D3-A388-E0D2-EB58677BD115}</x14:id>
        </ext>
      </extLst>
    </cfRule>
  </conditionalFormatting>
  <conditionalFormatting sqref="K4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{0FAB6D97-9738-449C-FA91-E947F0398647}</x14:id>
        </ext>
      </extLst>
    </cfRule>
  </conditionalFormatting>
  <conditionalFormatting sqref="C2">
    <cfRule type="colorScale" priority="5">
      <colorScale>
        <cfvo type="min"/>
        <cfvo type="max"/>
        <color rgb="FFFFEF9C"/>
        <color rgb="FF63BE7B"/>
      </colorScale>
    </cfRule>
  </conditionalFormatting>
  <conditionalFormatting sqref="L2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{64548BBD-AC24-B4C1-E251-9C30C2874967}</x14:id>
        </ext>
      </extLst>
    </cfRule>
  </conditionalFormatting>
  <conditionalFormatting sqref="K2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{259CDE62-511F-AFB7-8EC9-D01462A2A56D}</x14:id>
        </ext>
      </extLst>
    </cfRule>
  </conditionalFormatting>
  <conditionalFormatting sqref="M2:O2">
    <cfRule type="colorScale" priority="8">
      <colorScale>
        <cfvo type="min"/>
        <cfvo type="max"/>
        <color rgb="FFFFEF9C"/>
        <color rgb="FFFF7128"/>
      </colorScale>
    </cfRule>
  </conditionalFormatting>
  <conditionalFormatting sqref="L13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{1F4114F6-32BC-2D65-6C6C-1F291CD95F4B}</x14:id>
        </ext>
      </extLst>
    </cfRule>
  </conditionalFormatting>
  <conditionalFormatting sqref="K13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{77E5CBD7-FEE0-E887-C615-D95CD96F3F4B}</x14:id>
        </ext>
      </extLst>
    </cfRule>
  </conditionalFormatting>
  <conditionalFormatting sqref="M13:O13">
    <cfRule type="colorScale" priority="11">
      <colorScale>
        <cfvo type="min"/>
        <cfvo type="max"/>
        <color rgb="FFFFEF9C"/>
        <color rgb="FFFF7128"/>
      </colorScale>
    </cfRule>
  </conditionalFormatting>
  <printOptions>
    <extLst>
      <ext uri="smNativeData">
        <pm:pageFlags xmlns:pm="smNativeData" id="1595601780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601780" l="56" r="56" t="56" b="56" borderId="0" fillId="0" vertical="0"/>
        <pm:footer xmlns:pm="smNativeData" id="1595601780" l="56" r="56" t="56" b="56" borderId="0" fillId="0" vertical="2"/>
      </ext>
    </extLst>
  </headerFooter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B2E120E-95D3-A388-E0D2-EB58677BD115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L4</xm:sqref>
        </x14:conditionalFormatting>
        <x14:conditionalFormatting xmlns:xm="http://schemas.microsoft.com/office/excel/2006/main">
          <x14:cfRule type="dataBar" id="{0FAB6D97-9738-449C-FA91-E947F0398647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K4</xm:sqref>
        </x14:conditionalFormatting>
        <x14:conditionalFormatting xmlns:xm="http://schemas.microsoft.com/office/excel/2006/main">
          <x14:cfRule type="dataBar" id="{64548BBD-AC24-B4C1-E251-9C30C2874967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L2</xm:sqref>
        </x14:conditionalFormatting>
        <x14:conditionalFormatting xmlns:xm="http://schemas.microsoft.com/office/excel/2006/main">
          <x14:cfRule type="dataBar" id="{259CDE62-511F-AFB7-8EC9-D01462A2A56D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K2</xm:sqref>
        </x14:conditionalFormatting>
        <x14:conditionalFormatting xmlns:xm="http://schemas.microsoft.com/office/excel/2006/main">
          <x14:cfRule type="dataBar" id="{1F4114F6-32BC-2D65-6C6C-1F291CD95F4B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L13</xm:sqref>
        </x14:conditionalFormatting>
        <x14:conditionalFormatting xmlns:xm="http://schemas.microsoft.com/office/excel/2006/main">
          <x14:cfRule type="dataBar" id="{77E5CBD7-FEE0-E887-C615-D95CD96F3F4B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K13</xm:sqref>
        </x14:conditionalFormatting>
      </x14:conditionalFormattings>
    </ext>
    <ext uri="smNativeData">
      <pm:sheetPrefs xmlns:pm="smNativeData" day="1595601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ABF8F"/>
  </sheetPr>
  <dimension ref="A1:BA33"/>
  <sheetViews>
    <sheetView view="normal" workbookViewId="0">
      <pane xSplit="6" ySplit="3" topLeftCell="R4" activePane="bottomRight" state="frozen"/>
      <selection pane="bottomRight" activeCell="AM12" sqref="AM12"/>
    </sheetView>
  </sheetViews>
  <sheetFormatPr baseColWidth="10" defaultColWidth="11.428571" defaultRowHeight="15.40"/>
  <cols>
    <col min="1" max="1" width="4.714286" customWidth="1"/>
    <col min="2" max="2" width="5.142857" customWidth="1"/>
    <col min="3" max="3" width="15.142857" customWidth="1" style="57"/>
    <col min="4" max="4" width="5.571429" customWidth="1"/>
    <col min="5" max="5" width="5.000000" customWidth="1"/>
    <col min="6" max="6" width="4.571429" customWidth="1" style="62"/>
    <col min="7" max="7" width="3.714286" customWidth="1" style="8"/>
    <col min="8" max="8" width="4.571429" customWidth="1"/>
    <col min="9" max="9" width="6.142857" customWidth="1" style="51"/>
    <col min="10" max="13" width="6.142857" customWidth="1"/>
    <col min="14" max="14" width="5.000000" customWidth="1"/>
    <col min="15" max="15" width="6.142857" customWidth="1"/>
    <col min="16" max="16" width="5.571429" customWidth="1" style="62"/>
    <col min="17" max="17" width="5.000000" customWidth="1" style="62"/>
    <col min="18" max="18" width="4.428571" customWidth="1" style="62"/>
    <col min="19" max="25" width="5.571429" customWidth="1" style="62"/>
    <col min="26" max="27" width="4.571429" customWidth="1"/>
    <col min="28" max="28" width="5.571429" customWidth="1"/>
    <col min="29" max="32" width="4.571429" customWidth="1"/>
    <col min="33" max="33" width="3.714286" customWidth="1"/>
    <col min="34" max="34" width="6.142857" customWidth="1"/>
    <col min="35" max="35" width="15.142857" customWidth="1"/>
    <col min="36" max="37" width="7.857143" customWidth="1"/>
    <col min="38" max="38" width="7.714286" customWidth="1"/>
    <col min="39" max="39" width="7.142857" customWidth="1"/>
    <col min="40" max="41" width="6.571429" customWidth="1"/>
    <col min="42" max="42" width="6.428571" customWidth="1"/>
    <col min="43" max="44" width="5.857143" customWidth="1"/>
    <col min="45" max="45" width="5.571429" customWidth="1"/>
    <col min="46" max="46" width="4.571429" customWidth="1"/>
    <col min="47" max="47" width="5.571429" customWidth="1"/>
    <col min="48" max="48" width="11.000000" customWidth="1"/>
    <col min="49" max="49" width="5.857143" customWidth="1"/>
    <col min="50" max="50" width="12.428571" customWidth="1"/>
    <col min="51" max="51" width="15.142857" customWidth="1"/>
    <col min="52" max="53" width="9.571429" customWidth="1"/>
  </cols>
  <sheetData>
    <row r="1" spans="16:53">
      <c r="P1"/>
      <c r="Q1"/>
      <c r="AH1" s="62" t="s">
        <v>596</v>
      </c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V1" s="140" t="s">
        <v>488</v>
      </c>
      <c r="AW1" s="140" t="s">
        <v>489</v>
      </c>
      <c r="AX1" s="140" t="s">
        <v>597</v>
      </c>
      <c r="AY1" s="141" t="s">
        <v>598</v>
      </c>
      <c r="AZ1" s="62" t="s">
        <v>599</v>
      </c>
      <c r="BA1" s="62" t="s">
        <v>600</v>
      </c>
    </row>
    <row r="2" spans="3:53" s="70" customFormat="1">
      <c r="C2" s="104">
        <f aca="1">TODAY()</f>
        <v>44036</v>
      </c>
      <c r="D2" s="104" t="n">
        <v>41471</v>
      </c>
      <c r="E2" s="104"/>
      <c r="F2" s="104"/>
      <c r="G2" s="71"/>
      <c r="H2" s="71"/>
      <c r="I2" s="93"/>
      <c r="J2" s="71"/>
      <c r="K2" s="71"/>
      <c r="L2" s="71"/>
      <c r="M2" s="71"/>
      <c r="N2" s="71"/>
      <c r="O2" s="71"/>
      <c r="P2" s="123"/>
      <c r="Q2" s="77"/>
      <c r="R2" s="77"/>
      <c r="S2" s="77" t="n">
        <v>0</v>
      </c>
      <c r="T2" s="77" t="n">
        <v>0</v>
      </c>
      <c r="U2" s="77" t="n">
        <v>40</v>
      </c>
      <c r="V2" s="77" t="n">
        <v>0</v>
      </c>
      <c r="W2" s="77" t="n">
        <v>0</v>
      </c>
      <c r="X2" s="77" t="n">
        <v>17</v>
      </c>
      <c r="Y2" s="77" t="n">
        <v>0</v>
      </c>
      <c r="AJ2" s="138">
        <f>SUM(AJ4:AJ14)*$AY$3</f>
        <v>0</v>
      </c>
      <c r="AK2" s="138">
        <f>SUM(AK4:AK14)*$AY$3</f>
        <v>0</v>
      </c>
      <c r="AL2" s="138">
        <f>SUM(AL4:AL14)*$AY$2</f>
        <v>0</v>
      </c>
      <c r="AM2" s="138">
        <f>SUM(AM4:AM14)*$AY$4</f>
        <v>4.36374999999999957</v>
      </c>
      <c r="AN2" s="138" t="e">
        <f>SUM(AN4:AN14)*$AY$5</f>
        <v>#REF!</v>
      </c>
      <c r="AO2" s="138" t="e">
        <f>SUM(AO4:AO14)*$AY$5</f>
        <v>#REF!</v>
      </c>
      <c r="AP2" s="138" t="e">
        <f>SUM(AP4:AP14)*$AY$6</f>
        <v>#REF!</v>
      </c>
      <c r="AQ2" s="139" t="e">
        <f>SUM(AQ4:AQ14)</f>
        <v>#REF!</v>
      </c>
      <c r="AR2" s="139" t="e">
        <f>SUM(AR4:AR14)</f>
        <v>#REF!</v>
      </c>
      <c r="AS2" s="139">
        <f>SUM(AS4:AS14)</f>
        <v>7.85625000000000018</v>
      </c>
      <c r="AT2" s="139">
        <f>SUM(AT4:AT14)</f>
        <v>0</v>
      </c>
      <c r="AV2" s="74" t="s">
        <v>490</v>
      </c>
      <c r="AW2" s="142" t="n">
        <v>1</v>
      </c>
      <c r="AX2" s="143" t="n">
        <v>0.624000000000000021</v>
      </c>
      <c r="AY2" s="144" t="n">
        <v>0.245000000000000018</v>
      </c>
      <c r="AZ2" s="101">
        <f>AY2*10</f>
        <v>2.45000000000000018</v>
      </c>
      <c r="BA2" s="101">
        <f>AY2*15</f>
        <v>3.67499999999999982</v>
      </c>
    </row>
    <row r="3" spans="1:53">
      <c r="A3" s="85" t="s">
        <v>84</v>
      </c>
      <c r="B3" s="85" t="s">
        <v>85</v>
      </c>
      <c r="C3" s="87" t="s">
        <v>87</v>
      </c>
      <c r="D3" s="85" t="s">
        <v>88</v>
      </c>
      <c r="E3" s="85" t="s">
        <v>89</v>
      </c>
      <c r="F3" s="85" t="s">
        <v>90</v>
      </c>
      <c r="G3" s="85" t="s">
        <v>91</v>
      </c>
      <c r="H3" s="85" t="s">
        <v>92</v>
      </c>
      <c r="I3" s="85" t="s">
        <v>107</v>
      </c>
      <c r="J3" s="85" t="s">
        <v>108</v>
      </c>
      <c r="K3" s="85" t="s">
        <v>109</v>
      </c>
      <c r="L3" s="85" t="s">
        <v>110</v>
      </c>
      <c r="M3" s="85" t="s">
        <v>111</v>
      </c>
      <c r="N3" s="85" t="s">
        <v>112</v>
      </c>
      <c r="O3" s="85" t="s">
        <v>90</v>
      </c>
      <c r="P3" s="125" t="s">
        <v>88</v>
      </c>
      <c r="Q3" s="125" t="s">
        <v>89</v>
      </c>
      <c r="R3" s="124" t="s">
        <v>92</v>
      </c>
      <c r="S3" s="124" t="s">
        <v>107</v>
      </c>
      <c r="T3" s="124" t="s">
        <v>108</v>
      </c>
      <c r="U3" s="124" t="s">
        <v>109</v>
      </c>
      <c r="V3" s="124" t="s">
        <v>110</v>
      </c>
      <c r="W3" s="124" t="s">
        <v>111</v>
      </c>
      <c r="X3" s="124" t="s">
        <v>112</v>
      </c>
      <c r="Y3" s="124" t="s">
        <v>90</v>
      </c>
      <c r="Z3" s="124" t="s">
        <v>107</v>
      </c>
      <c r="AA3" s="124" t="s">
        <v>108</v>
      </c>
      <c r="AB3" s="124" t="s">
        <v>109</v>
      </c>
      <c r="AC3" s="124" t="s">
        <v>110</v>
      </c>
      <c r="AD3" s="124" t="s">
        <v>111</v>
      </c>
      <c r="AE3" s="124" t="s">
        <v>112</v>
      </c>
      <c r="AF3" s="124" t="s">
        <v>90</v>
      </c>
      <c r="AH3" s="216" t="n">
        <v>451</v>
      </c>
      <c r="AI3" s="503"/>
      <c r="AJ3" s="99" t="s">
        <v>601</v>
      </c>
      <c r="AK3" s="99" t="s">
        <v>602</v>
      </c>
      <c r="AL3" s="99" t="s">
        <v>603</v>
      </c>
      <c r="AM3" s="99" t="s">
        <v>604</v>
      </c>
      <c r="AN3" s="99" t="s">
        <v>605</v>
      </c>
      <c r="AO3" s="99" t="s">
        <v>606</v>
      </c>
      <c r="AP3" s="99" t="s">
        <v>607</v>
      </c>
      <c r="AQ3" s="99" t="s">
        <v>608</v>
      </c>
      <c r="AR3" s="99" t="s">
        <v>609</v>
      </c>
      <c r="AS3" s="99" t="s">
        <v>481</v>
      </c>
      <c r="AT3" s="99" t="s">
        <v>104</v>
      </c>
      <c r="AV3" s="74" t="s">
        <v>491</v>
      </c>
      <c r="AW3" s="142" t="n">
        <v>1</v>
      </c>
      <c r="AX3" s="143" t="n">
        <v>1.002</v>
      </c>
      <c r="AY3" s="144" t="n">
        <v>0.34000000000000008</v>
      </c>
      <c r="AZ3" s="101">
        <f>AY3*10</f>
        <v>3.39999999999999991</v>
      </c>
      <c r="BA3" s="101">
        <f>AY3*15</f>
        <v>5.09999999999999964</v>
      </c>
    </row>
    <row r="4" spans="1:53" s="70" customFormat="1">
      <c r="A4" s="9" t="str">
        <f>Plantilla!A4</f>
        <v>#30</v>
      </c>
      <c r="B4" s="9" t="str">
        <f>Plantilla!B4</f>
        <v>POR</v>
      </c>
      <c r="C4" s="81" t="str">
        <f>Plantilla!D4</f>
        <v>D. Gehmacher</v>
      </c>
      <c r="D4" s="59">
        <f>Plantilla!E4</f>
        <v>38</v>
      </c>
      <c r="E4" s="60">
        <f>Plantilla!F4</f>
        <v>62</v>
      </c>
      <c r="F4" s="75"/>
      <c r="G4" s="250">
        <f>Plantilla!H4</f>
        <v>6</v>
      </c>
      <c r="H4" s="61">
        <f>Plantilla!I4</f>
        <v>25.5</v>
      </c>
      <c r="I4" s="147">
        <f>Plantilla!X4</f>
        <v>14.9499999999999993</v>
      </c>
      <c r="J4" s="147">
        <f>Plantilla!Y4</f>
        <v>9.94999999999999929</v>
      </c>
      <c r="K4" s="147">
        <f>Plantilla!Z4</f>
        <v>0.95</v>
      </c>
      <c r="L4" s="147">
        <f>Plantilla!AA4</f>
        <v>0</v>
      </c>
      <c r="M4" s="147">
        <f>Plantilla!AB4</f>
        <v>0</v>
      </c>
      <c r="N4" s="147">
        <f>Plantilla!AC4</f>
        <v>0</v>
      </c>
      <c r="O4" s="147">
        <f>Plantilla!AD4</f>
        <v>17.9499999999999993</v>
      </c>
      <c r="P4" s="74">
        <f>D4</f>
        <v>38</v>
      </c>
      <c r="Q4" s="126">
        <f>E4+7</f>
        <v>69</v>
      </c>
      <c r="R4" s="83">
        <f>H4+$R$2</f>
        <v>25.5</v>
      </c>
      <c r="S4" s="162">
        <f>I4</f>
        <v>14.9499999999999993</v>
      </c>
      <c r="T4" s="162">
        <f>J4</f>
        <v>9.94999999999999929</v>
      </c>
      <c r="U4" s="162">
        <f>K4</f>
        <v>0.95</v>
      </c>
      <c r="V4" s="162">
        <f>L4</f>
        <v>0</v>
      </c>
      <c r="W4" s="162">
        <f>M4</f>
        <v>0</v>
      </c>
      <c r="X4" s="162">
        <f>N4</f>
        <v>0</v>
      </c>
      <c r="Y4" s="162">
        <f>O4</f>
        <v>17.9499999999999993</v>
      </c>
      <c r="Z4" s="131">
        <f>S4-I4</f>
        <v>0</v>
      </c>
      <c r="AA4" s="131">
        <f>T4-J4</f>
        <v>0</v>
      </c>
      <c r="AB4" s="131">
        <f>U4-K4</f>
        <v>0</v>
      </c>
      <c r="AC4" s="131">
        <f>V4-L4</f>
        <v>0</v>
      </c>
      <c r="AD4" s="131">
        <f>W4-M4</f>
        <v>0</v>
      </c>
      <c r="AE4" s="131">
        <f>X4-N4</f>
        <v>0</v>
      </c>
      <c r="AF4" s="131">
        <f>Y4-O4</f>
        <v>0</v>
      </c>
      <c r="AH4" s="132" t="s">
        <v>14</v>
      </c>
      <c r="AI4" s="90"/>
      <c r="AJ4" s="134" t="n">
        <v>0</v>
      </c>
      <c r="AK4" s="134" t="n">
        <v>0</v>
      </c>
      <c r="AL4" s="134" t="n">
        <v>0</v>
      </c>
      <c r="AM4" s="134" t="n">
        <v>0</v>
      </c>
      <c r="AN4" s="134" t="n">
        <v>0</v>
      </c>
      <c r="AO4" s="134" t="n">
        <v>0</v>
      </c>
      <c r="AP4" s="134" t="n">
        <v>0</v>
      </c>
      <c r="AQ4" s="184" t="n">
        <v>0</v>
      </c>
      <c r="AR4" s="184">
        <f>0.08*Z4+0.1*AF4</f>
        <v>0</v>
      </c>
      <c r="AS4" s="136" t="n">
        <v>0</v>
      </c>
      <c r="AT4" s="136" t="n">
        <v>0</v>
      </c>
      <c r="AV4" s="74" t="s">
        <v>492</v>
      </c>
      <c r="AW4" s="142" t="n">
        <v>1</v>
      </c>
      <c r="AX4" s="143" t="n">
        <v>0.46800000000000006</v>
      </c>
      <c r="AY4" s="144" t="n">
        <v>0.125</v>
      </c>
      <c r="AZ4" s="101">
        <f>AY4*10</f>
        <v>1.25</v>
      </c>
      <c r="BA4" s="101">
        <f>AY4*15</f>
        <v>1.875</v>
      </c>
    </row>
    <row r="5" spans="1:53" s="70" customFormat="1">
      <c r="A5" s="9" t="str">
        <f>Plantilla!A5</f>
        <v>#1</v>
      </c>
      <c r="B5" s="9" t="str">
        <f>Plantilla!B5</f>
        <v>POR</v>
      </c>
      <c r="C5" s="81" t="str">
        <f>Plantilla!D5</f>
        <v>林 (Lin) 光维 (Guangwei)</v>
      </c>
      <c r="D5" s="59">
        <f>Plantilla!E5</f>
        <v>22</v>
      </c>
      <c r="E5" s="60">
        <f>Plantilla!F5</f>
        <v>101</v>
      </c>
      <c r="F5" s="75" t="str">
        <f>Plantilla!G5</f>
        <v>IMP</v>
      </c>
      <c r="G5" s="250">
        <f>Plantilla!H5</f>
        <v>0</v>
      </c>
      <c r="H5" s="61">
        <f>Plantilla!I5</f>
        <v>3.5</v>
      </c>
      <c r="I5" s="147">
        <f>Plantilla!X5</f>
        <v>15</v>
      </c>
      <c r="J5" s="147">
        <f>Plantilla!Y5</f>
        <v>5</v>
      </c>
      <c r="K5" s="147">
        <f>Plantilla!Z5</f>
        <v>2</v>
      </c>
      <c r="L5" s="147">
        <f>Plantilla!AA5</f>
        <v>1</v>
      </c>
      <c r="M5" s="147">
        <f>Plantilla!AB5</f>
        <v>5</v>
      </c>
      <c r="N5" s="147">
        <f>Plantilla!AC5</f>
        <v>3</v>
      </c>
      <c r="O5" s="147">
        <f>Plantilla!AD5</f>
        <v>19.25</v>
      </c>
      <c r="P5" s="74">
        <f>D5</f>
        <v>22</v>
      </c>
      <c r="Q5" s="126">
        <f>E5+7</f>
        <v>108</v>
      </c>
      <c r="R5" s="83">
        <f>H5+$R$2</f>
        <v>3.5</v>
      </c>
      <c r="S5" s="162">
        <f>I5</f>
        <v>15</v>
      </c>
      <c r="T5" s="162">
        <f>J5</f>
        <v>5</v>
      </c>
      <c r="U5" s="162">
        <f>K5</f>
        <v>2</v>
      </c>
      <c r="V5" s="162">
        <f>L5</f>
        <v>1</v>
      </c>
      <c r="W5" s="162">
        <f>M5</f>
        <v>5</v>
      </c>
      <c r="X5" s="162">
        <f>N5</f>
        <v>3</v>
      </c>
      <c r="Y5" s="162">
        <f>O5</f>
        <v>19.25</v>
      </c>
      <c r="Z5" s="131">
        <f>S5-I5</f>
        <v>0</v>
      </c>
      <c r="AA5" s="131">
        <f>T5-J5</f>
        <v>0</v>
      </c>
      <c r="AB5" s="131">
        <f>U5-K5</f>
        <v>0</v>
      </c>
      <c r="AC5" s="131">
        <f>V5-L5</f>
        <v>0</v>
      </c>
      <c r="AD5" s="131">
        <f>W5-M5</f>
        <v>0</v>
      </c>
      <c r="AE5" s="131">
        <f>X5-N5</f>
        <v>0</v>
      </c>
      <c r="AF5" s="131">
        <f>Y5-O5</f>
        <v>0</v>
      </c>
      <c r="AH5" s="132" t="s">
        <v>197</v>
      </c>
      <c r="AI5" s="90"/>
      <c r="AJ5" s="134" t="n">
        <v>0</v>
      </c>
      <c r="AK5" s="134" t="n">
        <v>0</v>
      </c>
      <c r="AL5" s="134" t="n">
        <v>0</v>
      </c>
      <c r="AM5" s="134" t="n">
        <v>0</v>
      </c>
      <c r="AN5" s="134">
        <f>AC19*0.588</f>
        <v>0</v>
      </c>
      <c r="AO5" s="134" t="n">
        <v>0</v>
      </c>
      <c r="AP5" s="134" t="n">
        <v>0</v>
      </c>
      <c r="AQ5" s="136">
        <f>(0.5*AE19+0.3*AF19)/10</f>
        <v>0.141666666666667007</v>
      </c>
      <c r="AR5" s="136">
        <f>(0.4*AA19+0.3*AF19)/10</f>
        <v>0</v>
      </c>
      <c r="AS5" s="136">
        <f>((T19+1)+(W19+1)*2)/8</f>
        <v>3</v>
      </c>
      <c r="AT5" s="136">
        <f>((AA19)+(AD19)*2)/8</f>
        <v>0</v>
      </c>
      <c r="AV5" s="74" t="s">
        <v>493</v>
      </c>
      <c r="AW5" s="142" t="n">
        <v>1</v>
      </c>
      <c r="AX5" s="143" t="n">
        <v>0.876999999999999957</v>
      </c>
      <c r="AY5" s="144" t="n">
        <v>0.25</v>
      </c>
      <c r="AZ5" s="101">
        <f>AY5*10</f>
        <v>2.5</v>
      </c>
      <c r="BA5" s="101">
        <f>AY5*15</f>
        <v>3.75</v>
      </c>
    </row>
    <row r="6" spans="1:53" s="0" customFormat="1">
      <c r="A6" s="9" t="str">
        <f>Plantilla!A11</f>
        <v>#2</v>
      </c>
      <c r="B6" s="9" t="str">
        <f>Plantilla!B11</f>
        <v>DEF</v>
      </c>
      <c r="C6" s="81" t="str">
        <f>Plantilla!D11</f>
        <v>S. Swärdborn</v>
      </c>
      <c r="D6" s="59">
        <f>Plantilla!E11</f>
        <v>22</v>
      </c>
      <c r="E6" s="60">
        <f>Plantilla!F11</f>
        <v>18</v>
      </c>
      <c r="F6" s="75"/>
      <c r="G6" s="250">
        <f>Plantilla!H11</f>
        <v>2</v>
      </c>
      <c r="H6" s="61">
        <f>Plantilla!I11</f>
        <v>4.70000000000000018</v>
      </c>
      <c r="I6" s="147">
        <f>Plantilla!X11</f>
        <v>0</v>
      </c>
      <c r="J6" s="147">
        <f>Plantilla!Y11</f>
        <v>12</v>
      </c>
      <c r="K6" s="147">
        <f>Plantilla!Z11</f>
        <v>7</v>
      </c>
      <c r="L6" s="147">
        <f>Plantilla!AA11</f>
        <v>1</v>
      </c>
      <c r="M6" s="147">
        <f>Plantilla!AB11</f>
        <v>3</v>
      </c>
      <c r="N6" s="147">
        <f>Plantilla!AC11</f>
        <v>6</v>
      </c>
      <c r="O6" s="147">
        <f>Plantilla!AD11</f>
        <v>15.3333333333333002</v>
      </c>
      <c r="P6" s="74">
        <f>D6</f>
        <v>22</v>
      </c>
      <c r="Q6" s="126">
        <f>E6+7</f>
        <v>25</v>
      </c>
      <c r="R6" s="83">
        <f>H6+$R$2</f>
        <v>4.70000000000000018</v>
      </c>
      <c r="S6" s="162">
        <f>I6</f>
        <v>0</v>
      </c>
      <c r="T6" s="162">
        <f>J6</f>
        <v>12</v>
      </c>
      <c r="U6" s="162">
        <f>K6</f>
        <v>7</v>
      </c>
      <c r="V6" s="162">
        <f>L6</f>
        <v>1</v>
      </c>
      <c r="W6" s="162">
        <f>M6</f>
        <v>3</v>
      </c>
      <c r="X6" s="162">
        <f>N6</f>
        <v>6</v>
      </c>
      <c r="Y6" s="162">
        <f>O6</f>
        <v>15.3333333333333002</v>
      </c>
      <c r="Z6" s="131">
        <f>S6-I6</f>
        <v>0</v>
      </c>
      <c r="AA6" s="131">
        <f>T6-J6</f>
        <v>0</v>
      </c>
      <c r="AB6" s="131">
        <f>U6-K6</f>
        <v>0</v>
      </c>
      <c r="AC6" s="131">
        <f>V6-L6</f>
        <v>0</v>
      </c>
      <c r="AD6" s="131">
        <f>W6-M6</f>
        <v>0</v>
      </c>
      <c r="AE6" s="131">
        <f>X6-N6</f>
        <v>0</v>
      </c>
      <c r="AF6" s="131">
        <f>Y6-O6</f>
        <v>0</v>
      </c>
      <c r="AH6" s="133" t="s">
        <v>610</v>
      </c>
      <c r="AI6" s="90"/>
      <c r="AJ6" s="134" t="n">
        <v>0</v>
      </c>
      <c r="AK6" s="134" t="n">
        <v>0</v>
      </c>
      <c r="AL6" s="134" t="n">
        <v>0</v>
      </c>
      <c r="AM6" s="135" t="n">
        <v>0</v>
      </c>
      <c r="AN6" s="135" t="n">
        <v>0</v>
      </c>
      <c r="AO6" s="135" t="n">
        <v>0</v>
      </c>
      <c r="AP6" s="135" t="n">
        <v>0</v>
      </c>
      <c r="AQ6" s="137">
        <f>(0.5*AE15+0.3*AF15)/10</f>
        <v>0.170000000000000018</v>
      </c>
      <c r="AR6" s="137">
        <f>(0.4*AA15+0.3*AF15)/10</f>
        <v>0</v>
      </c>
      <c r="AS6" s="136">
        <f>((T15+1)+(W15+1)*2)/8</f>
        <v>1.375</v>
      </c>
      <c r="AT6" s="136">
        <f>((AA15)+(AD15)*2)/8</f>
        <v>0</v>
      </c>
      <c r="AV6" s="74" t="s">
        <v>494</v>
      </c>
      <c r="AW6" s="142" t="n">
        <v>1</v>
      </c>
      <c r="AX6" s="143" t="n">
        <v>0.592999999999999972</v>
      </c>
      <c r="AY6" s="144" t="n">
        <v>0.19</v>
      </c>
      <c r="AZ6" s="101">
        <f>AY6*10</f>
        <v>1.9</v>
      </c>
      <c r="BA6" s="101">
        <f>AY6*15</f>
        <v>2.85</v>
      </c>
    </row>
    <row r="7" spans="1:46" s="0" customFormat="1">
      <c r="A7" s="9" t="e">
        <f>#REF!</f>
        <v>#REF!</v>
      </c>
      <c r="B7" s="9" t="e">
        <f>#REF!</f>
        <v>#REF!</v>
      </c>
      <c r="C7" s="81" t="e">
        <f>#REF!</f>
        <v>#REF!</v>
      </c>
      <c r="D7" s="59" t="e">
        <f>#REF!</f>
        <v>#REF!</v>
      </c>
      <c r="E7" s="60" t="e">
        <f>#REF!</f>
        <v>#REF!</v>
      </c>
      <c r="F7" s="75"/>
      <c r="G7" s="250" t="e">
        <f>#REF!</f>
        <v>#REF!</v>
      </c>
      <c r="H7" s="61" t="e">
        <f>#REF!</f>
        <v>#REF!</v>
      </c>
      <c r="I7" s="147" t="e">
        <f>#REF!</f>
        <v>#REF!</v>
      </c>
      <c r="J7" s="147" t="e">
        <f>#REF!</f>
        <v>#REF!</v>
      </c>
      <c r="K7" s="147" t="e">
        <f>#REF!</f>
        <v>#REF!</v>
      </c>
      <c r="L7" s="147" t="e">
        <f>#REF!</f>
        <v>#REF!</v>
      </c>
      <c r="M7" s="147" t="e">
        <f>#REF!</f>
        <v>#REF!</v>
      </c>
      <c r="N7" s="147" t="e">
        <f>#REF!</f>
        <v>#REF!</v>
      </c>
      <c r="O7" s="147" t="e">
        <f>#REF!</f>
        <v>#REF!</v>
      </c>
      <c r="P7" s="74" t="e">
        <f>D7</f>
        <v>#REF!</v>
      </c>
      <c r="Q7" s="126" t="e">
        <f>E7+7</f>
        <v>#REF!</v>
      </c>
      <c r="R7" s="83" t="e">
        <f>H7+$R$2</f>
        <v>#REF!</v>
      </c>
      <c r="S7" s="162" t="e">
        <f>I7</f>
        <v>#REF!</v>
      </c>
      <c r="T7" s="162" t="e">
        <f>J7</f>
        <v>#REF!</v>
      </c>
      <c r="U7" s="162" t="e">
        <f>K7</f>
        <v>#REF!</v>
      </c>
      <c r="V7" s="162" t="e">
        <f>L7</f>
        <v>#REF!</v>
      </c>
      <c r="W7" s="162" t="e">
        <f>M7</f>
        <v>#REF!</v>
      </c>
      <c r="X7" s="162" t="e">
        <f>N7</f>
        <v>#REF!</v>
      </c>
      <c r="Y7" s="162" t="e">
        <f>O7</f>
        <v>#REF!</v>
      </c>
      <c r="Z7" s="131" t="e">
        <f>S7-I7</f>
        <v>#REF!</v>
      </c>
      <c r="AA7" s="131" t="e">
        <f>T7-J7</f>
        <v>#REF!</v>
      </c>
      <c r="AB7" s="131" t="e">
        <f>U7-K7</f>
        <v>#REF!</v>
      </c>
      <c r="AC7" s="131" t="e">
        <f>V7-L7</f>
        <v>#REF!</v>
      </c>
      <c r="AD7" s="131" t="e">
        <f>W7-M7</f>
        <v>#REF!</v>
      </c>
      <c r="AE7" s="131" t="e">
        <f>X7-N7</f>
        <v>#REF!</v>
      </c>
      <c r="AF7" s="131" t="e">
        <f>Y7-O7</f>
        <v>#REF!</v>
      </c>
      <c r="AH7" s="133" t="s">
        <v>610</v>
      </c>
      <c r="AI7" s="90"/>
      <c r="AJ7" s="134" t="n">
        <v>0</v>
      </c>
      <c r="AK7" s="134" t="n">
        <v>0</v>
      </c>
      <c r="AL7" s="134" t="n">
        <v>0</v>
      </c>
      <c r="AM7" s="135" t="n">
        <v>0</v>
      </c>
      <c r="AN7" s="135" t="n">
        <v>0</v>
      </c>
      <c r="AO7" s="135">
        <f>AC8*0.588</f>
        <v>0</v>
      </c>
      <c r="AP7" s="135" t="n">
        <v>0</v>
      </c>
      <c r="AQ7" s="137">
        <f>(0.5*AE8+0.3*AF8)/10</f>
        <v>0</v>
      </c>
      <c r="AR7" s="137">
        <f>(0.4*AA8+0.3*AF8)/10</f>
        <v>0</v>
      </c>
      <c r="AS7" s="136">
        <f>((T8+1)+(W8+1)*2)/8</f>
        <v>3.48125000000000018</v>
      </c>
      <c r="AT7" s="136">
        <f>((AA8)+(AD8)*2)/8</f>
        <v>0</v>
      </c>
    </row>
    <row r="8" spans="1:46" s="4" customFormat="1">
      <c r="A8" s="9" t="str">
        <f>Plantilla!A7</f>
        <v>#36</v>
      </c>
      <c r="B8" s="9" t="str">
        <f>Plantilla!B7</f>
        <v>DEF</v>
      </c>
      <c r="C8" s="81" t="str">
        <f>Plantilla!D7</f>
        <v>F. Lasprilla</v>
      </c>
      <c r="D8" s="59">
        <f>Plantilla!E7</f>
        <v>35</v>
      </c>
      <c r="E8" s="60">
        <f>Plantilla!F7</f>
        <v>81</v>
      </c>
      <c r="F8" s="75"/>
      <c r="G8" s="250">
        <f>Plantilla!H7</f>
        <v>4</v>
      </c>
      <c r="H8" s="61">
        <f>Plantilla!I7</f>
        <v>7.09999999999999964</v>
      </c>
      <c r="I8" s="147">
        <f>Plantilla!X7</f>
        <v>0</v>
      </c>
      <c r="J8" s="147">
        <f>Plantilla!Y7</f>
        <v>8.94999999999999929</v>
      </c>
      <c r="K8" s="147">
        <f>Plantilla!Z7</f>
        <v>7.95000000000000018</v>
      </c>
      <c r="L8" s="147">
        <f>Plantilla!AA7</f>
        <v>4.95000000000000018</v>
      </c>
      <c r="M8" s="147">
        <f>Plantilla!AB7</f>
        <v>7.95000000000000018</v>
      </c>
      <c r="N8" s="147">
        <f>Plantilla!AC7</f>
        <v>0.95</v>
      </c>
      <c r="O8" s="147">
        <f>Plantilla!AD7</f>
        <v>14</v>
      </c>
      <c r="P8" s="74">
        <f>D8</f>
        <v>35</v>
      </c>
      <c r="Q8" s="126">
        <f>E8+7</f>
        <v>88</v>
      </c>
      <c r="R8" s="83">
        <f>H8+$R$2</f>
        <v>7.09999999999999964</v>
      </c>
      <c r="S8" s="162">
        <f>I8</f>
        <v>0</v>
      </c>
      <c r="T8" s="162">
        <f>J8</f>
        <v>8.94999999999999929</v>
      </c>
      <c r="U8" s="162">
        <f>K8</f>
        <v>7.95000000000000018</v>
      </c>
      <c r="V8" s="162">
        <f>L8</f>
        <v>4.95000000000000018</v>
      </c>
      <c r="W8" s="162">
        <f>M8</f>
        <v>7.95000000000000018</v>
      </c>
      <c r="X8" s="162">
        <f>N8</f>
        <v>0.95</v>
      </c>
      <c r="Y8" s="162">
        <f>O8</f>
        <v>14</v>
      </c>
      <c r="Z8" s="131">
        <f>S8-I8</f>
        <v>0</v>
      </c>
      <c r="AA8" s="131">
        <f>T8-J8</f>
        <v>0</v>
      </c>
      <c r="AB8" s="131">
        <f>U8-K8</f>
        <v>0</v>
      </c>
      <c r="AC8" s="131">
        <f>V8-L8</f>
        <v>0</v>
      </c>
      <c r="AD8" s="131">
        <f>W8-M8</f>
        <v>0</v>
      </c>
      <c r="AE8" s="131">
        <f>X8-N8</f>
        <v>0</v>
      </c>
      <c r="AF8" s="131">
        <f>Y8-O8</f>
        <v>0</v>
      </c>
      <c r="AH8" s="132" t="s">
        <v>197</v>
      </c>
      <c r="AI8" s="90"/>
      <c r="AJ8" s="134" t="n">
        <v>0</v>
      </c>
      <c r="AK8" s="134" t="n">
        <v>0</v>
      </c>
      <c r="AL8" s="134" t="n">
        <v>0</v>
      </c>
      <c r="AM8" s="134" t="n">
        <v>0</v>
      </c>
      <c r="AN8" s="134" t="e">
        <f>(#REF!*0.864)+(#REF!*0.244)</f>
        <v>#REF!</v>
      </c>
      <c r="AO8" s="134" t="n">
        <v>0</v>
      </c>
      <c r="AP8" s="134" t="e">
        <f>(#REF!*0.121)</f>
        <v>#REF!</v>
      </c>
      <c r="AQ8" s="137" t="e">
        <f>(0.5*#REF!+0.3*#REF!)/10</f>
        <v>#REF!</v>
      </c>
      <c r="AR8" s="137" t="e">
        <f>(0.4*#REF!+0.3*#REF!)/10</f>
        <v>#REF!</v>
      </c>
      <c r="AS8" s="136" t="n">
        <v>0</v>
      </c>
      <c r="AT8" s="136" t="n">
        <v>0</v>
      </c>
    </row>
    <row r="9" spans="1:46" s="0" customFormat="1">
      <c r="A9" s="9" t="str">
        <f>Plantilla!A8</f>
        <v>#31</v>
      </c>
      <c r="B9" s="9" t="str">
        <f>Plantilla!B8</f>
        <v>DEF</v>
      </c>
      <c r="C9" s="81" t="str">
        <f>Plantilla!D8</f>
        <v>E. Romweber</v>
      </c>
      <c r="D9" s="59">
        <f>Plantilla!E8</f>
        <v>39</v>
      </c>
      <c r="E9" s="60">
        <f>Plantilla!F8</f>
        <v>35</v>
      </c>
      <c r="F9" s="75" t="str">
        <f>Plantilla!G8</f>
        <v>IMP</v>
      </c>
      <c r="G9" s="250">
        <f>Plantilla!H8</f>
        <v>0</v>
      </c>
      <c r="H9" s="61">
        <f>Plantilla!I8</f>
        <v>19.1000000000000014</v>
      </c>
      <c r="I9" s="147">
        <f>Plantilla!X8</f>
        <v>0</v>
      </c>
      <c r="J9" s="147">
        <f>Plantilla!Y8</f>
        <v>8.94999999999999929</v>
      </c>
      <c r="K9" s="147">
        <f>Plantilla!Z8</f>
        <v>8.94999999999999929</v>
      </c>
      <c r="L9" s="147">
        <f>Plantilla!AA8</f>
        <v>8.94999999999999929</v>
      </c>
      <c r="M9" s="147">
        <f>Plantilla!AB8</f>
        <v>6.95000000000000018</v>
      </c>
      <c r="N9" s="147">
        <f>Plantilla!AC8</f>
        <v>0.95</v>
      </c>
      <c r="O9" s="147">
        <f>Plantilla!AD8</f>
        <v>16</v>
      </c>
      <c r="P9" s="74">
        <f>D9</f>
        <v>39</v>
      </c>
      <c r="Q9" s="126">
        <f>E9+7</f>
        <v>42</v>
      </c>
      <c r="R9" s="83">
        <f>H9+$R$2</f>
        <v>19.1000000000000014</v>
      </c>
      <c r="S9" s="162">
        <f>I9</f>
        <v>0</v>
      </c>
      <c r="T9" s="162">
        <f>J9</f>
        <v>8.94999999999999929</v>
      </c>
      <c r="U9" s="162">
        <f>K9</f>
        <v>8.94999999999999929</v>
      </c>
      <c r="V9" s="162">
        <f>L9</f>
        <v>8.94999999999999929</v>
      </c>
      <c r="W9" s="162">
        <f>M9</f>
        <v>6.95000000000000018</v>
      </c>
      <c r="X9" s="162">
        <f>N9</f>
        <v>0.95</v>
      </c>
      <c r="Y9" s="162">
        <f>O9</f>
        <v>16</v>
      </c>
      <c r="Z9" s="131">
        <f>S9-I9</f>
        <v>0</v>
      </c>
      <c r="AA9" s="131">
        <f>T9-J9</f>
        <v>0</v>
      </c>
      <c r="AB9" s="131">
        <f>U9-K9</f>
        <v>0</v>
      </c>
      <c r="AC9" s="131">
        <f>V9-L9</f>
        <v>0</v>
      </c>
      <c r="AD9" s="131">
        <f>W9-M9</f>
        <v>0</v>
      </c>
      <c r="AE9" s="131">
        <f>X9-N9</f>
        <v>0</v>
      </c>
      <c r="AF9" s="131">
        <f>Y9-O9</f>
        <v>0</v>
      </c>
      <c r="AH9" s="133" t="s">
        <v>135</v>
      </c>
      <c r="AI9" s="9" t="str">
        <f>C15</f>
        <v>G. Piscaer</v>
      </c>
      <c r="AJ9" s="135">
        <f>AA15*0.189</f>
        <v>0</v>
      </c>
      <c r="AK9" s="135" t="n">
        <v>0</v>
      </c>
      <c r="AL9" s="135">
        <f>AA15*0.4</f>
        <v>0</v>
      </c>
      <c r="AM9" s="135">
        <f>AB15*1</f>
        <v>8</v>
      </c>
      <c r="AN9" s="135">
        <f>(AC13*0.574)+(AD13*0.315)</f>
        <v>0</v>
      </c>
      <c r="AO9" s="135" t="n">
        <v>0</v>
      </c>
      <c r="AP9" s="135">
        <f>AD13*0.241</f>
        <v>0</v>
      </c>
      <c r="AQ9" s="137">
        <f>(0.5*AE13+0.3*AF13)/10</f>
        <v>0.170000000000000018</v>
      </c>
      <c r="AR9" s="137">
        <f>(0.4*AA13+0.3*AF13)/10</f>
        <v>0</v>
      </c>
      <c r="AS9" s="137" t="n">
        <v>0</v>
      </c>
      <c r="AT9" s="137" t="n">
        <v>0</v>
      </c>
    </row>
    <row r="10" spans="1:46" s="8" customFormat="1">
      <c r="A10" s="9" t="str">
        <f>Plantilla!A9</f>
        <v>#35</v>
      </c>
      <c r="B10" s="9" t="str">
        <f>Plantilla!B9</f>
        <v>DEF</v>
      </c>
      <c r="C10" s="81" t="str">
        <f>Plantilla!D9</f>
        <v>S. Buschelman</v>
      </c>
      <c r="D10" s="59">
        <f>Plantilla!E9</f>
        <v>37</v>
      </c>
      <c r="E10" s="60">
        <f>Plantilla!F9</f>
        <v>106</v>
      </c>
      <c r="F10" s="75" t="str">
        <f>Plantilla!G9</f>
        <v>TEC</v>
      </c>
      <c r="G10" s="250">
        <f>Plantilla!H9</f>
        <v>3</v>
      </c>
      <c r="H10" s="61">
        <f>Plantilla!I9</f>
        <v>15.4000000000000004</v>
      </c>
      <c r="I10" s="147">
        <f>Plantilla!X9</f>
        <v>0</v>
      </c>
      <c r="J10" s="147">
        <f>Plantilla!Y9</f>
        <v>7.95000000000000018</v>
      </c>
      <c r="K10" s="147">
        <f>Plantilla!Z9</f>
        <v>11.9499999999999993</v>
      </c>
      <c r="L10" s="147">
        <f>Plantilla!AA9</f>
        <v>9.94999999999999929</v>
      </c>
      <c r="M10" s="147">
        <f>Plantilla!AB9</f>
        <v>6.95000000000000018</v>
      </c>
      <c r="N10" s="147">
        <f>Plantilla!AC9</f>
        <v>0.95</v>
      </c>
      <c r="O10" s="147">
        <f>Plantilla!AD9</f>
        <v>16</v>
      </c>
      <c r="P10" s="74">
        <f>D10</f>
        <v>37</v>
      </c>
      <c r="Q10" s="126">
        <f>E10+7</f>
        <v>113</v>
      </c>
      <c r="R10" s="83">
        <f>H10+$R$2</f>
        <v>15.4000000000000004</v>
      </c>
      <c r="S10" s="162">
        <f>I10</f>
        <v>0</v>
      </c>
      <c r="T10" s="162">
        <f>J10</f>
        <v>7.95000000000000018</v>
      </c>
      <c r="U10" s="162">
        <f>K10</f>
        <v>11.9499999999999993</v>
      </c>
      <c r="V10" s="162">
        <f>L10</f>
        <v>9.94999999999999929</v>
      </c>
      <c r="W10" s="162">
        <f>M10</f>
        <v>6.95000000000000018</v>
      </c>
      <c r="X10" s="162">
        <f>N10</f>
        <v>0.95</v>
      </c>
      <c r="Y10" s="162">
        <f>O10</f>
        <v>16</v>
      </c>
      <c r="Z10" s="131">
        <f>S10-I10</f>
        <v>0</v>
      </c>
      <c r="AA10" s="131">
        <f>T10-J10</f>
        <v>0</v>
      </c>
      <c r="AB10" s="131">
        <f>U10-K10</f>
        <v>0</v>
      </c>
      <c r="AC10" s="131">
        <f>V10-L10</f>
        <v>0</v>
      </c>
      <c r="AD10" s="131">
        <f>W10-M10</f>
        <v>0</v>
      </c>
      <c r="AE10" s="131">
        <f>X10-N10</f>
        <v>0</v>
      </c>
      <c r="AF10" s="131">
        <f>Y10-O10</f>
        <v>0</v>
      </c>
      <c r="AH10" s="133" t="s">
        <v>611</v>
      </c>
      <c r="AI10" s="9" t="str">
        <f>C18</f>
        <v>R. Forsyth</v>
      </c>
      <c r="AJ10" s="135">
        <f>AA18*((0.27+0.135)/2)</f>
        <v>0</v>
      </c>
      <c r="AK10" s="135">
        <f>AJ10</f>
        <v>0</v>
      </c>
      <c r="AL10" s="135">
        <f>AA18*0.594</f>
        <v>0</v>
      </c>
      <c r="AM10" s="135">
        <f>AB18*0.944</f>
        <v>7.5519999999999996</v>
      </c>
      <c r="AN10" s="135">
        <f>AD16*0.188</f>
        <v>0</v>
      </c>
      <c r="AO10" s="135">
        <f>AN10</f>
        <v>0</v>
      </c>
      <c r="AP10" s="135">
        <f>AD16*0.507+AE16*0.31</f>
        <v>1.05400000000000005</v>
      </c>
      <c r="AQ10" s="137">
        <f>(0.5*AE16+0.3*AF16)/10</f>
        <v>0.170000000000000018</v>
      </c>
      <c r="AR10" s="137">
        <f>(0.4*AA16+0.3*AF16)/10</f>
        <v>0</v>
      </c>
      <c r="AS10" s="137" t="n">
        <v>0</v>
      </c>
      <c r="AT10" s="137" t="n">
        <v>0</v>
      </c>
    </row>
    <row r="11" spans="1:46">
      <c r="A11" s="9" t="e">
        <f>#REF!</f>
        <v>#REF!</v>
      </c>
      <c r="B11" s="9" t="e">
        <f>#REF!</f>
        <v>#REF!</v>
      </c>
      <c r="C11" s="81" t="e">
        <f>#REF!</f>
        <v>#REF!</v>
      </c>
      <c r="D11" s="59" t="e">
        <f>#REF!</f>
        <v>#REF!</v>
      </c>
      <c r="E11" s="60" t="e">
        <f>#REF!</f>
        <v>#REF!</v>
      </c>
      <c r="F11" s="75"/>
      <c r="G11" s="250" t="e">
        <f>#REF!</f>
        <v>#REF!</v>
      </c>
      <c r="H11" s="61" t="e">
        <f>#REF!</f>
        <v>#REF!</v>
      </c>
      <c r="I11" s="147" t="e">
        <f>#REF!</f>
        <v>#REF!</v>
      </c>
      <c r="J11" s="147" t="e">
        <f>#REF!</f>
        <v>#REF!</v>
      </c>
      <c r="K11" s="147" t="e">
        <f>#REF!</f>
        <v>#REF!</v>
      </c>
      <c r="L11" s="147" t="e">
        <f>#REF!</f>
        <v>#REF!</v>
      </c>
      <c r="M11" s="147" t="e">
        <f>#REF!</f>
        <v>#REF!</v>
      </c>
      <c r="N11" s="147" t="e">
        <f>#REF!</f>
        <v>#REF!</v>
      </c>
      <c r="O11" s="147" t="e">
        <f>#REF!</f>
        <v>#REF!</v>
      </c>
      <c r="P11" s="74" t="e">
        <f>D11</f>
        <v>#REF!</v>
      </c>
      <c r="Q11" s="126" t="e">
        <f>E11+7</f>
        <v>#REF!</v>
      </c>
      <c r="R11" s="83" t="e">
        <f>H11+$R$2</f>
        <v>#REF!</v>
      </c>
      <c r="S11" s="162" t="e">
        <f>I11</f>
        <v>#REF!</v>
      </c>
      <c r="T11" s="162" t="e">
        <f>J11</f>
        <v>#REF!</v>
      </c>
      <c r="U11" s="162" t="e">
        <f>K11</f>
        <v>#REF!</v>
      </c>
      <c r="V11" s="162" t="e">
        <f>L11</f>
        <v>#REF!</v>
      </c>
      <c r="W11" s="162" t="e">
        <f>M11</f>
        <v>#REF!</v>
      </c>
      <c r="X11" s="162" t="e">
        <f>N11</f>
        <v>#REF!</v>
      </c>
      <c r="Y11" s="162" t="e">
        <f>O11</f>
        <v>#REF!</v>
      </c>
      <c r="Z11" s="131" t="e">
        <f>S11-I11</f>
        <v>#REF!</v>
      </c>
      <c r="AA11" s="131" t="e">
        <f>T11-J11</f>
        <v>#REF!</v>
      </c>
      <c r="AB11" s="131" t="e">
        <f>U11-K11</f>
        <v>#REF!</v>
      </c>
      <c r="AC11" s="131" t="e">
        <f>V11-L11</f>
        <v>#REF!</v>
      </c>
      <c r="AD11" s="131" t="e">
        <f>W11-M11</f>
        <v>#REF!</v>
      </c>
      <c r="AE11" s="131" t="e">
        <f>X11-N11</f>
        <v>#REF!</v>
      </c>
      <c r="AF11" s="131" t="e">
        <f>Y11-O11</f>
        <v>#REF!</v>
      </c>
      <c r="AH11" s="133" t="s">
        <v>135</v>
      </c>
      <c r="AI11" s="9" t="str">
        <f>C13</f>
        <v>I. Vanags</v>
      </c>
      <c r="AJ11" s="135" t="n">
        <v>0</v>
      </c>
      <c r="AK11" s="135">
        <f>AA13*0.189</f>
        <v>0</v>
      </c>
      <c r="AL11" s="135">
        <f>AA13*0.4</f>
        <v>0</v>
      </c>
      <c r="AM11" s="135">
        <f>AB13*1</f>
        <v>8</v>
      </c>
      <c r="AN11" s="135" t="n">
        <v>0</v>
      </c>
      <c r="AO11" s="135">
        <f>(AC14*0.574)+(AD14*0.314)</f>
        <v>0</v>
      </c>
      <c r="AP11" s="135">
        <f>AD14*0.241</f>
        <v>0</v>
      </c>
      <c r="AQ11" s="137">
        <f>(0.5*AE14+0.3*AF14)/10</f>
        <v>0.141666666666665009</v>
      </c>
      <c r="AR11" s="137">
        <f>(0.4*AA14+0.3*AF14)/10</f>
        <v>0</v>
      </c>
      <c r="AS11" s="137" t="n">
        <v>0</v>
      </c>
      <c r="AT11" s="137" t="n">
        <v>0</v>
      </c>
    </row>
    <row r="12" spans="1:46" s="0" customFormat="1">
      <c r="A12" s="9" t="e">
        <f>#REF!</f>
        <v>#REF!</v>
      </c>
      <c r="B12" s="9" t="e">
        <f>#REF!</f>
        <v>#REF!</v>
      </c>
      <c r="C12" s="81" t="e">
        <f>#REF!</f>
        <v>#REF!</v>
      </c>
      <c r="D12" s="59" t="e">
        <f>#REF!</f>
        <v>#REF!</v>
      </c>
      <c r="E12" s="60" t="e">
        <f>#REF!</f>
        <v>#REF!</v>
      </c>
      <c r="F12" s="75"/>
      <c r="G12" s="250" t="e">
        <f>#REF!</f>
        <v>#REF!</v>
      </c>
      <c r="H12" s="61" t="e">
        <f>#REF!</f>
        <v>#REF!</v>
      </c>
      <c r="I12" s="147" t="e">
        <f>#REF!</f>
        <v>#REF!</v>
      </c>
      <c r="J12" s="147" t="e">
        <f>#REF!</f>
        <v>#REF!</v>
      </c>
      <c r="K12" s="147" t="e">
        <f>#REF!</f>
        <v>#REF!</v>
      </c>
      <c r="L12" s="147" t="e">
        <f>#REF!</f>
        <v>#REF!</v>
      </c>
      <c r="M12" s="147" t="e">
        <f>#REF!</f>
        <v>#REF!</v>
      </c>
      <c r="N12" s="147" t="e">
        <f>#REF!</f>
        <v>#REF!</v>
      </c>
      <c r="O12" s="147" t="e">
        <f>#REF!</f>
        <v>#REF!</v>
      </c>
      <c r="P12" s="74" t="e">
        <f>D12</f>
        <v>#REF!</v>
      </c>
      <c r="Q12" s="126" t="e">
        <f>E12+7</f>
        <v>#REF!</v>
      </c>
      <c r="R12" s="83" t="e">
        <f>H12+$R$2</f>
        <v>#REF!</v>
      </c>
      <c r="S12" s="162" t="e">
        <f>I12</f>
        <v>#REF!</v>
      </c>
      <c r="T12" s="162" t="e">
        <f>J12</f>
        <v>#REF!</v>
      </c>
      <c r="U12" s="162" t="e">
        <f>K12</f>
        <v>#REF!</v>
      </c>
      <c r="V12" s="162" t="e">
        <f>L12</f>
        <v>#REF!</v>
      </c>
      <c r="W12" s="162" t="e">
        <f>M12</f>
        <v>#REF!</v>
      </c>
      <c r="X12" s="162" t="e">
        <f>N12</f>
        <v>#REF!</v>
      </c>
      <c r="Y12" s="162" t="e">
        <f>O12</f>
        <v>#REF!</v>
      </c>
      <c r="Z12" s="131" t="e">
        <f>S12-I12</f>
        <v>#REF!</v>
      </c>
      <c r="AA12" s="131" t="e">
        <f>T12-J12</f>
        <v>#REF!</v>
      </c>
      <c r="AB12" s="131" t="e">
        <f>U12-K12</f>
        <v>#REF!</v>
      </c>
      <c r="AC12" s="131" t="e">
        <f>V12-L12</f>
        <v>#REF!</v>
      </c>
      <c r="AD12" s="131" t="e">
        <f>W12-M12</f>
        <v>#REF!</v>
      </c>
      <c r="AE12" s="131" t="e">
        <f>X12-N12</f>
        <v>#REF!</v>
      </c>
      <c r="AF12" s="131" t="e">
        <f>Y12-O12</f>
        <v>#REF!</v>
      </c>
      <c r="AH12" s="133" t="s">
        <v>612</v>
      </c>
      <c r="AI12" s="9" t="str">
        <f>C14</f>
        <v>I. Stone</v>
      </c>
      <c r="AJ12" s="135">
        <f>AA14*0.284</f>
        <v>0</v>
      </c>
      <c r="AK12" s="135" t="n">
        <v>0</v>
      </c>
      <c r="AL12" s="135">
        <f>AA14*0.244</f>
        <v>0</v>
      </c>
      <c r="AM12" s="135">
        <f>AB14*0.631</f>
        <v>6.30999999999999961</v>
      </c>
      <c r="AN12" s="135" t="n">
        <v>0</v>
      </c>
      <c r="AO12" s="135" t="e">
        <f>(AC11*1)+(AD11*0.286)</f>
        <v>#REF!</v>
      </c>
      <c r="AP12" s="135" t="e">
        <f>AD11*0.135</f>
        <v>#REF!</v>
      </c>
      <c r="AQ12" s="137" t="e">
        <f>(0.5*AE11+0.3*AF11)/10</f>
        <v>#REF!</v>
      </c>
      <c r="AR12" s="137" t="e">
        <f>(0.4*AA11+0.3*AF11)/10</f>
        <v>#REF!</v>
      </c>
      <c r="AS12" s="137" t="n">
        <v>0</v>
      </c>
      <c r="AT12" s="137" t="n">
        <v>0</v>
      </c>
    </row>
    <row r="13" spans="1:46" s="4" customFormat="1">
      <c r="A13" s="9" t="str">
        <f>Plantilla!A16</f>
        <v>#16</v>
      </c>
      <c r="B13" s="9" t="str">
        <f>Plantilla!B16</f>
        <v>MED</v>
      </c>
      <c r="C13" s="81" t="str">
        <f>Plantilla!D16</f>
        <v>I. Vanags</v>
      </c>
      <c r="D13" s="59">
        <f>Plantilla!E16</f>
        <v>22</v>
      </c>
      <c r="E13" s="60">
        <f>Plantilla!F16</f>
        <v>17</v>
      </c>
      <c r="F13" s="75" t="str">
        <f>Plantilla!G16</f>
        <v>CAB</v>
      </c>
      <c r="G13" s="250">
        <f>Plantilla!H16</f>
        <v>4</v>
      </c>
      <c r="H13" s="61">
        <f>Plantilla!I16</f>
        <v>2.60000000000000009</v>
      </c>
      <c r="I13" s="147">
        <f>Plantilla!X16</f>
        <v>0</v>
      </c>
      <c r="J13" s="147">
        <f>Plantilla!Y16</f>
        <v>4</v>
      </c>
      <c r="K13" s="147">
        <f>Plantilla!Z16</f>
        <v>13</v>
      </c>
      <c r="L13" s="147">
        <f>Plantilla!AA16</f>
        <v>3</v>
      </c>
      <c r="M13" s="147">
        <f>Plantilla!AB16</f>
        <v>4</v>
      </c>
      <c r="N13" s="147">
        <f>Plantilla!AC16</f>
        <v>7</v>
      </c>
      <c r="O13" s="147">
        <f>Plantilla!AD16</f>
        <v>16.3333333333333002</v>
      </c>
      <c r="P13" s="74">
        <f>D13</f>
        <v>22</v>
      </c>
      <c r="Q13" s="126">
        <f>E13+7</f>
        <v>24</v>
      </c>
      <c r="R13" s="83">
        <f>H13+$R$2</f>
        <v>2.60000000000000009</v>
      </c>
      <c r="S13" s="162">
        <f>I13</f>
        <v>0</v>
      </c>
      <c r="T13" s="162">
        <f>J13+T$2/4</f>
        <v>4</v>
      </c>
      <c r="U13" s="162">
        <f>K13+U$2/5</f>
        <v>21</v>
      </c>
      <c r="V13" s="162">
        <f>L13</f>
        <v>3</v>
      </c>
      <c r="W13" s="162">
        <f>M13</f>
        <v>4</v>
      </c>
      <c r="X13" s="162">
        <f>N13+X$2/5</f>
        <v>10.4000000000000004</v>
      </c>
      <c r="Y13" s="162">
        <f>O13+Y$2/1</f>
        <v>16.3333333333333002</v>
      </c>
      <c r="Z13" s="131">
        <f>S13-I13</f>
        <v>0</v>
      </c>
      <c r="AA13" s="131">
        <f>T13-J13</f>
        <v>0</v>
      </c>
      <c r="AB13" s="131">
        <f>U13-K13</f>
        <v>8</v>
      </c>
      <c r="AC13" s="131">
        <f>V13-L13</f>
        <v>0</v>
      </c>
      <c r="AD13" s="131">
        <f>W13-M13</f>
        <v>0</v>
      </c>
      <c r="AE13" s="131">
        <f>X13-N13</f>
        <v>3.39999999999999991</v>
      </c>
      <c r="AF13" s="131">
        <f>Y13-O13</f>
        <v>0</v>
      </c>
      <c r="AH13" s="133" t="s">
        <v>612</v>
      </c>
      <c r="AI13" s="90" t="str">
        <f>C16</f>
        <v>M. Bondarewski</v>
      </c>
      <c r="AJ13" s="134" t="n">
        <v>0</v>
      </c>
      <c r="AK13" s="134">
        <f>AA16*0.284</f>
        <v>0</v>
      </c>
      <c r="AL13" s="135">
        <f>AA16*0.244</f>
        <v>0</v>
      </c>
      <c r="AM13" s="134">
        <f>AB16*0.631</f>
        <v>5.04800000000000004</v>
      </c>
      <c r="AN13" s="134">
        <f>(AD20*0.142)+(AC20*0.221)+(AE20*0.26)</f>
        <v>0.883999999999999986</v>
      </c>
      <c r="AO13" s="134">
        <f>AN13</f>
        <v>0.883999999999999986</v>
      </c>
      <c r="AP13" s="134">
        <f>(AD20*0.369)+(AE20*1)</f>
        <v>3.39999999999999991</v>
      </c>
      <c r="AQ13" s="183">
        <f>((0.5*AE20+0.3*AF20)/10)+0.09*AF20</f>
        <v>0.170000000000000018</v>
      </c>
      <c r="AR13" s="183">
        <f>(0.4*AA20+0.3*AF20)/10</f>
        <v>0</v>
      </c>
      <c r="AS13" s="136" t="n">
        <v>0</v>
      </c>
      <c r="AT13" s="136" t="n">
        <v>0</v>
      </c>
    </row>
    <row r="14" spans="1:46" s="0" customFormat="1">
      <c r="A14" s="9" t="str">
        <f>Plantilla!A17</f>
        <v>#8</v>
      </c>
      <c r="B14" s="9" t="str">
        <f>Plantilla!B17</f>
        <v>MED</v>
      </c>
      <c r="C14" s="81" t="str">
        <f>Plantilla!D17</f>
        <v>I. Stone</v>
      </c>
      <c r="D14" s="59">
        <f>Plantilla!E17</f>
        <v>21</v>
      </c>
      <c r="E14" s="60">
        <f>Plantilla!F17</f>
        <v>72</v>
      </c>
      <c r="F14" s="75" t="str">
        <f>Plantilla!G17</f>
        <v>RAP</v>
      </c>
      <c r="G14" s="250">
        <f>Plantilla!H17</f>
        <v>6</v>
      </c>
      <c r="H14" s="61">
        <f>Plantilla!I17</f>
        <v>3.79999999999999982</v>
      </c>
      <c r="I14" s="147">
        <f>Plantilla!X17</f>
        <v>0</v>
      </c>
      <c r="J14" s="147">
        <f>Plantilla!Y17</f>
        <v>3</v>
      </c>
      <c r="K14" s="147">
        <f>Plantilla!Z17</f>
        <v>12</v>
      </c>
      <c r="L14" s="147">
        <f>Plantilla!AA17</f>
        <v>2</v>
      </c>
      <c r="M14" s="147">
        <f>Plantilla!AB17</f>
        <v>6</v>
      </c>
      <c r="N14" s="147">
        <f>Plantilla!AC17</f>
        <v>9</v>
      </c>
      <c r="O14" s="147">
        <f>Plantilla!AD17</f>
        <v>15.3333333333333002</v>
      </c>
      <c r="P14" s="74">
        <f>D14</f>
        <v>21</v>
      </c>
      <c r="Q14" s="126">
        <f>E14+7</f>
        <v>79</v>
      </c>
      <c r="R14" s="83">
        <f>H14+$R$2</f>
        <v>3.79999999999999982</v>
      </c>
      <c r="S14" s="162">
        <f>I14</f>
        <v>0</v>
      </c>
      <c r="T14" s="162">
        <f>J14+T$2/3</f>
        <v>3</v>
      </c>
      <c r="U14" s="162">
        <f>K14+U$2/4</f>
        <v>22</v>
      </c>
      <c r="V14" s="162">
        <f>L14</f>
        <v>2</v>
      </c>
      <c r="W14" s="162">
        <f>M14</f>
        <v>6</v>
      </c>
      <c r="X14" s="162">
        <f>N14+X$2/6</f>
        <v>11.8333333333333002</v>
      </c>
      <c r="Y14" s="162">
        <f>O14+Y$2/1</f>
        <v>15.3333333333333002</v>
      </c>
      <c r="Z14" s="131">
        <f>S14-I14</f>
        <v>0</v>
      </c>
      <c r="AA14" s="131">
        <f>T14-J14</f>
        <v>0</v>
      </c>
      <c r="AB14" s="131">
        <f>U14-K14</f>
        <v>10</v>
      </c>
      <c r="AC14" s="131">
        <f>V14-L14</f>
        <v>0</v>
      </c>
      <c r="AD14" s="131">
        <f>W14-M14</f>
        <v>0</v>
      </c>
      <c r="AE14" s="131">
        <f>X14-N14</f>
        <v>2.83333333333330017</v>
      </c>
      <c r="AF14" s="131">
        <f>Y14-O14</f>
        <v>0</v>
      </c>
      <c r="AH14" s="133" t="s">
        <v>140</v>
      </c>
      <c r="AI14" s="9"/>
      <c r="AJ14" s="135" t="n">
        <v>0</v>
      </c>
      <c r="AK14" s="135" t="n">
        <v>0</v>
      </c>
      <c r="AL14" s="135" t="n">
        <v>0</v>
      </c>
      <c r="AM14" s="134" t="n">
        <v>0</v>
      </c>
      <c r="AN14" s="134" t="e">
        <f>(AD12*0.142)+(AC12*0.221)+(AE12*0.26)</f>
        <v>#REF!</v>
      </c>
      <c r="AO14" s="134" t="e">
        <f>AN14</f>
        <v>#REF!</v>
      </c>
      <c r="AP14" s="134" t="e">
        <f>(AD12*0.369)+(AE12*1)</f>
        <v>#REF!</v>
      </c>
      <c r="AQ14" s="137" t="e">
        <f>(0.5*AE12+0.3*AF12)/10</f>
        <v>#REF!</v>
      </c>
      <c r="AR14" s="137" t="e">
        <f>(0.4*AA12+0.3*AF12)/10</f>
        <v>#REF!</v>
      </c>
      <c r="AS14" s="136" t="n">
        <v>0</v>
      </c>
      <c r="AT14" s="136" t="n">
        <v>0</v>
      </c>
    </row>
    <row r="15" spans="1:46" s="70" customFormat="1">
      <c r="A15" s="9" t="str">
        <f>Plantilla!A18</f>
        <v>#14</v>
      </c>
      <c r="B15" s="9" t="str">
        <f>Plantilla!B18</f>
        <v>MED</v>
      </c>
      <c r="C15" s="81" t="str">
        <f>Plantilla!D18</f>
        <v>G. Piscaer</v>
      </c>
      <c r="D15" s="59">
        <f>Plantilla!E18</f>
        <v>22</v>
      </c>
      <c r="E15" s="60">
        <f>Plantilla!F18</f>
        <v>33</v>
      </c>
      <c r="F15" s="75" t="str">
        <f>Plantilla!G18</f>
        <v>IMP</v>
      </c>
      <c r="G15" s="250">
        <f>Plantilla!H18</f>
        <v>1</v>
      </c>
      <c r="H15" s="61">
        <f>Plantilla!I18</f>
        <v>3.70000000000000018</v>
      </c>
      <c r="I15" s="147">
        <f>Plantilla!X18</f>
        <v>0</v>
      </c>
      <c r="J15" s="147">
        <f>Plantilla!Y18</f>
        <v>4</v>
      </c>
      <c r="K15" s="147">
        <f>Plantilla!Z18</f>
        <v>13</v>
      </c>
      <c r="L15" s="147">
        <f>Plantilla!AA18</f>
        <v>3</v>
      </c>
      <c r="M15" s="147">
        <f>Plantilla!AB18</f>
        <v>2</v>
      </c>
      <c r="N15" s="147">
        <f>Plantilla!AC18</f>
        <v>8</v>
      </c>
      <c r="O15" s="147">
        <f>Plantilla!AD18</f>
        <v>14.3333333333333002</v>
      </c>
      <c r="P15" s="74">
        <f>D15</f>
        <v>22</v>
      </c>
      <c r="Q15" s="126">
        <f>E15+7</f>
        <v>40</v>
      </c>
      <c r="R15" s="83">
        <f>H15+$R$2</f>
        <v>3.70000000000000018</v>
      </c>
      <c r="S15" s="162">
        <f>I15</f>
        <v>0</v>
      </c>
      <c r="T15" s="162">
        <f>J15+T$2/4</f>
        <v>4</v>
      </c>
      <c r="U15" s="162">
        <f>K15+U$2/5</f>
        <v>21</v>
      </c>
      <c r="V15" s="162">
        <f>L15</f>
        <v>3</v>
      </c>
      <c r="W15" s="162">
        <f>M15</f>
        <v>2</v>
      </c>
      <c r="X15" s="162">
        <f>N15+X$2/5</f>
        <v>11.4000000000000004</v>
      </c>
      <c r="Y15" s="162">
        <f>O15+Y$2/1</f>
        <v>14.3333333333333002</v>
      </c>
      <c r="Z15" s="131">
        <f>S15-I15</f>
        <v>0</v>
      </c>
      <c r="AA15" s="131">
        <f>T15-J15</f>
        <v>0</v>
      </c>
      <c r="AB15" s="131">
        <f>U15-K15</f>
        <v>8</v>
      </c>
      <c r="AC15" s="131">
        <f>V15-L15</f>
        <v>0</v>
      </c>
      <c r="AD15" s="131">
        <f>W15-M15</f>
        <v>0</v>
      </c>
      <c r="AE15" s="131">
        <f>X15-N15</f>
        <v>3.39999999999999991</v>
      </c>
      <c r="AF15" s="131">
        <f>Y15-O15</f>
        <v>0</v>
      </c>
      <c r="AH15" s="7"/>
      <c r="AI15"/>
      <c r="AJ15"/>
      <c r="AK15"/>
      <c r="AL15"/>
      <c r="AM15"/>
      <c r="AN15"/>
      <c r="AO15"/>
      <c r="AP15"/>
      <c r="AQ15"/>
      <c r="AR15"/>
      <c r="AS15"/>
      <c r="AT15"/>
    </row>
    <row r="16" spans="1:46" s="4" customFormat="1">
      <c r="A16" s="9" t="str">
        <f>Plantilla!A19</f>
        <v>#9</v>
      </c>
      <c r="B16" s="9" t="str">
        <f>Plantilla!B19</f>
        <v>MED</v>
      </c>
      <c r="C16" s="81" t="str">
        <f>Plantilla!D19</f>
        <v>M. Bondarewski</v>
      </c>
      <c r="D16" s="59">
        <f>Plantilla!E19</f>
        <v>22</v>
      </c>
      <c r="E16" s="60">
        <f>Plantilla!F19</f>
        <v>33</v>
      </c>
      <c r="F16" s="75" t="str">
        <f>Plantilla!G19</f>
        <v>RAP</v>
      </c>
      <c r="G16" s="250">
        <f>Plantilla!H19</f>
        <v>1</v>
      </c>
      <c r="H16" s="61">
        <f>Plantilla!I19</f>
        <v>3.9</v>
      </c>
      <c r="I16" s="147">
        <f>Plantilla!X19</f>
        <v>0</v>
      </c>
      <c r="J16" s="147">
        <f>Plantilla!Y19</f>
        <v>2</v>
      </c>
      <c r="K16" s="147">
        <f>Plantilla!Z19</f>
        <v>13</v>
      </c>
      <c r="L16" s="147">
        <f>Plantilla!AA19</f>
        <v>5</v>
      </c>
      <c r="M16" s="147">
        <f>Plantilla!AB19</f>
        <v>4</v>
      </c>
      <c r="N16" s="147">
        <f>Plantilla!AC19</f>
        <v>8</v>
      </c>
      <c r="O16" s="147">
        <f>Plantilla!AD19</f>
        <v>17</v>
      </c>
      <c r="P16" s="74">
        <f>D16</f>
        <v>22</v>
      </c>
      <c r="Q16" s="126">
        <f>E16+7</f>
        <v>40</v>
      </c>
      <c r="R16" s="83">
        <f>H16+$R$2</f>
        <v>3.9</v>
      </c>
      <c r="S16" s="162">
        <f>I16</f>
        <v>0</v>
      </c>
      <c r="T16" s="162">
        <f>J16+T$2/3</f>
        <v>2</v>
      </c>
      <c r="U16" s="162">
        <f>K16+U$2/5</f>
        <v>21</v>
      </c>
      <c r="V16" s="162">
        <f>L16</f>
        <v>5</v>
      </c>
      <c r="W16" s="162">
        <f>M16</f>
        <v>4</v>
      </c>
      <c r="X16" s="162">
        <f>N16+X$2/5</f>
        <v>11.4000000000000004</v>
      </c>
      <c r="Y16" s="162">
        <f>O16+Y$2/1</f>
        <v>17</v>
      </c>
      <c r="Z16" s="131">
        <f>S16-I16</f>
        <v>0</v>
      </c>
      <c r="AA16" s="131">
        <f>T16-J16</f>
        <v>0</v>
      </c>
      <c r="AB16" s="131">
        <f>U16-K16</f>
        <v>8</v>
      </c>
      <c r="AC16" s="131">
        <f>V16-L16</f>
        <v>0</v>
      </c>
      <c r="AD16" s="131">
        <f>W16-M16</f>
        <v>0</v>
      </c>
      <c r="AE16" s="131">
        <f>X16-N16</f>
        <v>3.39999999999999991</v>
      </c>
      <c r="AF16" s="131">
        <f>Y16-O16</f>
        <v>0</v>
      </c>
      <c r="AH16" s="70"/>
      <c r="AI16" s="70"/>
      <c r="AJ16" s="138">
        <f>SUM(AJ18:AJ28)*$AY$3</f>
        <v>0</v>
      </c>
      <c r="AK16" s="138">
        <f>SUM(AK18:AK28)*$AY$3</f>
        <v>0</v>
      </c>
      <c r="AL16" s="138">
        <f>SUM(AL18:AL28)*$AY$2</f>
        <v>0</v>
      </c>
      <c r="AM16" s="138">
        <f>SUM(AM18:AM28)*$AY$4</f>
        <v>4.36374999999999957</v>
      </c>
      <c r="AN16" s="138" t="e">
        <f>SUM(AN18:AN28)*$AY$5</f>
        <v>#REF!</v>
      </c>
      <c r="AO16" s="138" t="e">
        <f>SUM(AO18:AO28)*$AY$5</f>
        <v>#REF!</v>
      </c>
      <c r="AP16" s="138" t="e">
        <f>SUM(AP18:AP28)*$AY$6</f>
        <v>#REF!</v>
      </c>
      <c r="AQ16" s="139" t="e">
        <f>SUM(AQ18:AQ28)</f>
        <v>#REF!</v>
      </c>
      <c r="AR16" s="139" t="e">
        <f>SUM(AR18:AR28)</f>
        <v>#REF!</v>
      </c>
      <c r="AS16" s="139">
        <f>SUM(AS18:AS28)</f>
        <v>8.25</v>
      </c>
      <c r="AT16" s="139">
        <f>SUM(AT18:AT28)</f>
        <v>0</v>
      </c>
    </row>
    <row r="17" spans="1:46" s="70" customFormat="1">
      <c r="A17" s="9" t="str">
        <f>Plantilla!A15</f>
        <v>#4</v>
      </c>
      <c r="B17" s="9" t="str">
        <f>Plantilla!B15</f>
        <v>DEF</v>
      </c>
      <c r="C17" s="81" t="str">
        <f>Plantilla!D15</f>
        <v>E. Deus</v>
      </c>
      <c r="D17" s="59">
        <f>Plantilla!E15</f>
        <v>21</v>
      </c>
      <c r="E17" s="60">
        <f>Plantilla!F15</f>
        <v>69</v>
      </c>
      <c r="F17" s="75" t="str">
        <f>Plantilla!G15</f>
        <v>IMP</v>
      </c>
      <c r="G17" s="250">
        <f>Plantilla!H15</f>
        <v>3</v>
      </c>
      <c r="H17" s="61">
        <f>Plantilla!I15</f>
        <v>3.9</v>
      </c>
      <c r="I17" s="147">
        <f>Plantilla!X15</f>
        <v>0</v>
      </c>
      <c r="J17" s="147">
        <f>Plantilla!Y15</f>
        <v>11</v>
      </c>
      <c r="K17" s="147">
        <f>Plantilla!Z15</f>
        <v>7</v>
      </c>
      <c r="L17" s="147">
        <f>Plantilla!AA15</f>
        <v>1</v>
      </c>
      <c r="M17" s="147">
        <f>Plantilla!AB15</f>
        <v>6</v>
      </c>
      <c r="N17" s="147">
        <f>Plantilla!AC15</f>
        <v>5</v>
      </c>
      <c r="O17" s="147">
        <f>Plantilla!AD15</f>
        <v>15.3333333333333002</v>
      </c>
      <c r="P17" s="74">
        <f>D17</f>
        <v>21</v>
      </c>
      <c r="Q17" s="126">
        <f>E17+7</f>
        <v>76</v>
      </c>
      <c r="R17" s="83">
        <f>H17+$R$2</f>
        <v>3.9</v>
      </c>
      <c r="S17" s="162">
        <f>I17</f>
        <v>0</v>
      </c>
      <c r="T17" s="162">
        <f>J17+T$2/5</f>
        <v>11</v>
      </c>
      <c r="U17" s="162">
        <f>K17+U$2/5</f>
        <v>15</v>
      </c>
      <c r="V17" s="162">
        <f>L17</f>
        <v>1</v>
      </c>
      <c r="W17" s="162">
        <f>M17</f>
        <v>6</v>
      </c>
      <c r="X17" s="162">
        <f>N17+X$2/4</f>
        <v>9.25</v>
      </c>
      <c r="Y17" s="162">
        <f>O17+Y$2/1</f>
        <v>15.3333333333333002</v>
      </c>
      <c r="Z17" s="131">
        <f>S17-I17</f>
        <v>0</v>
      </c>
      <c r="AA17" s="131">
        <f>T17-J17</f>
        <v>0</v>
      </c>
      <c r="AB17" s="131">
        <f>U17-K17</f>
        <v>8</v>
      </c>
      <c r="AC17" s="131">
        <f>V17-L17</f>
        <v>0</v>
      </c>
      <c r="AD17" s="131">
        <f>W17-M17</f>
        <v>0</v>
      </c>
      <c r="AE17" s="131">
        <f>X17-N17</f>
        <v>4.25</v>
      </c>
      <c r="AF17" s="131">
        <f>Y17-O17</f>
        <v>0</v>
      </c>
      <c r="AH17" s="216" t="n">
        <v>550</v>
      </c>
      <c r="AI17" s="503"/>
      <c r="AJ17" s="99" t="s">
        <v>601</v>
      </c>
      <c r="AK17" s="99" t="s">
        <v>602</v>
      </c>
      <c r="AL17" s="99" t="s">
        <v>603</v>
      </c>
      <c r="AM17" s="99" t="s">
        <v>604</v>
      </c>
      <c r="AN17" s="99" t="s">
        <v>605</v>
      </c>
      <c r="AO17" s="99" t="s">
        <v>606</v>
      </c>
      <c r="AP17" s="99" t="s">
        <v>607</v>
      </c>
      <c r="AQ17" s="99" t="s">
        <v>608</v>
      </c>
      <c r="AR17" s="99" t="s">
        <v>609</v>
      </c>
      <c r="AS17" s="99" t="s">
        <v>481</v>
      </c>
      <c r="AT17" s="99" t="s">
        <v>104</v>
      </c>
    </row>
    <row r="18" spans="1:46" s="4" customFormat="1">
      <c r="A18" s="9" t="str">
        <f>Plantilla!A21</f>
        <v>#10</v>
      </c>
      <c r="B18" s="9" t="str">
        <f>Plantilla!B21</f>
        <v>MED</v>
      </c>
      <c r="C18" s="81" t="str">
        <f>Plantilla!D21</f>
        <v>R. Forsyth</v>
      </c>
      <c r="D18" s="59">
        <f>Plantilla!E21</f>
        <v>22</v>
      </c>
      <c r="E18" s="60">
        <f>Plantilla!F21</f>
        <v>74</v>
      </c>
      <c r="F18" s="75" t="str">
        <f>Plantilla!G21</f>
        <v>POT</v>
      </c>
      <c r="G18" s="250">
        <f>Plantilla!H21</f>
        <v>4</v>
      </c>
      <c r="H18" s="61">
        <f>Plantilla!I21</f>
        <v>3.9</v>
      </c>
      <c r="I18" s="147">
        <f>Plantilla!X21</f>
        <v>0</v>
      </c>
      <c r="J18" s="147">
        <f>Plantilla!Y21</f>
        <v>7</v>
      </c>
      <c r="K18" s="147">
        <f>Plantilla!Z21</f>
        <v>13</v>
      </c>
      <c r="L18" s="147">
        <f>Plantilla!AA21</f>
        <v>3</v>
      </c>
      <c r="M18" s="147">
        <f>Plantilla!AB21</f>
        <v>4</v>
      </c>
      <c r="N18" s="147">
        <f>Plantilla!AC21</f>
        <v>6</v>
      </c>
      <c r="O18" s="147">
        <f>Plantilla!AD21</f>
        <v>15</v>
      </c>
      <c r="P18" s="74">
        <f>D18</f>
        <v>22</v>
      </c>
      <c r="Q18" s="126">
        <f>E18+7</f>
        <v>81</v>
      </c>
      <c r="R18" s="83">
        <f>H18+$R$2</f>
        <v>3.9</v>
      </c>
      <c r="S18" s="162">
        <f>I18</f>
        <v>0</v>
      </c>
      <c r="T18" s="162">
        <f>J18+T$2/5</f>
        <v>7</v>
      </c>
      <c r="U18" s="162">
        <f>K18+U$2/5</f>
        <v>21</v>
      </c>
      <c r="V18" s="162">
        <f>L18</f>
        <v>3</v>
      </c>
      <c r="W18" s="162">
        <f>M18</f>
        <v>4</v>
      </c>
      <c r="X18" s="162">
        <f>N18+X$2/4</f>
        <v>10.25</v>
      </c>
      <c r="Y18" s="162">
        <f>O18+Y$2/1</f>
        <v>15</v>
      </c>
      <c r="Z18" s="131">
        <f>S18-I18</f>
        <v>0</v>
      </c>
      <c r="AA18" s="131">
        <f>T18-J18</f>
        <v>0</v>
      </c>
      <c r="AB18" s="131">
        <f>U18-K18</f>
        <v>8</v>
      </c>
      <c r="AC18" s="131">
        <f>V18-L18</f>
        <v>0</v>
      </c>
      <c r="AD18" s="131">
        <f>W18-M18</f>
        <v>0</v>
      </c>
      <c r="AE18" s="131">
        <f>X18-N18</f>
        <v>4.25</v>
      </c>
      <c r="AF18" s="131">
        <f>Y18-O18</f>
        <v>0</v>
      </c>
      <c r="AH18" s="132" t="s">
        <v>14</v>
      </c>
      <c r="AI18" s="90"/>
      <c r="AJ18" s="134" t="n">
        <v>0</v>
      </c>
      <c r="AK18" s="134" t="n">
        <v>0</v>
      </c>
      <c r="AL18" s="134" t="n">
        <v>0</v>
      </c>
      <c r="AM18" s="134" t="n">
        <v>0</v>
      </c>
      <c r="AN18" s="134">
        <f>AN4</f>
        <v>0</v>
      </c>
      <c r="AO18" s="134">
        <f>AO4</f>
        <v>0</v>
      </c>
      <c r="AP18" s="134">
        <f>AP4</f>
        <v>0</v>
      </c>
      <c r="AQ18" s="184">
        <f>AQ4</f>
        <v>0</v>
      </c>
      <c r="AR18" s="184">
        <f>AR4</f>
        <v>0</v>
      </c>
      <c r="AS18" s="136">
        <f>AS4</f>
        <v>0</v>
      </c>
      <c r="AT18" s="136">
        <f>AT4</f>
        <v>0</v>
      </c>
    </row>
    <row r="19" spans="1:46" s="4" customFormat="1">
      <c r="A19" s="9" t="str">
        <f>Plantilla!A14</f>
        <v>#3</v>
      </c>
      <c r="B19" s="9" t="str">
        <f>Plantilla!B14</f>
        <v>DEF</v>
      </c>
      <c r="C19" s="81" t="str">
        <f>Plantilla!D14</f>
        <v>S. Embe</v>
      </c>
      <c r="D19" s="59">
        <f>Plantilla!E14</f>
        <v>22</v>
      </c>
      <c r="E19" s="60">
        <f>Plantilla!F14</f>
        <v>86</v>
      </c>
      <c r="F19" s="75">
        <f>Plantilla!G14</f>
        <v>0</v>
      </c>
      <c r="G19" s="250">
        <f>Plantilla!H14</f>
        <v>3</v>
      </c>
      <c r="H19" s="61">
        <f>Plantilla!I14</f>
        <v>2.5</v>
      </c>
      <c r="I19" s="147">
        <f>Plantilla!X14</f>
        <v>0</v>
      </c>
      <c r="J19" s="147">
        <f>Plantilla!Y14</f>
        <v>11</v>
      </c>
      <c r="K19" s="147">
        <f>Plantilla!Z14</f>
        <v>4</v>
      </c>
      <c r="L19" s="147">
        <f>Plantilla!AA14</f>
        <v>1</v>
      </c>
      <c r="M19" s="147">
        <f>Plantilla!AB14</f>
        <v>5</v>
      </c>
      <c r="N19" s="147">
        <f>Plantilla!AC14</f>
        <v>6</v>
      </c>
      <c r="O19" s="147">
        <f>Plantilla!AD14</f>
        <v>17.3333333333333002</v>
      </c>
      <c r="P19" s="74">
        <f>D19</f>
        <v>22</v>
      </c>
      <c r="Q19" s="126">
        <f>E19+7</f>
        <v>93</v>
      </c>
      <c r="R19" s="83">
        <f>H19+$R$2</f>
        <v>2.5</v>
      </c>
      <c r="S19" s="162">
        <f>I19</f>
        <v>0</v>
      </c>
      <c r="T19" s="162">
        <f>J19+T$2/4</f>
        <v>11</v>
      </c>
      <c r="U19" s="162">
        <f>K19+U$2/4</f>
        <v>14</v>
      </c>
      <c r="V19" s="162">
        <f>L19</f>
        <v>1</v>
      </c>
      <c r="W19" s="162">
        <f>M19</f>
        <v>5</v>
      </c>
      <c r="X19" s="162">
        <f>N19+X$2/6</f>
        <v>8.83333333333333037</v>
      </c>
      <c r="Y19" s="162">
        <f>O19+Y$2/1</f>
        <v>17.3333333333333002</v>
      </c>
      <c r="Z19" s="131">
        <f>S19-I19</f>
        <v>0</v>
      </c>
      <c r="AA19" s="131">
        <f>T19-J19</f>
        <v>0</v>
      </c>
      <c r="AB19" s="131">
        <f>U19-K19</f>
        <v>10</v>
      </c>
      <c r="AC19" s="131">
        <f>V19-L19</f>
        <v>0</v>
      </c>
      <c r="AD19" s="131">
        <f>W19-M19</f>
        <v>0</v>
      </c>
      <c r="AE19" s="131">
        <f>X19-N19</f>
        <v>2.83333333333333002</v>
      </c>
      <c r="AF19" s="131">
        <f>Y19-O19</f>
        <v>0</v>
      </c>
      <c r="AH19" s="132" t="s">
        <v>197</v>
      </c>
      <c r="AI19" s="90"/>
      <c r="AJ19" s="134" t="n">
        <v>0</v>
      </c>
      <c r="AK19" s="134" t="n">
        <v>0</v>
      </c>
      <c r="AL19" s="134" t="n">
        <v>0</v>
      </c>
      <c r="AM19" s="134" t="n">
        <v>0</v>
      </c>
      <c r="AN19" s="134">
        <f>AC19*0.588</f>
        <v>0</v>
      </c>
      <c r="AO19" s="134" t="n">
        <v>0</v>
      </c>
      <c r="AP19" s="134" t="n">
        <v>0</v>
      </c>
      <c r="AQ19" s="136">
        <f>AQ5</f>
        <v>0.141666666666667007</v>
      </c>
      <c r="AR19" s="136">
        <f>AR5</f>
        <v>0</v>
      </c>
      <c r="AS19" s="136">
        <f>((T19+1)+(W19+1)*2)/8</f>
        <v>3</v>
      </c>
      <c r="AT19" s="136">
        <f>((AA19)+(AD19)*2)/8</f>
        <v>0</v>
      </c>
    </row>
    <row r="20" spans="1:46" s="0" customFormat="1">
      <c r="A20" s="9" t="str">
        <f>Plantilla!A12</f>
        <v>#19</v>
      </c>
      <c r="B20" s="9" t="str">
        <f>Plantilla!B12</f>
        <v>DEF</v>
      </c>
      <c r="C20" s="81" t="str">
        <f>Plantilla!D12</f>
        <v>A. Grimaud</v>
      </c>
      <c r="D20" s="59">
        <f>Plantilla!E12</f>
        <v>22</v>
      </c>
      <c r="E20" s="60">
        <f>Plantilla!F12</f>
        <v>41</v>
      </c>
      <c r="F20" s="75"/>
      <c r="G20" s="250">
        <f>Plantilla!H12</f>
        <v>2</v>
      </c>
      <c r="H20" s="61">
        <f>Plantilla!I12</f>
        <v>4.70000000000000018</v>
      </c>
      <c r="I20" s="147">
        <f>Plantilla!X12</f>
        <v>0</v>
      </c>
      <c r="J20" s="147">
        <f>Plantilla!Y12</f>
        <v>12</v>
      </c>
      <c r="K20" s="147">
        <f>Plantilla!Z12</f>
        <v>7</v>
      </c>
      <c r="L20" s="147">
        <f>Plantilla!AA12</f>
        <v>3</v>
      </c>
      <c r="M20" s="147">
        <f>Plantilla!AB12</f>
        <v>3</v>
      </c>
      <c r="N20" s="147">
        <f>Plantilla!AC12</f>
        <v>5</v>
      </c>
      <c r="O20" s="147">
        <f>Plantilla!AD12</f>
        <v>14.3333333333333002</v>
      </c>
      <c r="P20" s="74">
        <f>D20</f>
        <v>22</v>
      </c>
      <c r="Q20" s="126">
        <f>E20+7</f>
        <v>48</v>
      </c>
      <c r="R20" s="83">
        <f>H20+$R$2</f>
        <v>4.70000000000000018</v>
      </c>
      <c r="S20" s="162">
        <f>I20</f>
        <v>0</v>
      </c>
      <c r="T20" s="162">
        <f>J20+T$2/3</f>
        <v>12</v>
      </c>
      <c r="U20" s="162">
        <f>K20+U$2/5</f>
        <v>15</v>
      </c>
      <c r="V20" s="162">
        <f>L20</f>
        <v>3</v>
      </c>
      <c r="W20" s="162">
        <f>M20</f>
        <v>3</v>
      </c>
      <c r="X20" s="162">
        <f>N20+X$2/5</f>
        <v>8.40000000000000036</v>
      </c>
      <c r="Y20" s="162">
        <f>O20+Y$2/1</f>
        <v>14.3333333333333002</v>
      </c>
      <c r="Z20" s="131">
        <f>S20-I20</f>
        <v>0</v>
      </c>
      <c r="AA20" s="131">
        <f>T20-J20</f>
        <v>0</v>
      </c>
      <c r="AB20" s="131">
        <f>U20-K20</f>
        <v>8</v>
      </c>
      <c r="AC20" s="131">
        <f>V20-L20</f>
        <v>0</v>
      </c>
      <c r="AD20" s="131">
        <f>W20-M20</f>
        <v>0</v>
      </c>
      <c r="AE20" s="131">
        <f>X20-N20</f>
        <v>3.39999999999999991</v>
      </c>
      <c r="AF20" s="131">
        <f>Y20-O20</f>
        <v>0</v>
      </c>
      <c r="AH20" s="133" t="s">
        <v>610</v>
      </c>
      <c r="AI20" s="9"/>
      <c r="AJ20" s="134" t="n">
        <v>0</v>
      </c>
      <c r="AK20" s="134" t="n">
        <v>0</v>
      </c>
      <c r="AL20" s="134" t="n">
        <v>0</v>
      </c>
      <c r="AM20" s="135" t="n">
        <v>0</v>
      </c>
      <c r="AN20" s="135">
        <f>(AD22*0.142)+(AC22*0.221)+(AE22*0.26)</f>
        <v>0.736666666666666003</v>
      </c>
      <c r="AO20" s="134">
        <f>AN20</f>
        <v>0.736666666666666003</v>
      </c>
      <c r="AP20" s="135">
        <f>(AD22*0.369)+(AE22*1)</f>
        <v>2.83333333333333002</v>
      </c>
      <c r="AQ20" s="137">
        <f>(0.5*AE22+0.3*AF22)/10</f>
        <v>0.141666666666667007</v>
      </c>
      <c r="AR20" s="137">
        <f>(0.4*AA22+0.3*AF22)/10</f>
        <v>0</v>
      </c>
      <c r="AS20" s="136">
        <f>((T22+1)+(W22+1)*2)/8</f>
        <v>2.25</v>
      </c>
      <c r="AT20" s="136">
        <f>((AA22)+(AD22)*2)/8</f>
        <v>0</v>
      </c>
    </row>
    <row r="21" spans="1:46" s="70" customFormat="1">
      <c r="A21" s="9" t="str">
        <f>Plantilla!A20</f>
        <v>#12</v>
      </c>
      <c r="B21" s="9" t="str">
        <f>Plantilla!B20</f>
        <v>MED</v>
      </c>
      <c r="C21" s="81" t="str">
        <f>Plantilla!D20</f>
        <v>P. Tuderek</v>
      </c>
      <c r="D21" s="59">
        <f>Plantilla!E20</f>
        <v>22</v>
      </c>
      <c r="E21" s="60">
        <f>Plantilla!F20</f>
        <v>19</v>
      </c>
      <c r="F21" s="75" t="str">
        <f>Plantilla!G20</f>
        <v>CAB</v>
      </c>
      <c r="G21" s="250">
        <f>Plantilla!H20</f>
        <v>4</v>
      </c>
      <c r="H21" s="61">
        <f>Plantilla!I20</f>
        <v>2.9</v>
      </c>
      <c r="I21" s="147">
        <f>Plantilla!X20</f>
        <v>0</v>
      </c>
      <c r="J21" s="147">
        <f>Plantilla!Y20</f>
        <v>6</v>
      </c>
      <c r="K21" s="147">
        <f>Plantilla!Z20</f>
        <v>12</v>
      </c>
      <c r="L21" s="147">
        <f>Plantilla!AA20</f>
        <v>2</v>
      </c>
      <c r="M21" s="147">
        <f>Plantilla!AB20</f>
        <v>3</v>
      </c>
      <c r="N21" s="147">
        <f>Plantilla!AC20</f>
        <v>6</v>
      </c>
      <c r="O21" s="147">
        <f>Plantilla!AD20</f>
        <v>17.25</v>
      </c>
      <c r="P21" s="74">
        <f>D21</f>
        <v>22</v>
      </c>
      <c r="Q21" s="126">
        <f>E21+7</f>
        <v>26</v>
      </c>
      <c r="R21" s="83">
        <f>H21+$R$2</f>
        <v>2.9</v>
      </c>
      <c r="S21" s="162">
        <f>I21</f>
        <v>0</v>
      </c>
      <c r="T21" s="162">
        <f>J21+T$2/5</f>
        <v>6</v>
      </c>
      <c r="U21" s="162">
        <f>K21+U$2/4</f>
        <v>22</v>
      </c>
      <c r="V21" s="162">
        <f>L21</f>
        <v>2</v>
      </c>
      <c r="W21" s="162">
        <f>M21</f>
        <v>3</v>
      </c>
      <c r="X21" s="162">
        <f>N21+X$2/4</f>
        <v>10.25</v>
      </c>
      <c r="Y21" s="162">
        <f>O21+Y$2/1</f>
        <v>17.25</v>
      </c>
      <c r="Z21" s="131">
        <f>S21-I21</f>
        <v>0</v>
      </c>
      <c r="AA21" s="131">
        <f>T21-J21</f>
        <v>0</v>
      </c>
      <c r="AB21" s="131">
        <f>U21-K21</f>
        <v>10</v>
      </c>
      <c r="AC21" s="131">
        <f>V21-L21</f>
        <v>0</v>
      </c>
      <c r="AD21" s="131">
        <f>W21-M21</f>
        <v>0</v>
      </c>
      <c r="AE21" s="131">
        <f>X21-N21</f>
        <v>4.25</v>
      </c>
      <c r="AF21" s="131">
        <f>Y21-O21</f>
        <v>0</v>
      </c>
      <c r="AH21" s="133" t="s">
        <v>610</v>
      </c>
      <c r="AI21" s="9"/>
      <c r="AJ21" s="134" t="n">
        <v>0</v>
      </c>
      <c r="AK21" s="134" t="n">
        <v>0</v>
      </c>
      <c r="AL21" s="134" t="n">
        <v>0</v>
      </c>
      <c r="AM21" s="135" t="n">
        <v>0</v>
      </c>
      <c r="AN21" s="135" t="n">
        <v>0</v>
      </c>
      <c r="AO21" s="135">
        <f>AC8*0.588</f>
        <v>0</v>
      </c>
      <c r="AP21" s="135" t="n">
        <v>0</v>
      </c>
      <c r="AQ21" s="137">
        <f>AQ5</f>
        <v>0.141666666666667007</v>
      </c>
      <c r="AR21" s="137">
        <f>AR5</f>
        <v>0</v>
      </c>
      <c r="AS21" s="137">
        <f>AS5</f>
        <v>3</v>
      </c>
      <c r="AT21" s="137">
        <f>AT5</f>
        <v>0</v>
      </c>
    </row>
    <row r="22" spans="1:46" s="70" customFormat="1">
      <c r="A22" s="9" t="str">
        <f>Plantilla!A10</f>
        <v>#2</v>
      </c>
      <c r="B22" s="9" t="str">
        <f>Plantilla!B10</f>
        <v>DEF</v>
      </c>
      <c r="C22" s="81" t="str">
        <f>Plantilla!D10</f>
        <v>L. Tutorić</v>
      </c>
      <c r="D22" s="59">
        <f>Plantilla!E10</f>
        <v>29</v>
      </c>
      <c r="E22" s="60">
        <f>Plantilla!F10</f>
        <v>16</v>
      </c>
      <c r="F22" s="75" t="str">
        <f>Plantilla!G10</f>
        <v>CAB</v>
      </c>
      <c r="G22" s="250">
        <f>Plantilla!H10</f>
        <v>3</v>
      </c>
      <c r="H22" s="61">
        <f>Plantilla!I10</f>
        <v>5.79999999999999982</v>
      </c>
      <c r="I22" s="147">
        <f>Plantilla!X10</f>
        <v>0</v>
      </c>
      <c r="J22" s="147">
        <f>Plantilla!Y10</f>
        <v>13</v>
      </c>
      <c r="K22" s="147">
        <f>Plantilla!Z10</f>
        <v>6</v>
      </c>
      <c r="L22" s="147">
        <f>Plantilla!AA10</f>
        <v>2</v>
      </c>
      <c r="M22" s="147">
        <f>Plantilla!AB10</f>
        <v>1</v>
      </c>
      <c r="N22" s="147">
        <f>Plantilla!AC10</f>
        <v>7</v>
      </c>
      <c r="O22" s="147">
        <f>Plantilla!AD10</f>
        <v>15.3333333333333002</v>
      </c>
      <c r="P22" s="74">
        <f>D22</f>
        <v>29</v>
      </c>
      <c r="Q22" s="126">
        <f>E22+7</f>
        <v>23</v>
      </c>
      <c r="R22" s="83">
        <f>H22+$R$2</f>
        <v>5.79999999999999982</v>
      </c>
      <c r="S22" s="162">
        <f>I22</f>
        <v>0</v>
      </c>
      <c r="T22" s="162">
        <f>J22+T$2/4</f>
        <v>13</v>
      </c>
      <c r="U22" s="162">
        <f>K22+U$2/4</f>
        <v>16</v>
      </c>
      <c r="V22" s="162">
        <f>L22</f>
        <v>2</v>
      </c>
      <c r="W22" s="162">
        <f>M22</f>
        <v>1</v>
      </c>
      <c r="X22" s="162">
        <f>N22+X$2/6</f>
        <v>9.83333333333333037</v>
      </c>
      <c r="Y22" s="162">
        <f>O22+Y$2/1</f>
        <v>15.3333333333333002</v>
      </c>
      <c r="Z22" s="131">
        <f>S22-I22</f>
        <v>0</v>
      </c>
      <c r="AA22" s="131">
        <f>T22-J22</f>
        <v>0</v>
      </c>
      <c r="AB22" s="131">
        <f>U22-K22</f>
        <v>10</v>
      </c>
      <c r="AC22" s="131">
        <f>V22-L22</f>
        <v>0</v>
      </c>
      <c r="AD22" s="131">
        <f>W22-M22</f>
        <v>0</v>
      </c>
      <c r="AE22" s="131">
        <f>X22-N22</f>
        <v>2.83333333333333002</v>
      </c>
      <c r="AF22" s="131">
        <f>Y22-O22</f>
        <v>0</v>
      </c>
      <c r="AH22" s="133" t="s">
        <v>610</v>
      </c>
      <c r="AI22" s="90"/>
      <c r="AJ22" s="134" t="n">
        <v>0</v>
      </c>
      <c r="AK22" s="134" t="n">
        <v>0</v>
      </c>
      <c r="AL22" s="134" t="n">
        <v>0</v>
      </c>
      <c r="AM22" s="134" t="n">
        <v>0</v>
      </c>
      <c r="AN22" s="134" t="e">
        <f>AN8</f>
        <v>#REF!</v>
      </c>
      <c r="AO22" s="134">
        <f>AO8</f>
        <v>0</v>
      </c>
      <c r="AP22" s="134" t="e">
        <f>AP8</f>
        <v>#REF!</v>
      </c>
      <c r="AQ22" s="136" t="e">
        <f>AQ8</f>
        <v>#REF!</v>
      </c>
      <c r="AR22" s="136" t="e">
        <f>AR8</f>
        <v>#REF!</v>
      </c>
      <c r="AS22" s="136">
        <f>AS8</f>
        <v>0</v>
      </c>
      <c r="AT22" s="136">
        <f>AT8</f>
        <v>0</v>
      </c>
    </row>
    <row r="23" spans="1:46" s="4" customFormat="1">
      <c r="A23" s="9" t="str">
        <f>Plantilla!A22</f>
        <v>#11</v>
      </c>
      <c r="B23" s="9" t="str">
        <f>Plantilla!B22</f>
        <v>MED</v>
      </c>
      <c r="C23" s="81" t="str">
        <f>Plantilla!D22</f>
        <v>J-P. Kechele</v>
      </c>
      <c r="D23" s="59">
        <f>Plantilla!E22</f>
        <v>29</v>
      </c>
      <c r="E23" s="60">
        <f>Plantilla!F22</f>
        <v>107</v>
      </c>
      <c r="F23" s="75" t="str">
        <f>Plantilla!G22</f>
        <v>CAB</v>
      </c>
      <c r="G23" s="250">
        <f>Plantilla!H22</f>
        <v>5</v>
      </c>
      <c r="H23" s="61">
        <f>Plantilla!I22</f>
        <v>7.59999999999999964</v>
      </c>
      <c r="I23" s="147">
        <f>Plantilla!X22</f>
        <v>0</v>
      </c>
      <c r="J23" s="147">
        <f>Plantilla!Y22</f>
        <v>4</v>
      </c>
      <c r="K23" s="147">
        <f>Plantilla!Z22</f>
        <v>14</v>
      </c>
      <c r="L23" s="147">
        <f>Plantilla!AA22</f>
        <v>4</v>
      </c>
      <c r="M23" s="147">
        <f>Plantilla!AB22</f>
        <v>9</v>
      </c>
      <c r="N23" s="147">
        <f>Plantilla!AC22</f>
        <v>8</v>
      </c>
      <c r="O23" s="147">
        <f>Plantilla!AD22</f>
        <v>19.25</v>
      </c>
      <c r="P23" s="74">
        <f>D23</f>
        <v>29</v>
      </c>
      <c r="Q23" s="126">
        <f>E23+7</f>
        <v>114</v>
      </c>
      <c r="R23" s="83">
        <f>H23+$R$2</f>
        <v>7.59999999999999964</v>
      </c>
      <c r="S23" s="162">
        <f>I23</f>
        <v>0</v>
      </c>
      <c r="T23" s="162">
        <f>J23</f>
        <v>4</v>
      </c>
      <c r="U23" s="162">
        <f>K23</f>
        <v>14</v>
      </c>
      <c r="V23" s="162">
        <f>L23</f>
        <v>4</v>
      </c>
      <c r="W23" s="162">
        <f>M23</f>
        <v>9</v>
      </c>
      <c r="X23" s="162">
        <f>N23</f>
        <v>8</v>
      </c>
      <c r="Y23" s="162">
        <f>O23</f>
        <v>19.25</v>
      </c>
      <c r="Z23" s="131">
        <f>S23-I23</f>
        <v>0</v>
      </c>
      <c r="AA23" s="131">
        <f>T23-J23</f>
        <v>0</v>
      </c>
      <c r="AB23" s="131">
        <f>U23-K23</f>
        <v>0</v>
      </c>
      <c r="AC23" s="131">
        <f>V23-L23</f>
        <v>0</v>
      </c>
      <c r="AD23" s="131">
        <f>W23-M23</f>
        <v>0</v>
      </c>
      <c r="AE23" s="131">
        <f>X23-N23</f>
        <v>0</v>
      </c>
      <c r="AF23" s="131">
        <f>Y23-O23</f>
        <v>0</v>
      </c>
      <c r="AH23" s="132" t="s">
        <v>197</v>
      </c>
      <c r="AI23" s="9"/>
      <c r="AJ23" s="134" t="n">
        <v>0</v>
      </c>
      <c r="AK23" s="134" t="n">
        <v>0</v>
      </c>
      <c r="AL23" s="134" t="n">
        <v>0</v>
      </c>
      <c r="AM23" s="135" t="n">
        <v>0</v>
      </c>
      <c r="AN23" s="135">
        <f>AN9</f>
        <v>0</v>
      </c>
      <c r="AO23" s="135">
        <f>AO9</f>
        <v>0</v>
      </c>
      <c r="AP23" s="135">
        <f>AP9</f>
        <v>0</v>
      </c>
      <c r="AQ23" s="137">
        <f>AQ9</f>
        <v>0.170000000000000018</v>
      </c>
      <c r="AR23" s="137">
        <f>AR9</f>
        <v>0</v>
      </c>
      <c r="AS23" s="137">
        <f>AS9</f>
        <v>0</v>
      </c>
      <c r="AT23" s="137">
        <f>AT9</f>
        <v>0</v>
      </c>
    </row>
    <row r="24" spans="1:46" s="4" customFormat="1">
      <c r="A24" s="9" t="str">
        <f>Plantilla!A23</f>
        <v>#29</v>
      </c>
      <c r="B24" s="9" t="str">
        <f>Plantilla!B23</f>
        <v>DAV</v>
      </c>
      <c r="C24" s="81" t="str">
        <f>Plantilla!D23</f>
        <v>S. Zobbe</v>
      </c>
      <c r="D24" s="59">
        <f>Plantilla!E23</f>
        <v>35</v>
      </c>
      <c r="E24" s="60">
        <f>Plantilla!F23</f>
        <v>109</v>
      </c>
      <c r="F24" s="75" t="str">
        <f>Plantilla!G23</f>
        <v>CAB</v>
      </c>
      <c r="G24" s="250">
        <f>Plantilla!H23</f>
        <v>2</v>
      </c>
      <c r="H24" s="61">
        <f>Plantilla!I23</f>
        <v>15</v>
      </c>
      <c r="I24" s="147">
        <f>Plantilla!X23</f>
        <v>0</v>
      </c>
      <c r="J24" s="147">
        <f>Plantilla!Y23</f>
        <v>7.95000000000000018</v>
      </c>
      <c r="K24" s="147">
        <f>Plantilla!Z23</f>
        <v>11.9499999999999993</v>
      </c>
      <c r="L24" s="147">
        <f>Plantilla!AA23</f>
        <v>11.9499999999999993</v>
      </c>
      <c r="M24" s="147">
        <f>Plantilla!AB23</f>
        <v>9.94999999999999929</v>
      </c>
      <c r="N24" s="147">
        <f>Plantilla!AC23</f>
        <v>4.95000000000000018</v>
      </c>
      <c r="O24" s="147">
        <f>Plantilla!AD23</f>
        <v>18</v>
      </c>
      <c r="P24" s="74">
        <f>D24</f>
        <v>35</v>
      </c>
      <c r="Q24" s="126">
        <f>E24+7</f>
        <v>116</v>
      </c>
      <c r="R24" s="83">
        <f>H24+$R$2</f>
        <v>15</v>
      </c>
      <c r="S24" s="162">
        <f>I24</f>
        <v>0</v>
      </c>
      <c r="T24" s="162">
        <f>J24</f>
        <v>7.95000000000000018</v>
      </c>
      <c r="U24" s="162">
        <f>K24</f>
        <v>11.9499999999999993</v>
      </c>
      <c r="V24" s="162">
        <f>L24</f>
        <v>11.9499999999999993</v>
      </c>
      <c r="W24" s="162">
        <f>M24</f>
        <v>9.94999999999999929</v>
      </c>
      <c r="X24" s="162">
        <f>N24</f>
        <v>4.95000000000000018</v>
      </c>
      <c r="Y24" s="162">
        <f>O24</f>
        <v>18</v>
      </c>
      <c r="Z24" s="131">
        <f>S24-I24</f>
        <v>0</v>
      </c>
      <c r="AA24" s="131">
        <f>T24-J24</f>
        <v>0</v>
      </c>
      <c r="AB24" s="131">
        <f>U24-K24</f>
        <v>0</v>
      </c>
      <c r="AC24" s="131">
        <f>V24-L24</f>
        <v>0</v>
      </c>
      <c r="AD24" s="131">
        <f>W24-M24</f>
        <v>0</v>
      </c>
      <c r="AE24" s="131">
        <f>X24-N24</f>
        <v>0</v>
      </c>
      <c r="AF24" s="131">
        <f>Y24-O24</f>
        <v>0</v>
      </c>
      <c r="AH24" s="133" t="s">
        <v>135</v>
      </c>
      <c r="AI24" s="9" t="str">
        <f>AI9</f>
        <v>G. Piscaer</v>
      </c>
      <c r="AJ24" s="135">
        <f>AJ9</f>
        <v>0</v>
      </c>
      <c r="AK24" s="135">
        <f>AK9</f>
        <v>0</v>
      </c>
      <c r="AL24" s="135">
        <f>AL9</f>
        <v>0</v>
      </c>
      <c r="AM24" s="135">
        <f>AM9</f>
        <v>8</v>
      </c>
      <c r="AN24" s="135">
        <f>AN10</f>
        <v>0</v>
      </c>
      <c r="AO24" s="135">
        <f>AO10</f>
        <v>0</v>
      </c>
      <c r="AP24" s="135">
        <f>AP10</f>
        <v>1.05400000000000005</v>
      </c>
      <c r="AQ24" s="137">
        <f>AQ10</f>
        <v>0.170000000000000018</v>
      </c>
      <c r="AR24" s="137">
        <f>AR10</f>
        <v>0</v>
      </c>
      <c r="AS24" s="137">
        <f>AS10</f>
        <v>0</v>
      </c>
      <c r="AT24" s="137">
        <f>AT10</f>
        <v>0</v>
      </c>
    </row>
    <row r="25" spans="1:46" s="0" customFormat="1">
      <c r="A25" s="9" t="str">
        <f>Plantilla!A6</f>
        <v>#40</v>
      </c>
      <c r="B25" s="9" t="str">
        <f>Plantilla!B6</f>
        <v>DEF</v>
      </c>
      <c r="C25" s="81" t="str">
        <f>Plantilla!D6</f>
        <v>E. Toney</v>
      </c>
      <c r="D25" s="59">
        <f>Plantilla!E6</f>
        <v>39</v>
      </c>
      <c r="E25" s="60">
        <f>Plantilla!F6</f>
        <v>73</v>
      </c>
      <c r="F25" s="75"/>
      <c r="G25" s="250">
        <f>Plantilla!H6</f>
        <v>4</v>
      </c>
      <c r="H25" s="61">
        <f>Plantilla!I6</f>
        <v>19.1000000000000014</v>
      </c>
      <c r="I25" s="147">
        <f>Plantilla!X6</f>
        <v>0</v>
      </c>
      <c r="J25" s="147">
        <f>Plantilla!Y6</f>
        <v>8.94999999999999929</v>
      </c>
      <c r="K25" s="147">
        <f>Plantilla!Z6</f>
        <v>8.94999999999999929</v>
      </c>
      <c r="L25" s="147">
        <f>Plantilla!AA6</f>
        <v>4.95000000000000018</v>
      </c>
      <c r="M25" s="147">
        <f>Plantilla!AB6</f>
        <v>4.95000000000000018</v>
      </c>
      <c r="N25" s="147">
        <f>Plantilla!AC6</f>
        <v>0</v>
      </c>
      <c r="O25" s="147">
        <f>Plantilla!AD6</f>
        <v>15</v>
      </c>
      <c r="P25" s="74">
        <f>D25</f>
        <v>39</v>
      </c>
      <c r="Q25" s="126">
        <f>E25+7</f>
        <v>80</v>
      </c>
      <c r="R25" s="83">
        <f>H25+$R$2</f>
        <v>19.1000000000000014</v>
      </c>
      <c r="S25" s="162">
        <f>I25</f>
        <v>0</v>
      </c>
      <c r="T25" s="162">
        <f>J25</f>
        <v>8.94999999999999929</v>
      </c>
      <c r="U25" s="162">
        <f>K25</f>
        <v>8.94999999999999929</v>
      </c>
      <c r="V25" s="162">
        <f>L25</f>
        <v>4.95000000000000018</v>
      </c>
      <c r="W25" s="162">
        <f>M25</f>
        <v>4.95000000000000018</v>
      </c>
      <c r="X25" s="162">
        <f>N25</f>
        <v>0</v>
      </c>
      <c r="Y25" s="162">
        <f>O25</f>
        <v>15</v>
      </c>
      <c r="Z25" s="131">
        <f>S25-I25</f>
        <v>0</v>
      </c>
      <c r="AA25" s="131">
        <f>T25-J25</f>
        <v>0</v>
      </c>
      <c r="AB25" s="131">
        <f>U25-K25</f>
        <v>0</v>
      </c>
      <c r="AC25" s="131">
        <f>V25-L25</f>
        <v>0</v>
      </c>
      <c r="AD25" s="131">
        <f>W25-M25</f>
        <v>0</v>
      </c>
      <c r="AE25" s="131">
        <f>X25-N25</f>
        <v>0</v>
      </c>
      <c r="AF25" s="131">
        <f>Y25-O25</f>
        <v>0</v>
      </c>
      <c r="AH25" s="133" t="s">
        <v>611</v>
      </c>
      <c r="AI25" s="9" t="str">
        <f>AI10</f>
        <v>R. Forsyth</v>
      </c>
      <c r="AJ25" s="135">
        <f>AJ10</f>
        <v>0</v>
      </c>
      <c r="AK25" s="135">
        <f>AK10</f>
        <v>0</v>
      </c>
      <c r="AL25" s="135">
        <f>AL10</f>
        <v>0</v>
      </c>
      <c r="AM25" s="135">
        <f>AM10</f>
        <v>7.5519999999999996</v>
      </c>
      <c r="AN25" s="135">
        <f>AN11</f>
        <v>0</v>
      </c>
      <c r="AO25" s="135">
        <f>AO11</f>
        <v>0</v>
      </c>
      <c r="AP25" s="135">
        <f>AP11</f>
        <v>0</v>
      </c>
      <c r="AQ25" s="137">
        <f>AQ11</f>
        <v>0.141666666666665009</v>
      </c>
      <c r="AR25" s="137">
        <f>AR11</f>
        <v>0</v>
      </c>
      <c r="AS25" s="137">
        <f>AS11</f>
        <v>0</v>
      </c>
      <c r="AT25" s="137">
        <f>AT11</f>
        <v>0</v>
      </c>
    </row>
    <row r="26" spans="1:46" s="4" customFormat="1" ht="14.25" customHeight="1">
      <c r="A26" s="9" t="e">
        <f>#REF!</f>
        <v>#REF!</v>
      </c>
      <c r="B26" s="9" t="e">
        <f>#REF!</f>
        <v>#REF!</v>
      </c>
      <c r="C26" s="81" t="e">
        <f>#REF!</f>
        <v>#REF!</v>
      </c>
      <c r="D26" s="59" t="e">
        <f>#REF!</f>
        <v>#REF!</v>
      </c>
      <c r="E26" s="60" t="e">
        <f>#REF!</f>
        <v>#REF!</v>
      </c>
      <c r="F26" s="75" t="e">
        <f>#REF!</f>
        <v>#REF!</v>
      </c>
      <c r="G26" s="250" t="e">
        <f>#REF!</f>
        <v>#REF!</v>
      </c>
      <c r="H26" s="61" t="e">
        <f>#REF!</f>
        <v>#REF!</v>
      </c>
      <c r="I26" s="147" t="e">
        <f>#REF!</f>
        <v>#REF!</v>
      </c>
      <c r="J26" s="147" t="e">
        <f>#REF!</f>
        <v>#REF!</v>
      </c>
      <c r="K26" s="147" t="e">
        <f>#REF!</f>
        <v>#REF!</v>
      </c>
      <c r="L26" s="147" t="e">
        <f>#REF!</f>
        <v>#REF!</v>
      </c>
      <c r="M26" s="147" t="e">
        <f>#REF!</f>
        <v>#REF!</v>
      </c>
      <c r="N26" s="147" t="e">
        <f>#REF!</f>
        <v>#REF!</v>
      </c>
      <c r="O26" s="147" t="e">
        <f>#REF!</f>
        <v>#REF!</v>
      </c>
      <c r="P26" s="74" t="e">
        <f>D26</f>
        <v>#REF!</v>
      </c>
      <c r="Q26" s="126" t="e">
        <f>E26+7</f>
        <v>#REF!</v>
      </c>
      <c r="R26" s="83" t="e">
        <f>H26+$R$2</f>
        <v>#REF!</v>
      </c>
      <c r="S26" s="162" t="e">
        <f>I26</f>
        <v>#REF!</v>
      </c>
      <c r="T26" s="162" t="e">
        <f>J26</f>
        <v>#REF!</v>
      </c>
      <c r="U26" s="162" t="e">
        <f>K26</f>
        <v>#REF!</v>
      </c>
      <c r="V26" s="162" t="e">
        <f>L26</f>
        <v>#REF!</v>
      </c>
      <c r="W26" s="162" t="e">
        <f>M26</f>
        <v>#REF!</v>
      </c>
      <c r="X26" s="162" t="e">
        <f>N26</f>
        <v>#REF!</v>
      </c>
      <c r="Y26" s="162" t="e">
        <f>O26</f>
        <v>#REF!</v>
      </c>
      <c r="Z26" s="131" t="e">
        <f>S26-I26</f>
        <v>#REF!</v>
      </c>
      <c r="AA26" s="131" t="e">
        <f>T26-J26</f>
        <v>#REF!</v>
      </c>
      <c r="AB26" s="131" t="e">
        <f>U26-K26</f>
        <v>#REF!</v>
      </c>
      <c r="AC26" s="131" t="e">
        <f>V26-L26</f>
        <v>#REF!</v>
      </c>
      <c r="AD26" s="131" t="e">
        <f>W26-M26</f>
        <v>#REF!</v>
      </c>
      <c r="AE26" s="131" t="e">
        <f>X26-N26</f>
        <v>#REF!</v>
      </c>
      <c r="AF26" s="131" t="e">
        <f>Y26-O26</f>
        <v>#REF!</v>
      </c>
      <c r="AH26" s="133" t="s">
        <v>135</v>
      </c>
      <c r="AI26" s="9" t="str">
        <f>AI11</f>
        <v>I. Vanags</v>
      </c>
      <c r="AJ26" s="135">
        <f>AJ11</f>
        <v>0</v>
      </c>
      <c r="AK26" s="135">
        <f>AK11</f>
        <v>0</v>
      </c>
      <c r="AL26" s="135">
        <f>AL11</f>
        <v>0</v>
      </c>
      <c r="AM26" s="135">
        <f>AM11</f>
        <v>8</v>
      </c>
      <c r="AN26" s="135">
        <f>AN12</f>
        <v>0</v>
      </c>
      <c r="AO26" s="135" t="e">
        <f>AO12</f>
        <v>#REF!</v>
      </c>
      <c r="AP26" s="135" t="e">
        <f>AP12</f>
        <v>#REF!</v>
      </c>
      <c r="AQ26" s="137" t="e">
        <f>AQ12</f>
        <v>#REF!</v>
      </c>
      <c r="AR26" s="137" t="e">
        <f>AR12</f>
        <v>#REF!</v>
      </c>
      <c r="AS26" s="137">
        <f>AS12</f>
        <v>0</v>
      </c>
      <c r="AT26" s="137">
        <f>AT12</f>
        <v>0</v>
      </c>
    </row>
    <row r="27" spans="1:46">
      <c r="A27" s="9" t="str">
        <f>Plantilla!A24</f>
        <v>#28</v>
      </c>
      <c r="B27" s="9" t="str">
        <f>Plantilla!B24</f>
        <v>DAV</v>
      </c>
      <c r="C27" s="81" t="str">
        <f>Plantilla!D24</f>
        <v>P .Trivadi</v>
      </c>
      <c r="D27" s="59">
        <f>Plantilla!E24</f>
        <v>35</v>
      </c>
      <c r="E27" s="60">
        <f>Plantilla!F24</f>
        <v>65</v>
      </c>
      <c r="F27" s="75"/>
      <c r="G27" s="250">
        <f>Plantilla!H24</f>
        <v>5</v>
      </c>
      <c r="H27" s="61">
        <f>Plantilla!I24</f>
        <v>6.29999999999999982</v>
      </c>
      <c r="I27" s="147">
        <f>Plantilla!X24</f>
        <v>0</v>
      </c>
      <c r="J27" s="147">
        <f>Plantilla!Y24</f>
        <v>3.95000000000000018</v>
      </c>
      <c r="K27" s="147">
        <f>Plantilla!Z24</f>
        <v>5.95000000000000018</v>
      </c>
      <c r="L27" s="147">
        <f>Plantilla!AA24</f>
        <v>4.95000000000000018</v>
      </c>
      <c r="M27" s="147">
        <f>Plantilla!AB24</f>
        <v>9.94999999999999929</v>
      </c>
      <c r="N27" s="147">
        <f>Plantilla!AC24</f>
        <v>6.95000000000000018</v>
      </c>
      <c r="O27" s="147">
        <f>Plantilla!AD24</f>
        <v>15</v>
      </c>
      <c r="P27" s="74">
        <f>D27</f>
        <v>35</v>
      </c>
      <c r="Q27" s="126">
        <f>E27+7</f>
        <v>72</v>
      </c>
      <c r="R27" s="83">
        <f>H27+$R$2</f>
        <v>6.29999999999999982</v>
      </c>
      <c r="S27" s="162">
        <f>I27</f>
        <v>0</v>
      </c>
      <c r="T27" s="162">
        <f>J27</f>
        <v>3.95000000000000018</v>
      </c>
      <c r="U27" s="162">
        <f>K27</f>
        <v>5.95000000000000018</v>
      </c>
      <c r="V27" s="162">
        <f>L27</f>
        <v>4.95000000000000018</v>
      </c>
      <c r="W27" s="162">
        <f>M27</f>
        <v>9.94999999999999929</v>
      </c>
      <c r="X27" s="162">
        <f>N27</f>
        <v>6.95000000000000018</v>
      </c>
      <c r="Y27" s="162">
        <f>O27</f>
        <v>15</v>
      </c>
      <c r="Z27" s="131">
        <f>S27-I27</f>
        <v>0</v>
      </c>
      <c r="AA27" s="131">
        <f>T27-J27</f>
        <v>0</v>
      </c>
      <c r="AB27" s="131">
        <f>U27-K27</f>
        <v>0</v>
      </c>
      <c r="AC27" s="131">
        <f>V27-L27</f>
        <v>0</v>
      </c>
      <c r="AD27" s="131">
        <f>W27-M27</f>
        <v>0</v>
      </c>
      <c r="AE27" s="131">
        <f>X27-N27</f>
        <v>0</v>
      </c>
      <c r="AF27" s="131">
        <f>Y27-O27</f>
        <v>0</v>
      </c>
      <c r="AH27" s="133" t="s">
        <v>612</v>
      </c>
      <c r="AI27" s="9" t="str">
        <f>AI12</f>
        <v>I. Stone</v>
      </c>
      <c r="AJ27" s="135">
        <f>AJ12</f>
        <v>0</v>
      </c>
      <c r="AK27" s="135">
        <f>AK12</f>
        <v>0</v>
      </c>
      <c r="AL27" s="135">
        <f>AL12</f>
        <v>0</v>
      </c>
      <c r="AM27" s="135">
        <f>AM12</f>
        <v>6.30999999999999961</v>
      </c>
      <c r="AN27" s="134">
        <f>AN13</f>
        <v>0.883999999999999986</v>
      </c>
      <c r="AO27" s="134">
        <f>AO13</f>
        <v>0.883999999999999986</v>
      </c>
      <c r="AP27" s="134">
        <f>AP13</f>
        <v>3.39999999999999991</v>
      </c>
      <c r="AQ27" s="184">
        <f>AQ13</f>
        <v>0.170000000000000018</v>
      </c>
      <c r="AR27" s="184">
        <f>AR13</f>
        <v>0</v>
      </c>
      <c r="AS27" s="136">
        <f>AS13</f>
        <v>0</v>
      </c>
      <c r="AT27" s="136">
        <f>AT13</f>
        <v>0</v>
      </c>
    </row>
    <row r="28" spans="1:46">
      <c r="A28" s="9"/>
      <c r="B28" s="9"/>
      <c r="C28" s="81"/>
      <c r="D28" s="59"/>
      <c r="E28" s="60"/>
      <c r="F28" s="75"/>
      <c r="G28" s="250"/>
      <c r="H28" s="61"/>
      <c r="I28" s="147"/>
      <c r="J28" s="147"/>
      <c r="K28" s="147"/>
      <c r="L28" s="147"/>
      <c r="M28" s="147"/>
      <c r="N28" s="147"/>
      <c r="O28" s="147"/>
      <c r="P28" s="74"/>
      <c r="Q28" s="126"/>
      <c r="R28" s="83"/>
      <c r="S28" s="162"/>
      <c r="T28" s="162"/>
      <c r="U28" s="162"/>
      <c r="V28" s="162"/>
      <c r="W28" s="162"/>
      <c r="X28" s="162"/>
      <c r="Y28" s="162"/>
      <c r="Z28" s="131"/>
      <c r="AA28" s="131"/>
      <c r="AB28" s="131"/>
      <c r="AC28" s="131"/>
      <c r="AD28" s="131"/>
      <c r="AE28" s="131"/>
      <c r="AF28" s="131"/>
      <c r="AH28" s="133" t="s">
        <v>612</v>
      </c>
      <c r="AI28" s="9" t="str">
        <f>AI13</f>
        <v>M. Bondarewski</v>
      </c>
      <c r="AJ28" s="135">
        <f>AJ13</f>
        <v>0</v>
      </c>
      <c r="AK28" s="135">
        <f>AK13</f>
        <v>0</v>
      </c>
      <c r="AL28" s="135">
        <f>AL13</f>
        <v>0</v>
      </c>
      <c r="AM28" s="135">
        <f>AM13</f>
        <v>5.04800000000000004</v>
      </c>
      <c r="AN28" s="135" t="e">
        <f>AN14</f>
        <v>#REF!</v>
      </c>
      <c r="AO28" s="135" t="e">
        <f>AO14</f>
        <v>#REF!</v>
      </c>
      <c r="AP28" s="135" t="e">
        <f>AP14</f>
        <v>#REF!</v>
      </c>
      <c r="AQ28" s="136" t="e">
        <f>AQ14</f>
        <v>#REF!</v>
      </c>
      <c r="AR28" s="136" t="e">
        <f>AR14</f>
        <v>#REF!</v>
      </c>
      <c r="AS28" s="136">
        <f>AS14</f>
        <v>0</v>
      </c>
      <c r="AT28" s="136">
        <f>AT14</f>
        <v>0</v>
      </c>
    </row>
    <row r="29" spans="1:46">
      <c r="A29" s="9"/>
      <c r="B29" s="9"/>
      <c r="C29" s="81"/>
      <c r="D29" s="59"/>
      <c r="E29" s="60"/>
      <c r="F29" s="75"/>
      <c r="G29" s="250"/>
      <c r="H29" s="61"/>
      <c r="I29" s="147"/>
      <c r="J29" s="147"/>
      <c r="K29" s="147"/>
      <c r="L29" s="147"/>
      <c r="M29" s="147"/>
      <c r="N29" s="147"/>
      <c r="O29" s="147"/>
      <c r="P29" s="74"/>
      <c r="Q29" s="126"/>
      <c r="R29" s="83"/>
      <c r="S29" s="162"/>
      <c r="T29" s="162"/>
      <c r="U29" s="162"/>
      <c r="V29" s="162"/>
      <c r="W29" s="162"/>
      <c r="X29" s="162"/>
      <c r="Y29" s="162"/>
      <c r="Z29" s="131"/>
      <c r="AA29" s="131"/>
      <c r="AB29" s="131"/>
      <c r="AC29" s="131"/>
      <c r="AD29" s="131"/>
      <c r="AE29" s="131"/>
      <c r="AF29" s="131"/>
      <c r="AH29" s="7"/>
      <c r="AI29"/>
      <c r="AJ29"/>
      <c r="AK29"/>
      <c r="AL29"/>
      <c r="AM29"/>
      <c r="AN29"/>
      <c r="AO29"/>
      <c r="AP29"/>
      <c r="AQ29"/>
      <c r="AR29"/>
      <c r="AS29"/>
      <c r="AT29"/>
    </row>
    <row r="30" spans="19:25">
      <c r="S30" s="53"/>
      <c r="T30" s="53"/>
      <c r="U30" s="53"/>
      <c r="V30" s="53"/>
      <c r="W30" s="53"/>
      <c r="X30" s="53"/>
      <c r="Y30" s="53"/>
    </row>
    <row r="31" spans="19:25">
      <c r="S31" s="53"/>
      <c r="T31" s="53"/>
      <c r="U31" s="53"/>
      <c r="V31" s="53"/>
      <c r="W31" s="53"/>
      <c r="X31" s="53"/>
      <c r="Y31" s="53"/>
    </row>
    <row r="32" spans="19:25">
      <c r="S32" s="53"/>
      <c r="T32" s="53"/>
      <c r="U32" s="53"/>
      <c r="V32" s="53"/>
      <c r="W32" s="53"/>
      <c r="X32" s="53"/>
      <c r="Y32" s="53"/>
    </row>
    <row r="33" spans="19:25">
      <c r="S33" s="53"/>
      <c r="T33" s="53"/>
      <c r="U33" s="53"/>
      <c r="V33" s="53"/>
      <c r="W33" s="53"/>
      <c r="X33" s="53"/>
      <c r="Y33" s="53"/>
    </row>
  </sheetData>
  <mergeCells count="4">
    <mergeCell ref="AH1:AT1"/>
    <mergeCell ref="D2:F2"/>
    <mergeCell ref="AH3:AI3"/>
    <mergeCell ref="AH17:AI17"/>
  </mergeCells>
  <conditionalFormatting sqref="AJ18:AL23">
    <cfRule type="cellIs" dxfId="62" priority="1" operator="greaterThan">
      <formula>0</formula>
    </cfRule>
  </conditionalFormatting>
  <conditionalFormatting sqref="S4:Y12 S23:Y27">
    <cfRule type="colorScale" priority="2">
      <colorScale>
        <cfvo type="min"/>
        <cfvo type="max"/>
        <color rgb="FFFCFCFF"/>
        <color rgb="FFF8696B"/>
      </colorScale>
    </cfRule>
  </conditionalFormatting>
  <conditionalFormatting sqref="AJ16:AP16">
    <cfRule type="cellIs" dxfId="63" priority="3" operator="greaterThan">
      <formula>0</formula>
    </cfRule>
  </conditionalFormatting>
  <conditionalFormatting sqref="AJ2:AP2">
    <cfRule type="cellIs" dxfId="64" priority="4" operator="greaterThan">
      <formula>0</formula>
    </cfRule>
  </conditionalFormatting>
  <conditionalFormatting sqref="AO20">
    <cfRule type="cellIs" dxfId="65" priority="5" operator="greaterThan">
      <formula>0</formula>
    </cfRule>
  </conditionalFormatting>
  <conditionalFormatting sqref="AN28:AP28">
    <cfRule type="cellIs" dxfId="66" priority="6" operator="greaterThan">
      <formula>0</formula>
    </cfRule>
  </conditionalFormatting>
  <conditionalFormatting sqref="AM14:AP14">
    <cfRule type="cellIs" dxfId="67" priority="7" operator="greaterThan">
      <formula>0</formula>
    </cfRule>
  </conditionalFormatting>
  <conditionalFormatting sqref="AN27:AP27">
    <cfRule type="cellIs" dxfId="68" priority="8" operator="greaterThan">
      <formula>0</formula>
    </cfRule>
  </conditionalFormatting>
  <conditionalFormatting sqref="AN26:AP26">
    <cfRule type="cellIs" dxfId="69" priority="9" operator="greaterThan">
      <formula>0</formula>
    </cfRule>
  </conditionalFormatting>
  <conditionalFormatting sqref="AN25:AP25">
    <cfRule type="cellIs" dxfId="70" priority="10" operator="greaterThan">
      <formula>0</formula>
    </cfRule>
  </conditionalFormatting>
  <conditionalFormatting sqref="AM23:AP23">
    <cfRule type="cellIs" dxfId="71" priority="11" operator="greaterThan">
      <formula>0</formula>
    </cfRule>
  </conditionalFormatting>
  <conditionalFormatting sqref="AM18:AP18">
    <cfRule type="cellIs" dxfId="72" priority="12" operator="greaterThan">
      <formula>0</formula>
    </cfRule>
  </conditionalFormatting>
  <conditionalFormatting sqref="AM19:AP19 AM20:AN20 AP20 AM21:AP22 AJ24:AP24 AJ25:AM28">
    <cfRule type="cellIs" dxfId="73" priority="13" operator="greaterThan">
      <formula>0</formula>
    </cfRule>
  </conditionalFormatting>
  <conditionalFormatting sqref="AJ4:AP13 AJ14:AL14">
    <cfRule type="cellIs" dxfId="74" priority="14" operator="greaterThan">
      <formula>0</formula>
    </cfRule>
  </conditionalFormatting>
  <conditionalFormatting sqref="Z4:AF29">
    <cfRule type="cellIs" dxfId="75" priority="15" operator="greaterThan">
      <formula>0</formula>
    </cfRule>
  </conditionalFormatting>
  <conditionalFormatting sqref="I4:O29">
    <cfRule type="cellIs" dxfId="76" priority="16" operator="greaterThan">
      <formula>8</formula>
    </cfRule>
  </conditionalFormatting>
  <conditionalFormatting sqref="I4:O29">
    <cfRule type="colorScale" priority="17">
      <colorScale>
        <cfvo type="min"/>
        <cfvo type="max"/>
        <color rgb="FFFFEF9C"/>
        <color rgb="FFFF7128"/>
      </colorScale>
    </cfRule>
  </conditionalFormatting>
  <conditionalFormatting sqref="S13:Y22 S28:Y29">
    <cfRule type="colorScale" priority="18">
      <colorScale>
        <cfvo type="min"/>
        <cfvo type="max"/>
        <color rgb="FFFFEF9C"/>
        <color rgb="FF63BE7B"/>
      </colorScale>
    </cfRule>
  </conditionalFormatting>
  <conditionalFormatting sqref="H4:H2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>
    <extLst>
      <ext uri="smNativeData">
        <pm:pageFlags xmlns:pm="smNativeData" id="1595601780" printRowHead="0" printColHead="0" printHeadLine="0" printFootLine="0" autoHeightHeader="0" autoHeightFooter="0" fitToPageBoth="0"/>
      </ext>
    </extLst>
  </printOptions>
  <pageMargins left="0.708333" right="0.708333" top="0.747917" bottom="0.747917" header="0.315278" footer="0.315278"/>
  <pageSetup paperSize="9" scale="55" fitToWidth="0" fitToHeight="1" orientation="landscape"/>
  <headerFooter>
    <extLst>
      <ext uri="smNativeData">
        <pm:header xmlns:pm="smNativeData" id="1595601780" l="56" r="56" t="56" b="56" borderId="0" fillId="0" vertical="0"/>
        <pm:footer xmlns:pm="smNativeData" id="1595601780" l="56" r="56" t="56" b="56" borderId="0" fillId="0" vertical="2"/>
      </ext>
    </extLst>
  </headerFooter>
  <legacyDrawing r:id="rId2"/>
  <extLst>
    <ext uri="smNativeData">
      <pm:sheetPrefs xmlns:pm="smNativeData" day="1595601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ABF8F"/>
  </sheetPr>
  <dimension ref="A1:AG34"/>
  <sheetViews>
    <sheetView view="normal" zoomScale="90" workbookViewId="0">
      <selection activeCell="G25" sqref="G25"/>
    </sheetView>
  </sheetViews>
  <sheetFormatPr baseColWidth="10" defaultColWidth="11.428571" defaultRowHeight="15.40"/>
  <cols>
    <col min="1" max="1" width="13.285714" customWidth="1" style="62"/>
    <col min="2" max="2" width="14.285714" customWidth="1" style="62"/>
    <col min="3" max="10" width="8.285714" customWidth="1" style="62"/>
    <col min="11" max="11" width="9.285714" customWidth="1" style="62"/>
    <col min="12" max="12" width="8.285714" customWidth="1" style="62"/>
    <col min="14" max="14" width="13.428571" customWidth="1"/>
    <col min="15" max="15" width="15.000000" customWidth="1"/>
    <col min="16" max="22" width="8.428571" customWidth="1"/>
    <col min="23" max="23" width="7.857143" customWidth="1"/>
    <col min="24" max="24" width="7.142857" customWidth="1"/>
    <col min="25" max="25" width="7.714286" customWidth="1" style="146"/>
    <col min="26" max="26" width="7.142857" customWidth="1"/>
    <col min="27" max="27" width="7.714286" customWidth="1"/>
    <col min="28" max="28" width="7.142857" customWidth="1"/>
    <col min="29" max="29" width="7.714286" customWidth="1"/>
    <col min="30" max="31" width="8.428571" customWidth="1"/>
    <col min="32" max="33" width="7.142857" customWidth="1"/>
  </cols>
  <sheetData>
    <row r="1" spans="2:33">
      <c r="B1" s="7" t="s">
        <v>613</v>
      </c>
      <c r="C1" s="191">
        <f>MAX(C3:C27)</f>
        <v>0.0765410207792209896</v>
      </c>
      <c r="D1" s="191">
        <f>MAX(D3:D27)</f>
        <v>0.0951670937062930022</v>
      </c>
      <c r="E1" s="191">
        <f>MAX(E3:E27)</f>
        <v>0.101148976923077005</v>
      </c>
      <c r="F1" s="191">
        <f>MAX(F3:F27)</f>
        <v>0.0525469686395980062</v>
      </c>
      <c r="G1" s="191">
        <f>MAX(G3:G27)</f>
        <v>0.0522398924731179992</v>
      </c>
      <c r="H1" s="191">
        <f>MAX(H3:H27)</f>
        <v>0.0801761904761900013</v>
      </c>
      <c r="I1" s="191">
        <f>MAX(I3:I27)</f>
        <v>0.0579617619047620014</v>
      </c>
      <c r="J1" s="191">
        <f>MAX(J3:J27)</f>
        <v>0</v>
      </c>
      <c r="K1" s="191">
        <f>MAX(K3:K27)</f>
        <v>0.0362226273726269987</v>
      </c>
      <c r="L1" s="191">
        <f>MAX(L3:L27)</f>
        <v>0.169642857142857011</v>
      </c>
      <c r="N1" s="62"/>
      <c r="O1" s="62"/>
      <c r="P1" s="163"/>
      <c r="Q1" s="163"/>
      <c r="R1" s="163"/>
      <c r="S1" s="163"/>
      <c r="T1" s="163"/>
      <c r="U1" s="163"/>
      <c r="V1" s="163"/>
      <c r="W1" s="163"/>
      <c r="X1" s="163"/>
      <c r="Y1" s="221"/>
      <c r="Z1" s="163"/>
      <c r="AA1" s="163"/>
      <c r="AB1" s="163"/>
      <c r="AC1" s="163"/>
      <c r="AD1" s="163"/>
      <c r="AE1" s="163"/>
      <c r="AF1" s="163"/>
      <c r="AG1" s="163"/>
    </row>
    <row r="2" spans="1:33">
      <c r="A2" s="216" t="s">
        <v>614</v>
      </c>
      <c r="B2" s="217" t="s">
        <v>615</v>
      </c>
      <c r="C2" s="99" t="s">
        <v>601</v>
      </c>
      <c r="D2" s="166" t="s">
        <v>602</v>
      </c>
      <c r="E2" s="166" t="s">
        <v>603</v>
      </c>
      <c r="F2" s="166" t="s">
        <v>604</v>
      </c>
      <c r="G2" s="166" t="s">
        <v>605</v>
      </c>
      <c r="H2" s="166" t="s">
        <v>606</v>
      </c>
      <c r="I2" s="166" t="s">
        <v>607</v>
      </c>
      <c r="J2" s="166" t="s">
        <v>608</v>
      </c>
      <c r="K2" s="166" t="s">
        <v>609</v>
      </c>
      <c r="L2" s="166" t="s">
        <v>496</v>
      </c>
      <c r="N2" s="216" t="s">
        <v>614</v>
      </c>
      <c r="O2" s="217" t="s">
        <v>615</v>
      </c>
      <c r="P2" s="99" t="s">
        <v>601</v>
      </c>
      <c r="Q2" s="166" t="s">
        <v>616</v>
      </c>
      <c r="R2" s="166" t="s">
        <v>602</v>
      </c>
      <c r="S2" s="166" t="s">
        <v>616</v>
      </c>
      <c r="T2" s="166" t="s">
        <v>603</v>
      </c>
      <c r="U2" s="166" t="s">
        <v>616</v>
      </c>
      <c r="V2" s="166" t="s">
        <v>604</v>
      </c>
      <c r="W2" s="166" t="s">
        <v>616</v>
      </c>
      <c r="X2" s="166" t="s">
        <v>605</v>
      </c>
      <c r="Y2" s="166" t="s">
        <v>616</v>
      </c>
      <c r="Z2" s="166" t="s">
        <v>606</v>
      </c>
      <c r="AA2" s="166" t="s">
        <v>616</v>
      </c>
      <c r="AB2" s="166" t="s">
        <v>607</v>
      </c>
      <c r="AC2" s="166" t="s">
        <v>616</v>
      </c>
      <c r="AD2" s="188" t="s">
        <v>608</v>
      </c>
      <c r="AE2" s="188" t="s">
        <v>616</v>
      </c>
      <c r="AF2" s="188" t="s">
        <v>609</v>
      </c>
      <c r="AG2" s="188" t="s">
        <v>616</v>
      </c>
    </row>
    <row r="3" spans="1:33">
      <c r="A3" s="165" t="s">
        <v>617</v>
      </c>
      <c r="B3" s="164" t="s">
        <v>618</v>
      </c>
      <c r="C3" s="174"/>
      <c r="D3" s="175"/>
      <c r="E3" s="175"/>
      <c r="F3" s="175"/>
      <c r="G3" s="175"/>
      <c r="H3" s="175"/>
      <c r="I3" s="175"/>
      <c r="J3" s="175"/>
      <c r="K3" s="175"/>
      <c r="L3" s="175"/>
      <c r="M3"/>
      <c r="N3" s="74" t="s">
        <v>617</v>
      </c>
      <c r="O3" s="164" t="s">
        <v>618</v>
      </c>
      <c r="P3" s="177">
        <f>C3/$C$4</f>
        <v>0</v>
      </c>
      <c r="Q3" s="229" t="e">
        <f>1/C3</f>
        <v>#DIV/0!</v>
      </c>
      <c r="R3" s="177">
        <f>D3/D1</f>
        <v>0</v>
      </c>
      <c r="S3" s="229" t="e">
        <f>1/D3</f>
        <v>#DIV/0!</v>
      </c>
      <c r="T3" s="177">
        <f>E3/E1</f>
        <v>0</v>
      </c>
      <c r="U3" s="229" t="e">
        <f>1/E3</f>
        <v>#DIV/0!</v>
      </c>
      <c r="V3" s="178"/>
      <c r="W3" s="178"/>
      <c r="X3" s="178"/>
      <c r="Y3" s="222"/>
      <c r="Z3" s="178"/>
      <c r="AA3" s="178"/>
      <c r="AB3" s="178"/>
      <c r="AC3" s="178"/>
      <c r="AD3" s="178"/>
      <c r="AE3" s="178"/>
      <c r="AF3" s="178">
        <f>K3/K1</f>
        <v>0</v>
      </c>
      <c r="AG3" s="222"/>
    </row>
    <row r="4" spans="1:33">
      <c r="A4" s="172" t="s">
        <v>619</v>
      </c>
      <c r="B4" s="172" t="s">
        <v>356</v>
      </c>
      <c r="C4" s="192" t="n">
        <v>0.059340247552447698</v>
      </c>
      <c r="D4" s="187" t="n">
        <v>0.0689995592407595026</v>
      </c>
      <c r="E4" s="187" t="n">
        <v>0.0755793720279720471</v>
      </c>
      <c r="F4" s="187"/>
      <c r="G4" s="187"/>
      <c r="H4" s="187"/>
      <c r="I4" s="187"/>
      <c r="J4" s="187" t="n">
        <v>0</v>
      </c>
      <c r="K4" s="187" t="n">
        <v>0.0362226273726274028</v>
      </c>
      <c r="L4" s="187"/>
      <c r="M4"/>
      <c r="N4" s="172" t="s">
        <v>619</v>
      </c>
      <c r="O4" s="172" t="s">
        <v>356</v>
      </c>
      <c r="P4" s="179">
        <f>C4/$C$1</f>
        <v>0.775273793690472957</v>
      </c>
      <c r="Q4" s="223">
        <f>1/C4</f>
        <v>16.8519687943018006</v>
      </c>
      <c r="R4" s="180">
        <f>D4/$D$1</f>
        <v>0.725035897951324948</v>
      </c>
      <c r="S4" s="223">
        <f>1/D4</f>
        <v>14.4928462008097991</v>
      </c>
      <c r="T4" s="180">
        <f>E4/$E$1</f>
        <v>0.747208467421767075</v>
      </c>
      <c r="U4" s="223">
        <f>1/E4</f>
        <v>13.2311234291533992</v>
      </c>
      <c r="V4" s="180"/>
      <c r="W4" s="180"/>
      <c r="X4" s="179"/>
      <c r="Y4" s="223"/>
      <c r="Z4" s="180"/>
      <c r="AA4" s="180"/>
      <c r="AB4" s="180"/>
      <c r="AC4" s="180"/>
      <c r="AD4" s="179"/>
      <c r="AE4" s="179"/>
      <c r="AF4" s="179">
        <f>K4/K1</f>
        <v>1</v>
      </c>
      <c r="AG4" s="227"/>
    </row>
    <row r="5" spans="1:33">
      <c r="A5" s="172"/>
      <c r="B5" s="172" t="s">
        <v>358</v>
      </c>
      <c r="C5" s="189"/>
      <c r="D5" s="176"/>
      <c r="E5" s="176"/>
      <c r="F5" s="176" t="n">
        <v>0.0525469686395981128</v>
      </c>
      <c r="G5" s="176"/>
      <c r="H5" s="176"/>
      <c r="I5" s="176"/>
      <c r="J5" s="176"/>
      <c r="K5" s="176"/>
      <c r="L5" s="176"/>
      <c r="M5"/>
      <c r="N5" s="172"/>
      <c r="O5" s="172" t="s">
        <v>358</v>
      </c>
      <c r="P5" s="181"/>
      <c r="Q5" s="224"/>
      <c r="R5" s="168"/>
      <c r="S5" s="224"/>
      <c r="T5" s="168"/>
      <c r="U5" s="224"/>
      <c r="V5" s="168">
        <f>F5/F1</f>
        <v>1</v>
      </c>
      <c r="W5" s="224">
        <f>1/F5</f>
        <v>19.0305935030937015</v>
      </c>
      <c r="X5" s="181"/>
      <c r="Y5" s="224"/>
      <c r="Z5" s="168"/>
      <c r="AA5" s="168"/>
      <c r="AB5" s="168"/>
      <c r="AC5" s="168"/>
      <c r="AD5" s="181"/>
      <c r="AE5" s="181"/>
      <c r="AF5" s="181"/>
      <c r="AG5" s="226"/>
    </row>
    <row r="6" spans="1:33">
      <c r="A6" s="172"/>
      <c r="B6" s="172" t="s">
        <v>620</v>
      </c>
      <c r="C6" s="189"/>
      <c r="D6" s="176"/>
      <c r="E6" s="176"/>
      <c r="F6" s="176"/>
      <c r="G6" s="176" t="n">
        <v>0.0395849999999998214</v>
      </c>
      <c r="H6" s="176" t="n">
        <v>0.0635426923076921479</v>
      </c>
      <c r="I6" s="176" t="n">
        <v>0</v>
      </c>
      <c r="J6" s="176"/>
      <c r="K6" s="176"/>
      <c r="L6" s="176"/>
      <c r="M6"/>
      <c r="N6" s="172"/>
      <c r="O6" s="172" t="s">
        <v>620</v>
      </c>
      <c r="P6" s="181"/>
      <c r="Q6" s="224"/>
      <c r="R6" s="168"/>
      <c r="S6" s="224"/>
      <c r="T6" s="168"/>
      <c r="U6" s="224"/>
      <c r="V6" s="168"/>
      <c r="W6" s="224"/>
      <c r="X6" s="181">
        <f>G6/$G$1</f>
        <v>0.75775423964300801</v>
      </c>
      <c r="Y6" s="224">
        <f>1/G6</f>
        <v>25.2620942276114988</v>
      </c>
      <c r="Z6" s="168">
        <f>H6/$H$1</f>
        <v>0.792538182848215023</v>
      </c>
      <c r="AA6" s="224">
        <f>1/H6</f>
        <v>15.7374508961268003</v>
      </c>
      <c r="AB6" s="168">
        <f>I6/$I$1</f>
        <v>0</v>
      </c>
      <c r="AC6" s="168"/>
      <c r="AD6" s="181"/>
      <c r="AE6" s="181"/>
      <c r="AF6" s="181"/>
      <c r="AG6" s="226"/>
    </row>
    <row r="7" spans="1:33">
      <c r="A7" s="172"/>
      <c r="B7" s="172" t="s">
        <v>621</v>
      </c>
      <c r="C7" s="189"/>
      <c r="D7" s="176"/>
      <c r="E7" s="176"/>
      <c r="F7" s="176"/>
      <c r="G7" s="176" t="n">
        <v>0.0337142857142856478</v>
      </c>
      <c r="H7" s="176" t="n">
        <v>0.0343392857142856878</v>
      </c>
      <c r="I7" s="176" t="n">
        <v>0.0491980119047618381</v>
      </c>
      <c r="J7" s="176"/>
      <c r="K7" s="176"/>
      <c r="L7" s="176"/>
      <c r="M7"/>
      <c r="N7" s="172"/>
      <c r="O7" s="172" t="s">
        <v>621</v>
      </c>
      <c r="P7" s="181"/>
      <c r="Q7" s="224"/>
      <c r="R7" s="168"/>
      <c r="S7" s="224"/>
      <c r="T7" s="168"/>
      <c r="U7" s="224"/>
      <c r="V7" s="168"/>
      <c r="W7" s="224"/>
      <c r="X7" s="181">
        <f>G7/$G$1</f>
        <v>0.64537433210902897</v>
      </c>
      <c r="Y7" s="224">
        <f>1/G7</f>
        <v>29.6610169491523017</v>
      </c>
      <c r="Z7" s="168">
        <f>H7/$H$1</f>
        <v>0.428297796519576046</v>
      </c>
      <c r="AA7" s="224">
        <f>1/H7</f>
        <v>29.1211648465936008</v>
      </c>
      <c r="AB7" s="168">
        <f>I7/$I$1</f>
        <v>0.848801180088351082</v>
      </c>
      <c r="AC7" s="224">
        <f>1/I7</f>
        <v>20.3260245949736991</v>
      </c>
      <c r="AD7" s="181"/>
      <c r="AE7" s="181"/>
      <c r="AF7" s="181"/>
      <c r="AG7" s="226"/>
    </row>
    <row r="8" spans="1:33">
      <c r="A8" s="172"/>
      <c r="B8" s="172" t="s">
        <v>199</v>
      </c>
      <c r="C8" s="189"/>
      <c r="D8" s="176"/>
      <c r="E8" s="176"/>
      <c r="F8" s="176"/>
      <c r="G8" s="176"/>
      <c r="H8" s="176"/>
      <c r="I8" s="176"/>
      <c r="J8" s="176"/>
      <c r="K8" s="176"/>
      <c r="L8" s="176"/>
      <c r="M8"/>
      <c r="N8" s="172"/>
      <c r="O8" s="172" t="s">
        <v>199</v>
      </c>
      <c r="P8" s="181"/>
      <c r="Q8" s="224"/>
      <c r="R8" s="168"/>
      <c r="S8" s="224"/>
      <c r="T8" s="168"/>
      <c r="U8" s="224"/>
      <c r="V8" s="168"/>
      <c r="W8" s="224"/>
      <c r="X8" s="181"/>
      <c r="Y8" s="224"/>
      <c r="Z8" s="168"/>
      <c r="AA8" s="224"/>
      <c r="AB8" s="168"/>
      <c r="AC8" s="224"/>
      <c r="AD8" s="181"/>
      <c r="AE8" s="226"/>
      <c r="AF8" s="181"/>
      <c r="AG8" s="226"/>
    </row>
    <row r="9" spans="1:33">
      <c r="A9" s="172"/>
      <c r="B9" s="172" t="s">
        <v>200</v>
      </c>
      <c r="C9" s="190"/>
      <c r="D9" s="167"/>
      <c r="E9" s="167"/>
      <c r="F9" s="167"/>
      <c r="G9" s="167"/>
      <c r="H9" s="167"/>
      <c r="I9" s="167"/>
      <c r="J9" s="167"/>
      <c r="K9" s="167"/>
      <c r="L9" s="167"/>
      <c r="M9"/>
      <c r="N9" s="172"/>
      <c r="O9" s="172" t="s">
        <v>200</v>
      </c>
      <c r="P9" s="182"/>
      <c r="Q9" s="225"/>
      <c r="R9" s="169"/>
      <c r="S9" s="225"/>
      <c r="T9" s="169"/>
      <c r="U9" s="225"/>
      <c r="V9" s="169"/>
      <c r="W9" s="225"/>
      <c r="X9" s="182"/>
      <c r="Y9" s="225"/>
      <c r="Z9" s="169"/>
      <c r="AA9" s="169"/>
      <c r="AB9" s="169"/>
      <c r="AC9" s="169"/>
      <c r="AD9" s="182" t="e">
        <f>J9/$J$1</f>
        <v>#DIV/0!</v>
      </c>
      <c r="AE9" s="228" t="e">
        <f>1/J9</f>
        <v>#DIV/0!</v>
      </c>
      <c r="AF9" s="182">
        <f>K9/$K$1</f>
        <v>0</v>
      </c>
      <c r="AG9" s="228" t="e">
        <f>1/K9</f>
        <v>#DIV/0!</v>
      </c>
    </row>
    <row r="10" spans="1:33">
      <c r="A10" s="173" t="s">
        <v>622</v>
      </c>
      <c r="B10" s="173" t="s">
        <v>356</v>
      </c>
      <c r="C10" s="192" t="n">
        <v>0.040980247552447775</v>
      </c>
      <c r="D10" s="187" t="n">
        <v>0.0703048739260740962</v>
      </c>
      <c r="E10" s="187" t="n">
        <v>0.040579372027972207</v>
      </c>
      <c r="F10" s="187"/>
      <c r="G10" s="187"/>
      <c r="H10" s="187"/>
      <c r="I10" s="187"/>
      <c r="J10" s="187" t="n">
        <v>0</v>
      </c>
      <c r="K10" s="187" t="n">
        <v>0.030871978021978066</v>
      </c>
      <c r="L10" s="187"/>
      <c r="M10"/>
      <c r="N10" s="173" t="s">
        <v>622</v>
      </c>
      <c r="O10" s="173" t="s">
        <v>356</v>
      </c>
      <c r="P10" s="181">
        <f>C10/$C$1</f>
        <v>0.535402417360668004</v>
      </c>
      <c r="Q10" s="223">
        <f>1/C10</f>
        <v>24.4019999810925015</v>
      </c>
      <c r="R10" s="180">
        <f>D10/$D$1</f>
        <v>0.738751927667883024</v>
      </c>
      <c r="S10" s="223">
        <f>1/D10</f>
        <v>14.2237649277559992</v>
      </c>
      <c r="T10" s="180">
        <f>E10/$E$1</f>
        <v>0.401184206329959014</v>
      </c>
      <c r="U10" s="223">
        <f>1/E10</f>
        <v>24.6430624729896017</v>
      </c>
      <c r="V10" s="168"/>
      <c r="W10" s="224"/>
      <c r="X10" s="181"/>
      <c r="Y10" s="224"/>
      <c r="Z10" s="168"/>
      <c r="AA10" s="168"/>
      <c r="AB10" s="168"/>
      <c r="AC10" s="168"/>
      <c r="AD10" s="181"/>
      <c r="AE10" s="168"/>
      <c r="AF10" s="168">
        <f>K10/K1</f>
        <v>0.852284338857969992</v>
      </c>
      <c r="AG10" s="224"/>
    </row>
    <row r="11" spans="1:33">
      <c r="A11" s="172"/>
      <c r="B11" s="172" t="s">
        <v>358</v>
      </c>
      <c r="C11" s="189"/>
      <c r="D11" s="176"/>
      <c r="E11" s="176"/>
      <c r="F11" s="176" t="n">
        <v>0.0510225578651873146</v>
      </c>
      <c r="G11" s="176"/>
      <c r="H11" s="176"/>
      <c r="I11" s="176"/>
      <c r="J11" s="176"/>
      <c r="K11" s="176"/>
      <c r="L11" s="176"/>
      <c r="M11"/>
      <c r="N11" s="172"/>
      <c r="O11" s="172" t="s">
        <v>358</v>
      </c>
      <c r="P11" s="181"/>
      <c r="Q11" s="224"/>
      <c r="R11" s="168"/>
      <c r="S11" s="224"/>
      <c r="T11" s="168"/>
      <c r="U11" s="224"/>
      <c r="V11" s="168">
        <f>F11/F1</f>
        <v>0.970989558220447968</v>
      </c>
      <c r="W11" s="224">
        <f>1/F11</f>
        <v>19.5991742053038998</v>
      </c>
      <c r="X11" s="181"/>
      <c r="Y11" s="224"/>
      <c r="Z11" s="168"/>
      <c r="AA11" s="168"/>
      <c r="AB11" s="168"/>
      <c r="AC11" s="168"/>
      <c r="AD11" s="181"/>
      <c r="AE11" s="168"/>
      <c r="AF11" s="168"/>
      <c r="AG11" s="224"/>
    </row>
    <row r="12" spans="1:33">
      <c r="A12" s="172"/>
      <c r="B12" s="172" t="s">
        <v>620</v>
      </c>
      <c r="C12" s="189"/>
      <c r="D12" s="176"/>
      <c r="E12" s="176"/>
      <c r="F12" s="176"/>
      <c r="G12" s="176" t="n">
        <v>0.042215952380952162</v>
      </c>
      <c r="H12" s="176" t="n">
        <v>0.0661736446886445151</v>
      </c>
      <c r="I12" s="176" t="n">
        <v>0</v>
      </c>
      <c r="J12" s="176"/>
      <c r="K12" s="176"/>
      <c r="L12" s="176"/>
      <c r="M12"/>
      <c r="N12" s="172"/>
      <c r="O12" s="172" t="s">
        <v>620</v>
      </c>
      <c r="P12" s="181"/>
      <c r="Q12" s="224"/>
      <c r="R12" s="168"/>
      <c r="S12" s="224"/>
      <c r="T12" s="168"/>
      <c r="U12" s="224"/>
      <c r="V12" s="168"/>
      <c r="W12" s="224"/>
      <c r="X12" s="181">
        <f>G12/$G$1</f>
        <v>0.808117137734841862</v>
      </c>
      <c r="Y12" s="224">
        <f>1/G12</f>
        <v>23.6877280648819983</v>
      </c>
      <c r="Z12" s="168">
        <f>H12/$H$1</f>
        <v>0.825352817284286999</v>
      </c>
      <c r="AA12" s="224">
        <f>1/H12</f>
        <v>15.1117564206282005</v>
      </c>
      <c r="AB12" s="168">
        <f>I12/$I$1</f>
        <v>0</v>
      </c>
      <c r="AC12" s="224"/>
      <c r="AD12" s="181"/>
      <c r="AE12" s="168"/>
      <c r="AF12" s="168"/>
      <c r="AG12" s="224"/>
    </row>
    <row r="13" spans="1:33">
      <c r="A13" s="172"/>
      <c r="B13" s="172" t="s">
        <v>621</v>
      </c>
      <c r="C13" s="189"/>
      <c r="D13" s="176"/>
      <c r="E13" s="176"/>
      <c r="F13" s="176"/>
      <c r="G13" s="176" t="n">
        <v>0.0381517857142856442</v>
      </c>
      <c r="H13" s="176" t="n">
        <v>0.0387767857142856887</v>
      </c>
      <c r="I13" s="176" t="n">
        <v>0.0579617619047618415</v>
      </c>
      <c r="J13" s="176"/>
      <c r="K13" s="176"/>
      <c r="L13" s="176"/>
      <c r="M13"/>
      <c r="N13" s="172"/>
      <c r="O13" s="172" t="s">
        <v>621</v>
      </c>
      <c r="P13" s="181"/>
      <c r="Q13" s="224"/>
      <c r="R13" s="168"/>
      <c r="S13" s="224"/>
      <c r="T13" s="168"/>
      <c r="U13" s="224"/>
      <c r="V13" s="168"/>
      <c r="W13" s="224"/>
      <c r="X13" s="181">
        <f>G13/$G$1</f>
        <v>0.73031899393587798</v>
      </c>
      <c r="Y13" s="224">
        <f>1/G13</f>
        <v>26.2110929089630993</v>
      </c>
      <c r="Z13" s="168">
        <f>H13/$H$1</f>
        <v>0.483644651660041003</v>
      </c>
      <c r="AA13" s="224">
        <f>1/H13</f>
        <v>25.7886253741651004</v>
      </c>
      <c r="AB13" s="168">
        <f>I13/$I$1</f>
        <v>1</v>
      </c>
      <c r="AC13" s="224">
        <f>1/I13</f>
        <v>17.2527536627185007</v>
      </c>
      <c r="AD13" s="181"/>
      <c r="AE13" s="168"/>
      <c r="AF13" s="168"/>
      <c r="AG13" s="224"/>
    </row>
    <row r="14" spans="1:33">
      <c r="A14" s="172"/>
      <c r="B14" s="172" t="s">
        <v>199</v>
      </c>
      <c r="C14" s="189"/>
      <c r="D14" s="176"/>
      <c r="E14" s="176"/>
      <c r="F14" s="176"/>
      <c r="G14" s="176"/>
      <c r="H14" s="176"/>
      <c r="I14" s="176"/>
      <c r="J14" s="176"/>
      <c r="K14" s="176"/>
      <c r="L14" s="176"/>
      <c r="M14"/>
      <c r="N14" s="172"/>
      <c r="O14" s="172" t="s">
        <v>199</v>
      </c>
      <c r="P14" s="181"/>
      <c r="Q14" s="224"/>
      <c r="R14" s="168"/>
      <c r="S14" s="224"/>
      <c r="T14" s="168"/>
      <c r="U14" s="224"/>
      <c r="V14" s="168"/>
      <c r="W14" s="224"/>
      <c r="X14" s="181"/>
      <c r="Y14" s="224"/>
      <c r="Z14" s="168"/>
      <c r="AA14" s="224"/>
      <c r="AB14" s="168"/>
      <c r="AC14" s="224"/>
      <c r="AD14" s="181"/>
      <c r="AE14" s="226"/>
      <c r="AF14" s="181"/>
      <c r="AG14" s="226"/>
    </row>
    <row r="15" spans="1:33">
      <c r="A15" s="172"/>
      <c r="B15" s="172" t="s">
        <v>200</v>
      </c>
      <c r="C15" s="190"/>
      <c r="D15" s="167"/>
      <c r="E15" s="167"/>
      <c r="F15" s="167"/>
      <c r="G15" s="167"/>
      <c r="H15" s="167"/>
      <c r="I15" s="167"/>
      <c r="J15" s="167"/>
      <c r="K15" s="167"/>
      <c r="L15" s="167"/>
      <c r="M15"/>
      <c r="N15" s="172"/>
      <c r="O15" s="172" t="s">
        <v>200</v>
      </c>
      <c r="P15" s="182"/>
      <c r="Q15" s="225"/>
      <c r="R15" s="169"/>
      <c r="S15" s="225"/>
      <c r="T15" s="169"/>
      <c r="U15" s="225"/>
      <c r="V15" s="169"/>
      <c r="W15" s="225"/>
      <c r="X15" s="182"/>
      <c r="Y15" s="225"/>
      <c r="Z15" s="169"/>
      <c r="AA15" s="169"/>
      <c r="AB15" s="169"/>
      <c r="AC15" s="169"/>
      <c r="AD15" s="182" t="e">
        <f>J15/$J$1</f>
        <v>#DIV/0!</v>
      </c>
      <c r="AE15" s="228" t="e">
        <f>1/J15</f>
        <v>#DIV/0!</v>
      </c>
      <c r="AF15" s="182">
        <f>K15/$K$1</f>
        <v>0</v>
      </c>
      <c r="AG15" s="228" t="e">
        <f>1/K15</f>
        <v>#DIV/0!</v>
      </c>
    </row>
    <row r="16" spans="1:33">
      <c r="A16" s="173" t="s">
        <v>623</v>
      </c>
      <c r="B16" s="173" t="s">
        <v>356</v>
      </c>
      <c r="C16" s="189" t="n">
        <v>0.0581810207792212619</v>
      </c>
      <c r="D16" s="176" t="n">
        <v>0.0768070937062935677</v>
      </c>
      <c r="E16" s="176" t="n">
        <v>0.0661489769230770275</v>
      </c>
      <c r="F16" s="176"/>
      <c r="G16" s="176"/>
      <c r="H16" s="176"/>
      <c r="I16" s="176"/>
      <c r="J16" s="176" t="n">
        <v>0</v>
      </c>
      <c r="K16" s="176" t="n">
        <v>0.0299908591408592073</v>
      </c>
      <c r="L16" s="176" t="n">
        <v>0.0414772727272729647</v>
      </c>
      <c r="M16"/>
      <c r="N16" s="173" t="s">
        <v>623</v>
      </c>
      <c r="O16" s="173" t="s">
        <v>356</v>
      </c>
      <c r="P16" s="181">
        <f>C16/$C$1</f>
        <v>0.760128623670193981</v>
      </c>
      <c r="Q16" s="223">
        <f>1/C16</f>
        <v>17.1877355640543001</v>
      </c>
      <c r="R16" s="180">
        <f>D16/$D$1</f>
        <v>0.807076172183401042</v>
      </c>
      <c r="S16" s="223">
        <f>1/D16</f>
        <v>13.0196307625431995</v>
      </c>
      <c r="T16" s="180">
        <f>E16/$E$1</f>
        <v>0.653975738908193094</v>
      </c>
      <c r="U16" s="223">
        <f>1/E16</f>
        <v>15.1173917801159003</v>
      </c>
      <c r="V16" s="168"/>
      <c r="W16" s="224"/>
      <c r="X16" s="168"/>
      <c r="Y16" s="224"/>
      <c r="Z16" s="168"/>
      <c r="AA16" s="168"/>
      <c r="AB16" s="168"/>
      <c r="AC16" s="168"/>
      <c r="AD16" s="168"/>
      <c r="AE16" s="168"/>
      <c r="AF16" s="168">
        <f>K16/K1</f>
        <v>0.827959243053770066</v>
      </c>
      <c r="AG16" s="224"/>
    </row>
    <row r="17" spans="1:33">
      <c r="A17" s="172"/>
      <c r="B17" s="172" t="s">
        <v>358</v>
      </c>
      <c r="C17" s="189"/>
      <c r="D17" s="176"/>
      <c r="E17" s="176"/>
      <c r="F17" s="176" t="n">
        <v>0.0422732320554296859</v>
      </c>
      <c r="G17" s="176"/>
      <c r="H17" s="176"/>
      <c r="I17" s="176"/>
      <c r="J17" s="176"/>
      <c r="K17" s="176"/>
      <c r="L17" s="176"/>
      <c r="M17"/>
      <c r="N17" s="172"/>
      <c r="O17" s="172" t="s">
        <v>358</v>
      </c>
      <c r="P17" s="181"/>
      <c r="Q17" s="224"/>
      <c r="R17" s="168"/>
      <c r="S17" s="224"/>
      <c r="T17" s="168"/>
      <c r="U17" s="224"/>
      <c r="V17" s="168">
        <f>F17/F1</f>
        <v>0.804484695308837061</v>
      </c>
      <c r="W17" s="224">
        <f>1/F17</f>
        <v>23.6556315043232992</v>
      </c>
      <c r="X17" s="168"/>
      <c r="Y17" s="224"/>
      <c r="Z17" s="168"/>
      <c r="AA17" s="168"/>
      <c r="AB17" s="168"/>
      <c r="AC17" s="168"/>
      <c r="AD17" s="168"/>
      <c r="AE17" s="168"/>
      <c r="AF17" s="168"/>
      <c r="AG17" s="224"/>
    </row>
    <row r="18" spans="1:33">
      <c r="A18" s="172"/>
      <c r="B18" s="172" t="s">
        <v>620</v>
      </c>
      <c r="C18" s="189"/>
      <c r="D18" s="176"/>
      <c r="E18" s="176"/>
      <c r="F18" s="176"/>
      <c r="G18" s="176" t="n">
        <v>0.0522398924731181324</v>
      </c>
      <c r="H18" s="176" t="n">
        <v>0.0801761904761901967</v>
      </c>
      <c r="I18" s="176" t="n">
        <v>0</v>
      </c>
      <c r="J18" s="176"/>
      <c r="K18" s="176"/>
      <c r="L18" s="176"/>
      <c r="M18"/>
      <c r="N18" s="172"/>
      <c r="O18" s="172" t="s">
        <v>620</v>
      </c>
      <c r="P18" s="181"/>
      <c r="Q18" s="224"/>
      <c r="R18" s="168"/>
      <c r="S18" s="224"/>
      <c r="T18" s="168"/>
      <c r="U18" s="224"/>
      <c r="V18" s="168"/>
      <c r="W18" s="224"/>
      <c r="X18" s="168">
        <f>G18/$G$1</f>
        <v>1</v>
      </c>
      <c r="Y18" s="224">
        <f>1/G18</f>
        <v>19.1424590032337001</v>
      </c>
      <c r="Z18" s="168">
        <f>H18/$H$1</f>
        <v>1</v>
      </c>
      <c r="AA18" s="224">
        <f>1/H18</f>
        <v>12.4725307358794009</v>
      </c>
      <c r="AB18" s="168">
        <f>I18/$I$1</f>
        <v>0</v>
      </c>
      <c r="AC18" s="224"/>
      <c r="AD18" s="168"/>
      <c r="AE18" s="168"/>
      <c r="AF18" s="168"/>
      <c r="AG18" s="224"/>
    </row>
    <row r="19" spans="1:33">
      <c r="A19" s="172"/>
      <c r="B19" s="172" t="s">
        <v>621</v>
      </c>
      <c r="C19" s="189"/>
      <c r="D19" s="176"/>
      <c r="E19" s="176"/>
      <c r="F19" s="176"/>
      <c r="G19" s="176" t="n">
        <v>0.0259687499999999627</v>
      </c>
      <c r="H19" s="176" t="n">
        <v>0.0252812500000000018</v>
      </c>
      <c r="I19" s="176" t="n">
        <v>0.0306390833333333168</v>
      </c>
      <c r="J19" s="176"/>
      <c r="K19" s="176"/>
      <c r="L19" s="176" t="n">
        <v>0.133928571428571397</v>
      </c>
      <c r="M19" s="232">
        <f>1/L19</f>
        <v>7.46666666666668988</v>
      </c>
      <c r="N19" s="172"/>
      <c r="O19" s="172" t="s">
        <v>621</v>
      </c>
      <c r="P19" s="181"/>
      <c r="Q19" s="224"/>
      <c r="R19" s="168"/>
      <c r="S19" s="224"/>
      <c r="T19" s="168"/>
      <c r="U19" s="224"/>
      <c r="V19" s="168"/>
      <c r="W19" s="224"/>
      <c r="X19" s="168">
        <f>G19/$G$1</f>
        <v>0.497105732240225962</v>
      </c>
      <c r="Y19" s="224">
        <f>1/G19</f>
        <v>38.5078219013237018</v>
      </c>
      <c r="Z19" s="168">
        <f>H19/$H$1</f>
        <v>0.315321167666450997</v>
      </c>
      <c r="AA19" s="224">
        <f>1/H19</f>
        <v>39.5550061804696966</v>
      </c>
      <c r="AB19" s="168">
        <f>I19/$I$1</f>
        <v>0.528608557201498019</v>
      </c>
      <c r="AC19" s="224">
        <f>1/I19</f>
        <v>32.6380521610473977</v>
      </c>
      <c r="AD19" s="168"/>
      <c r="AE19" s="168"/>
      <c r="AF19" s="168"/>
      <c r="AG19" s="224"/>
    </row>
    <row r="20" spans="1:33">
      <c r="A20" s="172"/>
      <c r="B20" s="172" t="s">
        <v>199</v>
      </c>
      <c r="C20" s="189"/>
      <c r="D20" s="176"/>
      <c r="E20" s="176"/>
      <c r="F20" s="176"/>
      <c r="G20" s="176"/>
      <c r="H20" s="176"/>
      <c r="I20" s="176"/>
      <c r="J20" s="176"/>
      <c r="K20" s="176"/>
      <c r="L20" s="176"/>
      <c r="M20"/>
      <c r="N20" s="172"/>
      <c r="O20" s="172" t="s">
        <v>199</v>
      </c>
      <c r="P20" s="181"/>
      <c r="Q20" s="224"/>
      <c r="R20" s="168"/>
      <c r="S20" s="224"/>
      <c r="T20" s="168"/>
      <c r="U20" s="224"/>
      <c r="V20" s="168"/>
      <c r="W20" s="224"/>
      <c r="X20" s="168"/>
      <c r="Y20" s="224"/>
      <c r="Z20" s="168"/>
      <c r="AA20" s="224"/>
      <c r="AB20" s="168"/>
      <c r="AC20" s="224"/>
      <c r="AD20" s="168"/>
      <c r="AE20" s="226"/>
      <c r="AF20" s="181"/>
      <c r="AG20" s="226"/>
    </row>
    <row r="21" spans="1:33">
      <c r="A21" s="172"/>
      <c r="B21" s="172" t="s">
        <v>200</v>
      </c>
      <c r="C21" s="189"/>
      <c r="D21" s="176"/>
      <c r="E21" s="176"/>
      <c r="F21" s="176"/>
      <c r="G21" s="176"/>
      <c r="H21" s="176"/>
      <c r="I21" s="176"/>
      <c r="J21" s="176"/>
      <c r="K21" s="176"/>
      <c r="L21" s="176"/>
      <c r="M21"/>
      <c r="N21" s="172"/>
      <c r="O21" s="172" t="s">
        <v>200</v>
      </c>
      <c r="P21" s="182"/>
      <c r="Q21" s="225"/>
      <c r="R21" s="169"/>
      <c r="S21" s="225"/>
      <c r="T21" s="169"/>
      <c r="U21" s="225"/>
      <c r="V21" s="169"/>
      <c r="W21" s="225"/>
      <c r="X21" s="169"/>
      <c r="Y21" s="225"/>
      <c r="Z21" s="169"/>
      <c r="AA21" s="169"/>
      <c r="AB21" s="169"/>
      <c r="AC21" s="168"/>
      <c r="AD21" s="168" t="e">
        <f>J21/$J$1</f>
        <v>#DIV/0!</v>
      </c>
      <c r="AE21" s="228" t="e">
        <f>1/J21</f>
        <v>#DIV/0!</v>
      </c>
      <c r="AF21" s="182">
        <f>K21/$K$1</f>
        <v>0</v>
      </c>
      <c r="AG21" s="228" t="e">
        <f>1/K21</f>
        <v>#DIV/0!</v>
      </c>
    </row>
    <row r="22" spans="1:33">
      <c r="A22" s="173" t="s">
        <v>624</v>
      </c>
      <c r="B22" s="185" t="s">
        <v>356</v>
      </c>
      <c r="C22" s="192" t="n">
        <v>0.0765410207792212027</v>
      </c>
      <c r="D22" s="187" t="n">
        <v>0.0951670937062934819</v>
      </c>
      <c r="E22" s="187" t="n">
        <v>0.101148976923076916</v>
      </c>
      <c r="F22" s="187"/>
      <c r="G22" s="187"/>
      <c r="H22" s="187"/>
      <c r="I22" s="187"/>
      <c r="J22" s="187" t="n">
        <v>0</v>
      </c>
      <c r="K22" s="187" t="n">
        <v>0.0337051448551449084</v>
      </c>
      <c r="L22" s="187" t="n">
        <v>0.0593344155844157672</v>
      </c>
      <c r="M22"/>
      <c r="N22" s="173" t="s">
        <v>624</v>
      </c>
      <c r="O22" s="173" t="s">
        <v>356</v>
      </c>
      <c r="P22" s="181">
        <f>C22/$C$1</f>
        <v>1</v>
      </c>
      <c r="Q22" s="223">
        <f>1/C22</f>
        <v>13.0648897783118993</v>
      </c>
      <c r="R22" s="180">
        <f>D22/$D$1</f>
        <v>1</v>
      </c>
      <c r="S22" s="223">
        <f>1/D22</f>
        <v>10.5078337590746003</v>
      </c>
      <c r="T22" s="180">
        <f>E22/$E$1</f>
        <v>1</v>
      </c>
      <c r="U22" s="230">
        <f>1/E22</f>
        <v>9.88640745976593038</v>
      </c>
      <c r="V22" s="218"/>
      <c r="W22" s="227"/>
      <c r="X22" s="181"/>
      <c r="Y22" s="224"/>
      <c r="Z22" s="168"/>
      <c r="AA22" s="168"/>
      <c r="AB22" s="181"/>
      <c r="AC22" s="179"/>
      <c r="AD22" s="179"/>
      <c r="AE22" s="168"/>
      <c r="AF22" s="168">
        <f>K22/K1</f>
        <v>0.930499726273736982</v>
      </c>
      <c r="AG22" s="224"/>
    </row>
    <row r="23" spans="1:33">
      <c r="A23" s="172"/>
      <c r="B23" s="186" t="s">
        <v>358</v>
      </c>
      <c r="C23" s="189"/>
      <c r="D23" s="176"/>
      <c r="E23" s="176"/>
      <c r="F23" s="176" t="n">
        <v>0.0437976428298404752</v>
      </c>
      <c r="G23" s="176"/>
      <c r="H23" s="176"/>
      <c r="I23" s="176"/>
      <c r="J23" s="176"/>
      <c r="K23" s="176"/>
      <c r="L23" s="176"/>
      <c r="M23"/>
      <c r="N23" s="172"/>
      <c r="O23" s="172" t="s">
        <v>358</v>
      </c>
      <c r="P23" s="181"/>
      <c r="Q23" s="224"/>
      <c r="R23" s="168"/>
      <c r="S23" s="224"/>
      <c r="T23" s="168"/>
      <c r="U23" s="221"/>
      <c r="V23" s="219">
        <f>F23/F1</f>
        <v>0.833495137088369908</v>
      </c>
      <c r="W23" s="226">
        <f>1/F23</f>
        <v>22.8322789855413006</v>
      </c>
      <c r="X23" s="181"/>
      <c r="Y23" s="224"/>
      <c r="Z23" s="168"/>
      <c r="AA23" s="168"/>
      <c r="AB23" s="181"/>
      <c r="AC23" s="181"/>
      <c r="AD23" s="181"/>
      <c r="AE23" s="168"/>
      <c r="AF23" s="168"/>
      <c r="AG23" s="224"/>
    </row>
    <row r="24" spans="1:33">
      <c r="A24" s="172"/>
      <c r="B24" s="186" t="s">
        <v>620</v>
      </c>
      <c r="C24" s="189"/>
      <c r="D24" s="176"/>
      <c r="E24" s="176"/>
      <c r="F24" s="176"/>
      <c r="G24" s="176" t="n">
        <v>0.0483798924731182201</v>
      </c>
      <c r="H24" s="176" t="n">
        <v>0.0751599999999997159</v>
      </c>
      <c r="I24" s="176" t="n">
        <v>0</v>
      </c>
      <c r="J24" s="176"/>
      <c r="K24" s="176"/>
      <c r="L24" s="176"/>
      <c r="M24"/>
      <c r="N24" s="172"/>
      <c r="O24" s="172" t="s">
        <v>620</v>
      </c>
      <c r="P24" s="181"/>
      <c r="Q24" s="224"/>
      <c r="R24" s="168"/>
      <c r="S24" s="224"/>
      <c r="T24" s="168"/>
      <c r="U24" s="221"/>
      <c r="V24" s="219"/>
      <c r="W24" s="226"/>
      <c r="X24" s="181">
        <f>G24/$G$1</f>
        <v>0.926110108247518049</v>
      </c>
      <c r="Y24" s="224">
        <f>1/G24</f>
        <v>20.6697441619086995</v>
      </c>
      <c r="Z24" s="168">
        <f>H24/$H$1</f>
        <v>0.937435410108695066</v>
      </c>
      <c r="AA24" s="224">
        <f>1/H24</f>
        <v>13.3049494411921003</v>
      </c>
      <c r="AB24" s="168">
        <f>I24/$I$1</f>
        <v>0</v>
      </c>
      <c r="AC24" s="226"/>
      <c r="AD24" s="181"/>
      <c r="AE24" s="168"/>
      <c r="AF24" s="168"/>
      <c r="AG24" s="224"/>
    </row>
    <row r="25" spans="1:33">
      <c r="A25" s="172"/>
      <c r="B25" s="186" t="s">
        <v>621</v>
      </c>
      <c r="C25" s="189"/>
      <c r="D25" s="176"/>
      <c r="E25" s="176"/>
      <c r="F25" s="176"/>
      <c r="G25" s="176" t="n">
        <v>0.0238749999999999618</v>
      </c>
      <c r="H25" s="176" t="n">
        <v>0.0231875000000000009</v>
      </c>
      <c r="I25" s="176" t="n">
        <v>0.0270053333333333212</v>
      </c>
      <c r="J25" s="176"/>
      <c r="K25" s="176"/>
      <c r="L25" s="176" t="n">
        <v>0.169642857142856984</v>
      </c>
      <c r="M25" s="232">
        <f>1/L25</f>
        <v>5.89473684210526994</v>
      </c>
      <c r="N25" s="172"/>
      <c r="O25" s="172" t="s">
        <v>621</v>
      </c>
      <c r="P25" s="181"/>
      <c r="Q25" s="224"/>
      <c r="R25" s="168"/>
      <c r="S25" s="224"/>
      <c r="T25" s="168"/>
      <c r="U25" s="221"/>
      <c r="V25" s="219"/>
      <c r="W25" s="226"/>
      <c r="X25" s="181">
        <f>G25/$G$1</f>
        <v>0.457026208702206027</v>
      </c>
      <c r="Y25" s="224">
        <f>1/G25</f>
        <v>41.8848167539266996</v>
      </c>
      <c r="Z25" s="168">
        <f>H25/$H$1</f>
        <v>0.28920680643820301</v>
      </c>
      <c r="AA25" s="224">
        <f>1/H25</f>
        <v>43.1266846361185969</v>
      </c>
      <c r="AB25" s="168">
        <f>I25/$I$1</f>
        <v>0.465916363579594961</v>
      </c>
      <c r="AC25" s="226">
        <f>1/I25</f>
        <v>37.029722523946397</v>
      </c>
      <c r="AD25" s="181"/>
      <c r="AE25" s="168"/>
      <c r="AF25" s="168"/>
      <c r="AG25" s="224"/>
    </row>
    <row r="26" spans="1:33">
      <c r="A26" s="172"/>
      <c r="B26" s="186" t="s">
        <v>199</v>
      </c>
      <c r="C26" s="189"/>
      <c r="D26" s="176"/>
      <c r="E26" s="176"/>
      <c r="F26" s="176"/>
      <c r="G26" s="176"/>
      <c r="H26" s="176"/>
      <c r="I26" s="176"/>
      <c r="J26" s="176"/>
      <c r="K26" s="176"/>
      <c r="L26" s="176"/>
      <c r="M26"/>
      <c r="N26" s="172"/>
      <c r="O26" s="172" t="s">
        <v>199</v>
      </c>
      <c r="P26" s="181"/>
      <c r="Q26" s="224"/>
      <c r="R26" s="168"/>
      <c r="S26" s="224"/>
      <c r="T26" s="168"/>
      <c r="U26" s="221"/>
      <c r="V26" s="219"/>
      <c r="W26" s="181"/>
      <c r="X26" s="181"/>
      <c r="Y26" s="224"/>
      <c r="Z26" s="168"/>
      <c r="AA26" s="224"/>
      <c r="AB26" s="168"/>
      <c r="AC26" s="226"/>
      <c r="AD26" s="181"/>
      <c r="AE26" s="226"/>
      <c r="AF26" s="181"/>
      <c r="AG26" s="226"/>
    </row>
    <row r="27" spans="1:33">
      <c r="A27" s="172"/>
      <c r="B27" s="172" t="s">
        <v>200</v>
      </c>
      <c r="C27" s="190"/>
      <c r="D27" s="167"/>
      <c r="E27" s="167"/>
      <c r="F27" s="167"/>
      <c r="G27" s="167"/>
      <c r="H27" s="167"/>
      <c r="I27" s="167"/>
      <c r="J27" s="167"/>
      <c r="K27" s="167"/>
      <c r="L27" s="167"/>
      <c r="M27"/>
      <c r="N27" s="172"/>
      <c r="O27" s="172" t="s">
        <v>200</v>
      </c>
      <c r="P27" s="182"/>
      <c r="Q27" s="225"/>
      <c r="R27" s="169"/>
      <c r="S27" s="225"/>
      <c r="T27" s="169"/>
      <c r="U27" s="231"/>
      <c r="V27" s="220"/>
      <c r="W27" s="182"/>
      <c r="X27" s="182"/>
      <c r="Y27" s="225"/>
      <c r="Z27" s="169"/>
      <c r="AA27" s="169"/>
      <c r="AB27" s="182"/>
      <c r="AC27" s="182"/>
      <c r="AD27" s="182" t="e">
        <f>J27/$J$1</f>
        <v>#DIV/0!</v>
      </c>
      <c r="AE27" s="228" t="e">
        <f>1/J27</f>
        <v>#DIV/0!</v>
      </c>
      <c r="AF27" s="182">
        <f>K27/$K$1</f>
        <v>0</v>
      </c>
      <c r="AG27" s="228" t="e">
        <f>1/K27</f>
        <v>#DIV/0!</v>
      </c>
    </row>
    <row r="28" spans="17:33">
      <c r="Q28" s="146"/>
      <c r="S28" s="146"/>
      <c r="U28" s="146"/>
      <c r="AD28"/>
      <c r="AE28"/>
      <c r="AF28"/>
      <c r="AG28"/>
    </row>
    <row r="29" spans="17:21">
      <c r="Q29" s="146"/>
      <c r="S29" s="146"/>
      <c r="U29" s="146"/>
    </row>
    <row r="30" spans="2:21">
      <c r="B30" s="170" t="s">
        <v>194</v>
      </c>
      <c r="Q30" s="146"/>
      <c r="S30" s="146"/>
      <c r="U30" s="146"/>
    </row>
    <row r="31" spans="2:19">
      <c r="B31" s="171" t="n">
        <v>42724</v>
      </c>
      <c r="Q31" s="146"/>
      <c r="S31" s="146"/>
    </row>
    <row r="32" spans="17:17">
      <c r="Q32" s="146"/>
    </row>
    <row r="33" spans="17:17">
      <c r="Q33" s="146"/>
    </row>
    <row r="34" spans="17:17">
      <c r="Q34" s="146"/>
    </row>
  </sheetData>
  <mergeCells count="8">
    <mergeCell ref="A4:A9"/>
    <mergeCell ref="N4:N9"/>
    <mergeCell ref="A10:A15"/>
    <mergeCell ref="N10:N15"/>
    <mergeCell ref="A16:A21"/>
    <mergeCell ref="N16:N21"/>
    <mergeCell ref="A22:A27"/>
    <mergeCell ref="N22:N27"/>
  </mergeCells>
  <printOptions>
    <extLst>
      <ext uri="smNativeData">
        <pm:pageFlags xmlns:pm="smNativeData" id="1595601780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601780" l="56" r="56" t="56" b="56" borderId="0" fillId="0" vertical="0"/>
        <pm:footer xmlns:pm="smNativeData" id="1595601780" l="56" r="56" t="56" b="56" borderId="0" fillId="0" vertical="2"/>
      </ext>
    </extLst>
  </headerFooter>
  <extLst>
    <ext uri="smNativeData">
      <pm:sheetPrefs xmlns:pm="smNativeData" day="1595601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E26B0A"/>
  </sheetPr>
  <dimension ref="B2:Y17"/>
  <sheetViews>
    <sheetView view="normal" workbookViewId="0">
      <selection activeCell="B12" sqref="B12"/>
    </sheetView>
  </sheetViews>
  <sheetFormatPr baseColWidth="10" defaultColWidth="11.428571" defaultRowHeight="15.40"/>
  <cols>
    <col min="1" max="1" width="5.571429" customWidth="1"/>
    <col min="2" max="2" width="6.000000" customWidth="1"/>
    <col min="3" max="3" width="13.714286" customWidth="1"/>
    <col min="4" max="4" width="6.000000" customWidth="1"/>
    <col min="5" max="5" width="4.714286" customWidth="1"/>
    <col min="6" max="9" width="4.571429" customWidth="1"/>
    <col min="10" max="10" width="5.142857" customWidth="1"/>
    <col min="11" max="11" width="4.571429" customWidth="1"/>
    <col min="12" max="12" width="5.571429" customWidth="1"/>
    <col min="13" max="13" width="6.000000" customWidth="1"/>
    <col min="14" max="14" width="11.714286" customWidth="1"/>
    <col min="15" max="15" width="7.428571" customWidth="1"/>
    <col min="16" max="16" width="7.714286" customWidth="1"/>
    <col min="17" max="17" width="7.428571" customWidth="1"/>
    <col min="18" max="18" width="5.571429" customWidth="1"/>
    <col min="19" max="19" width="6.428571" customWidth="1"/>
    <col min="20" max="20" width="6.857143" customWidth="1"/>
    <col min="21" max="21" width="6.428571" customWidth="1"/>
    <col min="22" max="22" width="5.571429" customWidth="1"/>
    <col min="23" max="24" width="4.571429" customWidth="1"/>
  </cols>
  <sheetData>
    <row r="2" spans="2:24">
      <c r="B2" s="153" t="s">
        <v>85</v>
      </c>
      <c r="C2" s="153" t="s">
        <v>87</v>
      </c>
      <c r="D2" s="153" t="s">
        <v>352</v>
      </c>
      <c r="E2" s="153" t="s">
        <v>14</v>
      </c>
      <c r="F2" s="153" t="s">
        <v>37</v>
      </c>
      <c r="G2" s="153" t="s">
        <v>196</v>
      </c>
      <c r="H2" s="153" t="s">
        <v>30</v>
      </c>
      <c r="I2" s="153" t="s">
        <v>198</v>
      </c>
      <c r="J2" s="153" t="s">
        <v>199</v>
      </c>
      <c r="K2" s="153" t="s">
        <v>200</v>
      </c>
      <c r="M2" s="97" t="n">
        <v>352</v>
      </c>
      <c r="N2" s="62" t="s">
        <v>625</v>
      </c>
      <c r="O2" s="50" t="s">
        <v>484</v>
      </c>
      <c r="P2" s="50" t="s">
        <v>626</v>
      </c>
      <c r="Q2" s="50" t="s">
        <v>484</v>
      </c>
      <c r="R2" s="50" t="s">
        <v>28</v>
      </c>
      <c r="S2" s="50" t="s">
        <v>486</v>
      </c>
      <c r="T2" s="50" t="s">
        <v>487</v>
      </c>
      <c r="U2" s="50" t="s">
        <v>486</v>
      </c>
      <c r="V2" s="50" t="s">
        <v>481</v>
      </c>
      <c r="W2" s="50" t="s">
        <v>627</v>
      </c>
      <c r="X2" s="50" t="s">
        <v>628</v>
      </c>
    </row>
    <row r="3" spans="2:25">
      <c r="B3" t="s">
        <v>14</v>
      </c>
      <c r="C3" t="str">
        <f>Evaluacion!A3</f>
        <v>D. Gehmacher</v>
      </c>
      <c r="D3" s="62"/>
      <c r="E3" s="76">
        <f>Evaluacion!K3</f>
        <v>14.9499999999999993</v>
      </c>
      <c r="F3" s="76">
        <f>Evaluacion!L3</f>
        <v>9.94999999999999929</v>
      </c>
      <c r="G3" s="76">
        <f>Evaluacion!M3</f>
        <v>0.95</v>
      </c>
      <c r="H3" s="76">
        <f>Evaluacion!N3</f>
        <v>0</v>
      </c>
      <c r="I3" s="76">
        <f>Evaluacion!O3</f>
        <v>0</v>
      </c>
      <c r="J3" s="76">
        <f>Evaluacion!P3</f>
        <v>0</v>
      </c>
      <c r="K3" s="76">
        <f>Evaluacion!Q3</f>
        <v>17.9499999999999993</v>
      </c>
      <c r="M3" t="s">
        <v>14</v>
      </c>
      <c r="N3" s="196" t="n">
        <v>1</v>
      </c>
      <c r="O3" s="137">
        <f>Evaluacion!X3</f>
        <v>14.1815627700250992</v>
      </c>
      <c r="P3" s="137">
        <f>Evaluacion!Y3</f>
        <v>20.8875744972536985</v>
      </c>
      <c r="Q3" s="137">
        <f>Evaluacion!Z3</f>
        <v>14.1815627700250992</v>
      </c>
      <c r="R3" s="137" t="n">
        <v>0</v>
      </c>
      <c r="S3" s="137" t="n">
        <v>0</v>
      </c>
      <c r="T3" s="137" t="n">
        <v>0</v>
      </c>
      <c r="U3" s="137" t="n">
        <v>0</v>
      </c>
      <c r="V3" s="137" t="n">
        <v>0</v>
      </c>
      <c r="W3" s="137">
        <f>Evaluacion!T3</f>
        <v>0.538499999999999979</v>
      </c>
      <c r="X3" s="137">
        <f>Evaluacion!U3</f>
        <v>0.936500000000000021</v>
      </c>
      <c r="Y3" s="200"/>
    </row>
    <row r="4" spans="2:24">
      <c r="B4" t="s">
        <v>629</v>
      </c>
      <c r="C4" t="str">
        <f>Evaluacion!A6</f>
        <v>F. Lasprilla</v>
      </c>
      <c r="D4" s="62"/>
      <c r="E4" s="76">
        <f>Evaluacion!K6</f>
        <v>0</v>
      </c>
      <c r="F4" s="76">
        <f>Evaluacion!L6</f>
        <v>8.94999999999999929</v>
      </c>
      <c r="G4" s="76">
        <f>Evaluacion!M6</f>
        <v>7.95000000000000018</v>
      </c>
      <c r="H4" s="76">
        <f>Evaluacion!N6</f>
        <v>4.95000000000000018</v>
      </c>
      <c r="I4" s="76">
        <f>Evaluacion!O6</f>
        <v>7.95000000000000018</v>
      </c>
      <c r="J4" s="76">
        <f>Evaluacion!P6</f>
        <v>0.95</v>
      </c>
      <c r="K4" s="76">
        <f>Evaluacion!Q6</f>
        <v>14</v>
      </c>
      <c r="M4" t="s">
        <v>629</v>
      </c>
      <c r="N4" s="196" t="n">
        <v>1</v>
      </c>
      <c r="O4" s="137">
        <f>Evaluacion!AI6</f>
        <v>10.6582102410954001</v>
      </c>
      <c r="P4" s="137">
        <f>Evaluacion!AJ6</f>
        <v>4.7961946084929199</v>
      </c>
      <c r="Q4" s="137" t="n">
        <v>0</v>
      </c>
      <c r="R4" s="137">
        <f>Evaluacion!AK6</f>
        <v>1.76769685898143987</v>
      </c>
      <c r="S4" s="137">
        <f>Evaluacion!AL6</f>
        <v>4.45998654539574968</v>
      </c>
      <c r="T4" s="137" t="n">
        <v>0</v>
      </c>
      <c r="U4" s="137" t="n">
        <v>0</v>
      </c>
      <c r="V4" s="137">
        <f>Evaluacion!R6</f>
        <v>3.48125000000000018</v>
      </c>
      <c r="W4" s="137">
        <f>Evaluacion!T6</f>
        <v>0.467500000000000071</v>
      </c>
      <c r="X4" s="137">
        <f>Evaluacion!U6</f>
        <v>0.778000000000000025</v>
      </c>
    </row>
    <row r="5" spans="2:24">
      <c r="B5" t="s">
        <v>630</v>
      </c>
      <c r="C5" t="str">
        <f>Evaluacion!A14</f>
        <v>E. Deus</v>
      </c>
      <c r="D5" s="62"/>
      <c r="E5" s="76">
        <f>Evaluacion!K14</f>
        <v>0</v>
      </c>
      <c r="F5" s="76">
        <f>Evaluacion!L14</f>
        <v>11</v>
      </c>
      <c r="G5" s="76">
        <f>Evaluacion!M14</f>
        <v>7</v>
      </c>
      <c r="H5" s="76">
        <f>Evaluacion!N14</f>
        <v>1</v>
      </c>
      <c r="I5" s="76">
        <f>Evaluacion!O14</f>
        <v>6</v>
      </c>
      <c r="J5" s="76">
        <f>Evaluacion!P14</f>
        <v>5</v>
      </c>
      <c r="K5" s="76">
        <f>Evaluacion!Q14</f>
        <v>15.3333333333333002</v>
      </c>
      <c r="M5" t="s">
        <v>630</v>
      </c>
      <c r="N5" s="196" t="n">
        <v>1</v>
      </c>
      <c r="O5" s="137">
        <f>(Evaluacion!AA14+Evaluacion!AC14)/2</f>
        <v>4.78095521515912036</v>
      </c>
      <c r="P5" s="137">
        <f>Evaluacion!AB14</f>
        <v>12.3538894448556</v>
      </c>
      <c r="Q5" s="137">
        <f>O5</f>
        <v>4.78095521515912036</v>
      </c>
      <c r="R5" s="137">
        <f>Evaluacion!AD14</f>
        <v>1.98822568787562997</v>
      </c>
      <c r="S5" s="137" t="n">
        <v>0</v>
      </c>
      <c r="T5" s="137" t="n">
        <v>0</v>
      </c>
      <c r="U5" s="137" t="n">
        <v>0</v>
      </c>
      <c r="V5" s="137">
        <f>Evaluacion!R14</f>
        <v>3.25</v>
      </c>
      <c r="W5" s="137">
        <f>Evaluacion!T14</f>
        <v>0.709999999999998987</v>
      </c>
      <c r="X5" s="137">
        <f>Evaluacion!U14</f>
        <v>0.899999999999998934</v>
      </c>
    </row>
    <row r="6" spans="2:24">
      <c r="B6" t="s">
        <v>629</v>
      </c>
      <c r="C6" t="str">
        <f>Evaluacion!A9</f>
        <v>L. Tutorić</v>
      </c>
      <c r="D6" s="62" t="str">
        <f>Evaluacion!D9</f>
        <v>CAB</v>
      </c>
      <c r="E6" s="76">
        <f>Evaluacion!K9</f>
        <v>0</v>
      </c>
      <c r="F6" s="76">
        <f>Evaluacion!L9</f>
        <v>13</v>
      </c>
      <c r="G6" s="76">
        <f>Evaluacion!M9</f>
        <v>6</v>
      </c>
      <c r="H6" s="76">
        <f>Evaluacion!N9</f>
        <v>2</v>
      </c>
      <c r="I6" s="76">
        <f>Evaluacion!O9</f>
        <v>1</v>
      </c>
      <c r="J6" s="76">
        <f>Evaluacion!P9</f>
        <v>7</v>
      </c>
      <c r="K6" s="76">
        <f>Evaluacion!Q9</f>
        <v>15.3333333333333002</v>
      </c>
      <c r="M6" t="s">
        <v>629</v>
      </c>
      <c r="N6" s="196" t="n">
        <v>1</v>
      </c>
      <c r="O6" s="137" t="n">
        <v>0</v>
      </c>
      <c r="P6" s="137">
        <f>Evaluacion!AJ9</f>
        <v>5.93190399233580035</v>
      </c>
      <c r="Q6" s="137">
        <f>Evaluacion!AI9</f>
        <v>13.1820088718573007</v>
      </c>
      <c r="R6" s="137">
        <f>Evaluacion!AK9</f>
        <v>1.22382117565236004</v>
      </c>
      <c r="S6" s="137" t="n">
        <v>0</v>
      </c>
      <c r="T6" s="137">
        <f>0</f>
        <v>0</v>
      </c>
      <c r="U6" s="137">
        <f>Evaluacion!AL9</f>
        <v>1.95702306157835988</v>
      </c>
      <c r="V6" s="137">
        <f>Evaluacion!R9</f>
        <v>2.25</v>
      </c>
      <c r="W6" s="137">
        <f>Evaluacion!T9</f>
        <v>0.809999999999999076</v>
      </c>
      <c r="X6" s="137">
        <f>Evaluacion!U9</f>
        <v>0.979999999999999005</v>
      </c>
    </row>
    <row r="7" spans="2:24">
      <c r="B7" t="s">
        <v>473</v>
      </c>
      <c r="C7" t="str">
        <f>Evaluacion!A12</f>
        <v>V. Gardner</v>
      </c>
      <c r="D7" s="62">
        <f>Evaluacion!D12</f>
        <v>0</v>
      </c>
      <c r="E7" s="76">
        <f>Evaluacion!K12</f>
        <v>0</v>
      </c>
      <c r="F7" s="76">
        <f>Evaluacion!L12</f>
        <v>12</v>
      </c>
      <c r="G7" s="76">
        <f>Evaluacion!M12</f>
        <v>5</v>
      </c>
      <c r="H7" s="76">
        <f>Evaluacion!N12</f>
        <v>3</v>
      </c>
      <c r="I7" s="76">
        <f>Evaluacion!O12</f>
        <v>5</v>
      </c>
      <c r="J7" s="76">
        <f>Evaluacion!P12</f>
        <v>6</v>
      </c>
      <c r="K7" s="76">
        <f>Evaluacion!Q12</f>
        <v>16</v>
      </c>
      <c r="M7" t="s">
        <v>473</v>
      </c>
      <c r="N7" s="196" t="n">
        <v>0.824999999999999822</v>
      </c>
      <c r="O7" s="137">
        <f>Evaluacion!BE12*N7</f>
        <v>3.27641565124898992</v>
      </c>
      <c r="P7" s="137">
        <f>Evaluacion!BF12*N7</f>
        <v>3.91818778912249996</v>
      </c>
      <c r="Q7" s="137" t="n">
        <v>0</v>
      </c>
      <c r="R7" s="137">
        <f>Evaluacion!BG12*N7</f>
        <v>4.83154523625553978</v>
      </c>
      <c r="S7" s="137">
        <f>Evaluacion!BH12*N7</f>
        <v>3.9283185187641001</v>
      </c>
      <c r="T7" s="137">
        <f>Evaluacion!BI12*N7</f>
        <v>1.32168263557047005</v>
      </c>
      <c r="U7" s="137" t="n">
        <v>0</v>
      </c>
      <c r="V7" s="137" t="n">
        <v>0</v>
      </c>
      <c r="W7" s="137">
        <f>Evaluacion!T12*N7</f>
        <v>0.643499999999999961</v>
      </c>
      <c r="X7" s="137">
        <f>Evaluacion!U12*N7</f>
        <v>0.791999999999999993</v>
      </c>
    </row>
    <row r="8" spans="2:24">
      <c r="B8" t="s">
        <v>135</v>
      </c>
      <c r="C8" t="str">
        <f>Evaluacion!A15</f>
        <v>I. Vanags</v>
      </c>
      <c r="D8" s="62"/>
      <c r="E8" s="76">
        <f>Evaluacion!K15</f>
        <v>0</v>
      </c>
      <c r="F8" s="76">
        <f>Evaluacion!L15</f>
        <v>4</v>
      </c>
      <c r="G8" s="76">
        <f>Evaluacion!M15</f>
        <v>13</v>
      </c>
      <c r="H8" s="76">
        <f>Evaluacion!N15</f>
        <v>3</v>
      </c>
      <c r="I8" s="76">
        <f>Evaluacion!O15</f>
        <v>4</v>
      </c>
      <c r="J8" s="76">
        <f>Evaluacion!P15</f>
        <v>7</v>
      </c>
      <c r="K8" s="76">
        <f>Evaluacion!Q15</f>
        <v>16.3333333333333002</v>
      </c>
      <c r="M8" t="s">
        <v>135</v>
      </c>
      <c r="N8" s="196" t="n">
        <v>0.824999999999999822</v>
      </c>
      <c r="O8" s="137">
        <f>((Evaluacion!AX15+Evaluacion!AZ15)/2)*N8</f>
        <v>0.649423469282353949</v>
      </c>
      <c r="P8" s="137">
        <f>Evaluacion!AY15*N8</f>
        <v>1.83258827310716015</v>
      </c>
      <c r="Q8" s="137">
        <f>O8</f>
        <v>0.649423469282353949</v>
      </c>
      <c r="R8" s="137">
        <f>Evaluacion!BA15*N8</f>
        <v>12.0064706827678993</v>
      </c>
      <c r="S8" s="137">
        <f>((Evaluacion!BB15+Evaluacion!BD15)/2)*N8</f>
        <v>0.869334062055212087</v>
      </c>
      <c r="T8" s="137">
        <f>Evaluacion!BC15*N8</f>
        <v>3.04414034620510998</v>
      </c>
      <c r="U8" s="137">
        <f>S8</f>
        <v>0.869334062055212087</v>
      </c>
      <c r="V8" s="137" t="n">
        <v>0</v>
      </c>
      <c r="W8" s="137">
        <f>Evaluacion!T15*N8</f>
        <v>0.692999999999998906</v>
      </c>
      <c r="X8" s="137">
        <f>Evaluacion!U15*N8</f>
        <v>0.536249999999999005</v>
      </c>
    </row>
    <row r="9" spans="2:24">
      <c r="B9" t="s">
        <v>473</v>
      </c>
      <c r="C9" t="str">
        <f>Evaluacion!A13</f>
        <v>S. Embe</v>
      </c>
      <c r="D9" s="62">
        <f>Evaluacion!D13</f>
        <v>0</v>
      </c>
      <c r="E9" s="76">
        <f>Evaluacion!K13</f>
        <v>0</v>
      </c>
      <c r="F9" s="76">
        <f>Evaluacion!L13</f>
        <v>11</v>
      </c>
      <c r="G9" s="76">
        <f>Evaluacion!M13</f>
        <v>4</v>
      </c>
      <c r="H9" s="76">
        <f>Evaluacion!N13</f>
        <v>1</v>
      </c>
      <c r="I9" s="76">
        <f>Evaluacion!O13</f>
        <v>5</v>
      </c>
      <c r="J9" s="76">
        <f>Evaluacion!P13</f>
        <v>6</v>
      </c>
      <c r="K9" s="76">
        <f>Evaluacion!Q13</f>
        <v>17.3333333333333002</v>
      </c>
      <c r="M9" t="s">
        <v>473</v>
      </c>
      <c r="N9" s="196" t="n">
        <v>0.824999999999999822</v>
      </c>
      <c r="O9" s="137" t="n">
        <v>0</v>
      </c>
      <c r="P9" s="137">
        <f>Evaluacion!BF13*N9</f>
        <v>3.45578616509344005</v>
      </c>
      <c r="Q9" s="137">
        <f>Evaluacion!BE13*N9</f>
        <v>2.88975222425917</v>
      </c>
      <c r="R9" s="137">
        <f>Evaluacion!BG13*N9</f>
        <v>3.66092503289456017</v>
      </c>
      <c r="S9" s="137" t="n">
        <v>0</v>
      </c>
      <c r="T9" s="137">
        <f>Evaluacion!BI13*N9</f>
        <v>1.2002812235273399</v>
      </c>
      <c r="U9" s="137">
        <f>Evaluacion!BH13*N9</f>
        <v>2.5333933930116399</v>
      </c>
      <c r="V9" s="137" t="n">
        <v>0</v>
      </c>
      <c r="W9" s="137">
        <f>Evaluacion!T13*N9</f>
        <v>0.676499999999998991</v>
      </c>
      <c r="X9" s="137">
        <f>Evaluacion!U13*N9</f>
        <v>0.791999999999999016</v>
      </c>
    </row>
    <row r="10" spans="2:24">
      <c r="B10" t="s">
        <v>476</v>
      </c>
      <c r="C10" t="e">
        <f>#REF!</f>
        <v>#REF!</v>
      </c>
      <c r="D10" s="62" t="e">
        <f>#REF!</f>
        <v>#REF!</v>
      </c>
      <c r="E10" s="76" t="e">
        <f>#REF!</f>
        <v>#REF!</v>
      </c>
      <c r="F10" s="76" t="e">
        <f>#REF!</f>
        <v>#REF!</v>
      </c>
      <c r="G10" s="76" t="e">
        <f>#REF!</f>
        <v>#REF!</v>
      </c>
      <c r="H10" s="76" t="e">
        <f>#REF!</f>
        <v>#REF!</v>
      </c>
      <c r="I10" s="76" t="e">
        <f>#REF!</f>
        <v>#REF!</v>
      </c>
      <c r="J10" s="76" t="e">
        <f>#REF!</f>
        <v>#REF!</v>
      </c>
      <c r="K10" s="76" t="e">
        <f>#REF!</f>
        <v>#REF!</v>
      </c>
      <c r="M10" t="s">
        <v>476</v>
      </c>
      <c r="N10" s="196" t="n">
        <v>1</v>
      </c>
      <c r="O10" s="137" t="e">
        <f>#REF!</f>
        <v>#REF!</v>
      </c>
      <c r="P10" s="137" t="e">
        <f>#REF!</f>
        <v>#REF!</v>
      </c>
      <c r="Q10" s="137" t="n">
        <v>0</v>
      </c>
      <c r="R10" s="137" t="e">
        <f>#REF!</f>
        <v>#REF!</v>
      </c>
      <c r="S10" s="137" t="e">
        <f>#REF!</f>
        <v>#REF!</v>
      </c>
      <c r="T10" s="137" t="e">
        <f>#REF!</f>
        <v>#REF!</v>
      </c>
      <c r="U10" s="137" t="n">
        <v>0</v>
      </c>
      <c r="V10" s="137" t="n">
        <v>0</v>
      </c>
      <c r="W10" s="137" t="e">
        <f>#REF!*N10</f>
        <v>#REF!</v>
      </c>
      <c r="X10" s="137" t="e">
        <f>#REF!*N10</f>
        <v>#REF!</v>
      </c>
    </row>
    <row r="11" spans="2:24">
      <c r="B11" t="s">
        <v>476</v>
      </c>
      <c r="C11" t="str">
        <f>Evaluacion!A10</f>
        <v>S. Swärdborn</v>
      </c>
      <c r="D11" s="62" t="str">
        <f>Evaluacion!D10</f>
        <v>IMP</v>
      </c>
      <c r="E11" s="76">
        <f>Evaluacion!K10</f>
        <v>0</v>
      </c>
      <c r="F11" s="76">
        <f>Evaluacion!L10</f>
        <v>12</v>
      </c>
      <c r="G11" s="76">
        <f>Evaluacion!M10</f>
        <v>7</v>
      </c>
      <c r="H11" s="76">
        <f>Evaluacion!N10</f>
        <v>1</v>
      </c>
      <c r="I11" s="76">
        <f>Evaluacion!O10</f>
        <v>3</v>
      </c>
      <c r="J11" s="76">
        <f>Evaluacion!P10</f>
        <v>6</v>
      </c>
      <c r="K11" s="76">
        <f>Evaluacion!Q10</f>
        <v>15.3333333333333002</v>
      </c>
      <c r="M11" t="s">
        <v>476</v>
      </c>
      <c r="N11" s="196" t="n">
        <v>1</v>
      </c>
      <c r="O11" s="137" t="n">
        <v>0</v>
      </c>
      <c r="P11" s="137">
        <f>Evaluacion!BU10</f>
        <v>3.29351890060191987</v>
      </c>
      <c r="Q11" s="137">
        <f>Evaluacion!BT10</f>
        <v>3.83344003184812987</v>
      </c>
      <c r="R11" s="137">
        <f>Evaluacion!BV10</f>
        <v>3.86660286792572006</v>
      </c>
      <c r="S11" s="137" t="n">
        <v>0</v>
      </c>
      <c r="T11" s="137">
        <f>Evaluacion!BX10</f>
        <v>0.544261422019805963</v>
      </c>
      <c r="U11" s="137">
        <f>Evaluacion!BW10</f>
        <v>3.25581533552020019</v>
      </c>
      <c r="V11" s="137" t="n">
        <v>0</v>
      </c>
      <c r="W11" s="137">
        <f>Evaluacion!T10*N11</f>
        <v>0.759999999999998987</v>
      </c>
      <c r="X11" s="137">
        <f>Evaluacion!U10*N11</f>
        <v>0.93999999999999897</v>
      </c>
    </row>
    <row r="12" spans="2:24">
      <c r="B12" t="s">
        <v>21</v>
      </c>
      <c r="C12" t="str">
        <f>Evaluacion!A18</f>
        <v>M. Bondarewski</v>
      </c>
      <c r="D12" s="62" t="str">
        <f>Evaluacion!D18</f>
        <v>RAP</v>
      </c>
      <c r="E12" s="76">
        <f>Evaluacion!K18</f>
        <v>0</v>
      </c>
      <c r="F12" s="76">
        <f>Evaluacion!L18</f>
        <v>2</v>
      </c>
      <c r="G12" s="76">
        <f>Evaluacion!M18</f>
        <v>13</v>
      </c>
      <c r="H12" s="76">
        <f>Evaluacion!N18</f>
        <v>5</v>
      </c>
      <c r="I12" s="76">
        <f>Evaluacion!O18</f>
        <v>4</v>
      </c>
      <c r="J12" s="76">
        <f>Evaluacion!P18</f>
        <v>8</v>
      </c>
      <c r="K12" s="76">
        <f>Evaluacion!Q18</f>
        <v>17</v>
      </c>
      <c r="M12" t="s">
        <v>21</v>
      </c>
      <c r="N12" s="196" t="n">
        <v>0.944999999999999929</v>
      </c>
      <c r="O12" s="137" t="n">
        <v>0</v>
      </c>
      <c r="P12" s="137" t="n">
        <v>0</v>
      </c>
      <c r="Q12" s="137" t="n">
        <v>0</v>
      </c>
      <c r="R12" s="137">
        <f>N12*Evaluacion!CK18</f>
        <v>3.49368535121335011</v>
      </c>
      <c r="S12" s="137">
        <f>N12*Evaluacion!CH18</f>
        <v>4.59929389522366971</v>
      </c>
      <c r="T12" s="137">
        <f>N12*Evaluacion!CI18</f>
        <v>11.2680759832442998</v>
      </c>
      <c r="U12" s="137">
        <f>S12</f>
        <v>4.59929389522366971</v>
      </c>
      <c r="V12" s="137" t="n">
        <v>0</v>
      </c>
      <c r="W12" s="137">
        <f>Evaluacion!T18*N12</f>
        <v>0.859949999999999903</v>
      </c>
      <c r="X12" s="137">
        <f>Evaluacion!U18*N12</f>
        <v>0.55754999999999999</v>
      </c>
    </row>
    <row r="13" spans="2:24">
      <c r="B13" t="s">
        <v>140</v>
      </c>
      <c r="C13" t="str">
        <f>Evaluacion!A19</f>
        <v>P. Tuderek</v>
      </c>
      <c r="D13" s="62" t="str">
        <f>Evaluacion!D19</f>
        <v>CAB</v>
      </c>
      <c r="E13" s="76">
        <f>Evaluacion!K19</f>
        <v>0</v>
      </c>
      <c r="F13" s="76">
        <f>Evaluacion!L19</f>
        <v>6</v>
      </c>
      <c r="G13" s="76">
        <f>Evaluacion!M19</f>
        <v>12</v>
      </c>
      <c r="H13" s="76">
        <f>Evaluacion!N19</f>
        <v>2</v>
      </c>
      <c r="I13" s="76">
        <f>Evaluacion!O19</f>
        <v>3</v>
      </c>
      <c r="J13" s="76">
        <f>Evaluacion!P19</f>
        <v>6</v>
      </c>
      <c r="K13" s="76">
        <f>Evaluacion!Q19</f>
        <v>17.25</v>
      </c>
      <c r="M13" t="s">
        <v>140</v>
      </c>
      <c r="N13" s="196">
        <f>1-0.055</f>
        <v>0.944999999999999929</v>
      </c>
      <c r="O13" s="137" t="n">
        <v>0</v>
      </c>
      <c r="P13" s="137" t="n">
        <v>0</v>
      </c>
      <c r="Q13" s="137" t="n">
        <v>0</v>
      </c>
      <c r="R13" s="137">
        <f>N13*Evaluacion!CD19</f>
        <v>5.22425431980520028</v>
      </c>
      <c r="S13" s="137">
        <f>N13*Evaluacion!CE19</f>
        <v>2.49689078970075018</v>
      </c>
      <c r="T13" s="137">
        <f>N13*Evaluacion!CF19</f>
        <v>6.56511678349912042</v>
      </c>
      <c r="U13" s="137">
        <f>S13</f>
        <v>2.49689078970075018</v>
      </c>
      <c r="V13" s="137" t="n">
        <v>0</v>
      </c>
      <c r="W13" s="137">
        <f>Evaluacion!T19*N13</f>
        <v>0.772537499999999966</v>
      </c>
      <c r="X13" s="137">
        <f>Evaluacion!U19*N13</f>
        <v>0.715837500000000038</v>
      </c>
    </row>
    <row r="14" spans="13:24">
      <c r="M14"/>
      <c r="N14" s="62"/>
      <c r="O14" s="197" t="e">
        <f>SUM(O3:O13)</f>
        <v>#REF!</v>
      </c>
      <c r="P14" s="197" t="e">
        <f>SUM(P3:P13)</f>
        <v>#REF!</v>
      </c>
      <c r="Q14" s="197">
        <f>SUM(Q3:Q13)</f>
        <v>39.5171425824311982</v>
      </c>
      <c r="R14" s="197" t="e">
        <f>SUM(R3:R13)</f>
        <v>#REF!</v>
      </c>
      <c r="S14" s="197" t="e">
        <f>SUM(S3:S13)</f>
        <v>#REF!</v>
      </c>
      <c r="T14" s="197" t="e">
        <f>SUM(T3:T13)</f>
        <v>#REF!</v>
      </c>
      <c r="U14" s="197">
        <f>SUM(U3:U13)</f>
        <v>15.7117505370898005</v>
      </c>
      <c r="V14" s="197">
        <f>SUM(V3:V13)</f>
        <v>8.98124999999999929</v>
      </c>
      <c r="W14" s="197" t="e">
        <f>SUM(W3:W13)</f>
        <v>#REF!</v>
      </c>
      <c r="X14" s="197" t="e">
        <f>SUM(X3:X13)</f>
        <v>#REF!</v>
      </c>
    </row>
    <row r="15" spans="13:21">
      <c r="M15"/>
      <c r="N15" t="s">
        <v>631</v>
      </c>
      <c r="O15" s="199" t="e">
        <f>O14*0.34</f>
        <v>#REF!</v>
      </c>
      <c r="P15" s="199" t="e">
        <f>P14*0.245</f>
        <v>#REF!</v>
      </c>
      <c r="Q15" s="199">
        <f>Q14*0.34</f>
        <v>13.4358284780266004</v>
      </c>
      <c r="R15" s="199" t="e">
        <f>R14*0.125</f>
        <v>#REF!</v>
      </c>
      <c r="S15" s="199" t="e">
        <f>S14*0.25</f>
        <v>#REF!</v>
      </c>
      <c r="T15" s="199" t="e">
        <f>T14*0.19</f>
        <v>#REF!</v>
      </c>
      <c r="U15" s="199">
        <f>U14*0.25</f>
        <v>3.92793763427245004</v>
      </c>
    </row>
    <row r="16" spans="13:21">
      <c r="M16"/>
      <c r="N16" t="s">
        <v>632</v>
      </c>
      <c r="O16" s="204" t="e">
        <f>O15*1.2/1.05</f>
        <v>#REF!</v>
      </c>
      <c r="P16" s="204" t="e">
        <f>P15*1.2/1.05</f>
        <v>#REF!</v>
      </c>
      <c r="Q16" s="204">
        <f>Q15*1.2/1.05</f>
        <v>15.3552325463161008</v>
      </c>
      <c r="R16" s="204" t="e">
        <f>R15</f>
        <v>#REF!</v>
      </c>
      <c r="S16" s="204" t="e">
        <f>S15*0.925/1.05</f>
        <v>#REF!</v>
      </c>
      <c r="T16" s="204" t="e">
        <f>T15*0.925/1.05</f>
        <v>#REF!</v>
      </c>
      <c r="U16" s="204">
        <f>U15*0.925/1.05</f>
        <v>3.46032601114478</v>
      </c>
    </row>
    <row r="17" spans="13:21">
      <c r="M17"/>
      <c r="N17" t="s">
        <v>633</v>
      </c>
      <c r="O17" s="204" t="e">
        <f>O15*0.925/1.05</f>
        <v>#REF!</v>
      </c>
      <c r="P17" s="204" t="e">
        <f>P15*0.925/1.05</f>
        <v>#REF!</v>
      </c>
      <c r="Q17" s="204">
        <f>Q15*0.925/1.05</f>
        <v>11.8363250877852995</v>
      </c>
      <c r="R17" s="204" t="e">
        <f>R16</f>
        <v>#REF!</v>
      </c>
      <c r="S17" s="204" t="e">
        <f>S15*1.135/1.05</f>
        <v>#REF!</v>
      </c>
      <c r="T17" s="204" t="e">
        <f>T15*1.135/1.05</f>
        <v>#REF!</v>
      </c>
      <c r="U17" s="204">
        <f>U15*1.135/1.05</f>
        <v>4.24591353799926985</v>
      </c>
    </row>
  </sheetData>
  <conditionalFormatting sqref="E3:K13">
    <cfRule type="colorScale" priority="1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5601780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5601780" l="56" r="56" t="56" b="56" borderId="0" fillId="0" vertical="0"/>
        <pm:footer xmlns:pm="smNativeData" id="1595601780" l="56" r="56" t="56" b="56" borderId="0" fillId="0" vertical="2"/>
      </ext>
    </extLst>
  </headerFooter>
  <extLst>
    <ext uri="smNativeData">
      <pm:sheetPrefs xmlns:pm="smNativeData" day="1595601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E26B0A"/>
  </sheetPr>
  <dimension ref="A1:AA16"/>
  <sheetViews>
    <sheetView view="normal" workbookViewId="0">
      <selection activeCell="Q12" sqref="Q12"/>
    </sheetView>
  </sheetViews>
  <sheetFormatPr baseColWidth="10" defaultColWidth="11.428571" defaultRowHeight="15.40"/>
  <cols>
    <col min="1" max="1" width="6.000000" customWidth="1"/>
    <col min="2" max="2" width="13.714286" customWidth="1"/>
    <col min="3" max="3" width="4.571429" customWidth="1"/>
    <col min="4" max="7" width="5.571429" customWidth="1"/>
    <col min="8" max="8" width="4.571429" customWidth="1"/>
    <col min="9" max="9" width="5.142857" customWidth="1"/>
    <col min="10" max="11" width="5.571429" customWidth="1"/>
    <col min="12" max="12" width="6.000000" customWidth="1"/>
    <col min="13" max="13" width="13.714286" customWidth="1"/>
    <col min="14" max="14" width="7.428571" customWidth="1"/>
    <col min="15" max="15" width="7.714286" customWidth="1"/>
    <col min="16" max="16" width="7.428571" customWidth="1"/>
    <col min="17" max="20" width="7.000000" customWidth="1"/>
    <col min="21" max="23" width="6.571429" customWidth="1"/>
  </cols>
  <sheetData>
    <row r="1" spans="1:23">
      <c r="A1" s="153" t="s">
        <v>85</v>
      </c>
      <c r="B1" s="153" t="s">
        <v>87</v>
      </c>
      <c r="C1" s="153" t="s">
        <v>352</v>
      </c>
      <c r="D1" s="153" t="s">
        <v>14</v>
      </c>
      <c r="E1" s="153" t="s">
        <v>37</v>
      </c>
      <c r="F1" s="153" t="s">
        <v>196</v>
      </c>
      <c r="G1" s="153" t="s">
        <v>30</v>
      </c>
      <c r="H1" s="153" t="s">
        <v>198</v>
      </c>
      <c r="I1" s="153" t="s">
        <v>199</v>
      </c>
      <c r="J1" s="153" t="s">
        <v>200</v>
      </c>
      <c r="L1" s="97" t="n">
        <v>541</v>
      </c>
      <c r="M1" s="62" t="s">
        <v>625</v>
      </c>
      <c r="N1" s="50" t="s">
        <v>484</v>
      </c>
      <c r="O1" s="50" t="s">
        <v>626</v>
      </c>
      <c r="P1" s="50" t="s">
        <v>484</v>
      </c>
      <c r="Q1" s="50" t="s">
        <v>28</v>
      </c>
      <c r="R1" s="50" t="s">
        <v>486</v>
      </c>
      <c r="S1" s="50" t="s">
        <v>487</v>
      </c>
      <c r="T1" s="50" t="s">
        <v>486</v>
      </c>
      <c r="U1" s="50" t="s">
        <v>481</v>
      </c>
      <c r="V1" s="50" t="s">
        <v>627</v>
      </c>
      <c r="W1" s="50" t="s">
        <v>628</v>
      </c>
    </row>
    <row r="2" spans="1:27">
      <c r="A2" t="s">
        <v>14</v>
      </c>
      <c r="B2" t="str">
        <f>Evaluacion!A3</f>
        <v>D. Gehmacher</v>
      </c>
      <c r="C2">
        <f>Evaluacion!D3</f>
        <v>0</v>
      </c>
      <c r="D2" s="76">
        <f>Evaluacion!K3</f>
        <v>14.9499999999999993</v>
      </c>
      <c r="E2" s="76">
        <f>Evaluacion!L3</f>
        <v>9.94999999999999929</v>
      </c>
      <c r="F2" s="76">
        <f>Evaluacion!M3</f>
        <v>0.95</v>
      </c>
      <c r="G2" s="76">
        <f>Evaluacion!N3</f>
        <v>0</v>
      </c>
      <c r="H2" s="76">
        <f>Evaluacion!O3</f>
        <v>0</v>
      </c>
      <c r="I2" s="76">
        <f>Evaluacion!P3</f>
        <v>0</v>
      </c>
      <c r="J2" s="76">
        <f>Evaluacion!Q3</f>
        <v>17.9499999999999993</v>
      </c>
      <c r="L2" t="str">
        <f>A2</f>
        <v>POR</v>
      </c>
      <c r="M2" s="196" t="n">
        <v>1</v>
      </c>
      <c r="N2" s="137">
        <f>Evaluacion!X3</f>
        <v>14.1815627700250992</v>
      </c>
      <c r="O2" s="137">
        <f>Evaluacion!Y3</f>
        <v>20.8875744972536985</v>
      </c>
      <c r="P2" s="137">
        <f>Evaluacion!Z3</f>
        <v>14.1815627700250992</v>
      </c>
      <c r="Q2" s="137" t="n">
        <v>0</v>
      </c>
      <c r="R2" s="137" t="n">
        <v>0</v>
      </c>
      <c r="S2" s="137" t="n">
        <v>0</v>
      </c>
      <c r="T2" s="137" t="n">
        <v>0</v>
      </c>
      <c r="U2" s="137" t="n">
        <v>0</v>
      </c>
      <c r="V2" s="137">
        <f>Evaluacion!T3</f>
        <v>0.538499999999999979</v>
      </c>
      <c r="W2" s="137">
        <f>Evaluacion!U3</f>
        <v>0.936500000000000021</v>
      </c>
      <c r="AA2" s="54"/>
    </row>
    <row r="3" spans="1:27">
      <c r="A3" t="s">
        <v>629</v>
      </c>
      <c r="B3" t="str">
        <f>Evaluacion!A9</f>
        <v>L. Tutorić</v>
      </c>
      <c r="C3" t="str">
        <f>Evaluacion!D9</f>
        <v>CAB</v>
      </c>
      <c r="D3" s="76">
        <f>Evaluacion!K9</f>
        <v>0</v>
      </c>
      <c r="E3" s="76">
        <f>Evaluacion!L9</f>
        <v>13</v>
      </c>
      <c r="F3" s="76">
        <f>Evaluacion!M9</f>
        <v>6</v>
      </c>
      <c r="G3" s="76">
        <f>Evaluacion!N9</f>
        <v>2</v>
      </c>
      <c r="H3" s="76">
        <f>Evaluacion!O9</f>
        <v>1</v>
      </c>
      <c r="I3" s="76">
        <f>Evaluacion!P9</f>
        <v>7</v>
      </c>
      <c r="J3" s="76">
        <f>Evaluacion!Q9</f>
        <v>15.3333333333333002</v>
      </c>
      <c r="L3" t="str">
        <f>A3</f>
        <v>LATN</v>
      </c>
      <c r="M3" s="196" t="n">
        <v>1</v>
      </c>
      <c r="N3" s="137">
        <f>Evaluacion!AI9</f>
        <v>13.1820088718573007</v>
      </c>
      <c r="O3" s="137">
        <f>Evaluacion!AJ9</f>
        <v>5.93190399233580035</v>
      </c>
      <c r="P3" s="137" t="n">
        <v>0</v>
      </c>
      <c r="Q3" s="137">
        <f>Evaluacion!AK9</f>
        <v>1.22382117565236004</v>
      </c>
      <c r="R3" s="137">
        <f>Evaluacion!AL9</f>
        <v>1.95702306157835988</v>
      </c>
      <c r="S3" s="137" t="n">
        <v>0</v>
      </c>
      <c r="T3" s="137" t="n">
        <v>0</v>
      </c>
      <c r="U3" s="137">
        <f>Evaluacion!R9</f>
        <v>2.25</v>
      </c>
      <c r="V3" s="137">
        <f>Evaluacion!T9</f>
        <v>0.809999999999999076</v>
      </c>
      <c r="W3" s="137">
        <f>Evaluacion!U9</f>
        <v>0.979999999999999005</v>
      </c>
      <c r="AA3" s="54"/>
    </row>
    <row r="4" spans="1:27">
      <c r="A4" t="s">
        <v>634</v>
      </c>
      <c r="B4" t="str">
        <f>Evaluacion!A7</f>
        <v>E. Romweber</v>
      </c>
      <c r="C4" t="str">
        <f>Evaluacion!D7</f>
        <v>IMP</v>
      </c>
      <c r="D4" s="76">
        <f>Evaluacion!K7</f>
        <v>0</v>
      </c>
      <c r="E4" s="76">
        <f>Evaluacion!L7</f>
        <v>8.94999999999999929</v>
      </c>
      <c r="F4" s="76">
        <f>Evaluacion!M7</f>
        <v>8.94999999999999929</v>
      </c>
      <c r="G4" s="76">
        <f>Evaluacion!N7</f>
        <v>8.94999999999999929</v>
      </c>
      <c r="H4" s="76">
        <f>Evaluacion!O7</f>
        <v>6.95000000000000018</v>
      </c>
      <c r="I4" s="76">
        <f>Evaluacion!P7</f>
        <v>0.95</v>
      </c>
      <c r="J4" s="76">
        <f>Evaluacion!Q7</f>
        <v>16</v>
      </c>
      <c r="L4" t="str">
        <f>A4</f>
        <v>DCHL</v>
      </c>
      <c r="M4" s="196" t="n">
        <v>0.9</v>
      </c>
      <c r="N4" s="137">
        <f>M4*Evaluacion!AM7</f>
        <v>8.25044899068572946</v>
      </c>
      <c r="O4" s="137">
        <f>M4*Evaluacion!AN7</f>
        <v>7.74710594881365022</v>
      </c>
      <c r="P4" s="137" t="n">
        <v>0</v>
      </c>
      <c r="Q4" s="137">
        <f>M4*Evaluacion!AO7</f>
        <v>2.88696908679643993</v>
      </c>
      <c r="R4" s="137">
        <f>M4*Evaluacion!AP7</f>
        <v>1.66906513172082001</v>
      </c>
      <c r="S4" s="137" t="n">
        <v>0</v>
      </c>
      <c r="T4" s="137" t="n">
        <v>0</v>
      </c>
      <c r="U4" s="137">
        <f>Evaluacion!R7</f>
        <v>3.23125000000000018</v>
      </c>
      <c r="V4" s="137">
        <f>Evaluacion!T7*M4</f>
        <v>0.47475000000000005</v>
      </c>
      <c r="W4" s="137">
        <f>Evaluacion!U7*M4</f>
        <v>0.754199999999999982</v>
      </c>
      <c r="AA4" s="54"/>
    </row>
    <row r="5" spans="1:27">
      <c r="A5" t="s">
        <v>132</v>
      </c>
      <c r="B5" t="str">
        <f>Evaluacion!A6</f>
        <v>F. Lasprilla</v>
      </c>
      <c r="C5">
        <f>Evaluacion!D6</f>
        <v>0</v>
      </c>
      <c r="D5" s="76">
        <f>Evaluacion!K6</f>
        <v>0</v>
      </c>
      <c r="E5" s="76">
        <f>Evaluacion!L6</f>
        <v>8.94999999999999929</v>
      </c>
      <c r="F5" s="76">
        <f>Evaluacion!M6</f>
        <v>7.95000000000000018</v>
      </c>
      <c r="G5" s="76">
        <f>Evaluacion!N6</f>
        <v>4.95000000000000018</v>
      </c>
      <c r="H5" s="76">
        <f>Evaluacion!O6</f>
        <v>7.95000000000000018</v>
      </c>
      <c r="I5" s="76">
        <f>Evaluacion!P6</f>
        <v>0.95</v>
      </c>
      <c r="J5" s="76">
        <f>Evaluacion!Q6</f>
        <v>14</v>
      </c>
      <c r="L5" t="str">
        <f>A5</f>
        <v>DCN</v>
      </c>
      <c r="M5" s="196" t="n">
        <v>0.9</v>
      </c>
      <c r="N5" s="137">
        <f>M5*(Evaluacion!AA6+Evaluacion!AC6)/2</f>
        <v>4.03505937714512974</v>
      </c>
      <c r="O5" s="137">
        <f>M5*Evaluacion!AB6</f>
        <v>10.4265100184628992</v>
      </c>
      <c r="P5" s="137">
        <f>N5</f>
        <v>4.03505937714512974</v>
      </c>
      <c r="Q5" s="137">
        <f>M5*Evaluacion!AD6</f>
        <v>2.26730938439416985</v>
      </c>
      <c r="R5" s="137" t="n">
        <v>0</v>
      </c>
      <c r="S5" s="137">
        <f>0</f>
        <v>0</v>
      </c>
      <c r="T5" s="137" t="n">
        <v>0</v>
      </c>
      <c r="U5" s="137">
        <f>Evaluacion!R6</f>
        <v>3.48125000000000018</v>
      </c>
      <c r="V5" s="137">
        <f>Evaluacion!T6*M5</f>
        <v>0.420750000000000046</v>
      </c>
      <c r="W5" s="137">
        <f>Evaluacion!U6*M5</f>
        <v>0.700200000000000067</v>
      </c>
      <c r="AA5" s="54"/>
    </row>
    <row r="6" spans="1:27">
      <c r="A6" t="s">
        <v>634</v>
      </c>
      <c r="B6" t="str">
        <f>Evaluacion!A5</f>
        <v>E. Toney</v>
      </c>
      <c r="C6">
        <f>Evaluacion!D5</f>
        <v>0</v>
      </c>
      <c r="D6" s="76">
        <f>Evaluacion!K5</f>
        <v>0</v>
      </c>
      <c r="E6" s="76">
        <f>Evaluacion!L5</f>
        <v>8.94999999999999929</v>
      </c>
      <c r="F6" s="76">
        <f>Evaluacion!M5</f>
        <v>8.94999999999999929</v>
      </c>
      <c r="G6" s="76">
        <f>Evaluacion!N5</f>
        <v>4.95000000000000018</v>
      </c>
      <c r="H6" s="76">
        <f>Evaluacion!O5</f>
        <v>4.95000000000000018</v>
      </c>
      <c r="I6" s="76">
        <f>Evaluacion!P5</f>
        <v>0</v>
      </c>
      <c r="J6" s="76">
        <f>Evaluacion!Q5</f>
        <v>15</v>
      </c>
      <c r="L6" t="str">
        <f>A6</f>
        <v>DCHL</v>
      </c>
      <c r="M6" s="196" t="n">
        <v>0.9</v>
      </c>
      <c r="N6" s="137" t="n">
        <v>0</v>
      </c>
      <c r="O6" s="137">
        <f>M6*Evaluacion!AN5</f>
        <v>7.74710594881365022</v>
      </c>
      <c r="P6" s="137">
        <f>M6*Evaluacion!AM5</f>
        <v>8.25044899068572946</v>
      </c>
      <c r="Q6" s="137">
        <f>M6*Evaluacion!AO5</f>
        <v>2.73666908679643983</v>
      </c>
      <c r="R6" s="137" t="n">
        <v>0</v>
      </c>
      <c r="S6" s="137" t="n">
        <v>0</v>
      </c>
      <c r="T6" s="137">
        <f>M6*Evaluacion!AP5</f>
        <v>1.53946513172081989</v>
      </c>
      <c r="U6" s="137">
        <f>Evaluacion!R5</f>
        <v>2.73125000000000018</v>
      </c>
      <c r="V6" s="137">
        <f>Evaluacion!T5*M6</f>
        <v>0.405000000000000071</v>
      </c>
      <c r="W6" s="137">
        <f>Evaluacion!U5*M6</f>
        <v>0.727199999999999935</v>
      </c>
      <c r="AA6" s="54"/>
    </row>
    <row r="7" spans="1:27">
      <c r="A7" t="s">
        <v>629</v>
      </c>
      <c r="B7" t="e">
        <f>#REF!</f>
        <v>#REF!</v>
      </c>
      <c r="C7" t="e">
        <f>#REF!</f>
        <v>#REF!</v>
      </c>
      <c r="D7" s="76" t="e">
        <f>#REF!</f>
        <v>#REF!</v>
      </c>
      <c r="E7" s="76" t="e">
        <f>#REF!</f>
        <v>#REF!</v>
      </c>
      <c r="F7" s="76" t="e">
        <f>#REF!</f>
        <v>#REF!</v>
      </c>
      <c r="G7" s="76" t="e">
        <f>#REF!</f>
        <v>#REF!</v>
      </c>
      <c r="H7" s="76" t="e">
        <f>#REF!</f>
        <v>#REF!</v>
      </c>
      <c r="I7" s="76" t="e">
        <f>#REF!</f>
        <v>#REF!</v>
      </c>
      <c r="J7" s="76" t="e">
        <f>#REF!</f>
        <v>#REF!</v>
      </c>
      <c r="L7" t="str">
        <f>A7</f>
        <v>LATN</v>
      </c>
      <c r="M7" s="196" t="n">
        <v>1</v>
      </c>
      <c r="N7" s="137" t="n">
        <v>0</v>
      </c>
      <c r="O7" s="137" t="e">
        <f>#REF!</f>
        <v>#REF!</v>
      </c>
      <c r="P7" s="137" t="e">
        <f>#REF!</f>
        <v>#REF!</v>
      </c>
      <c r="Q7" s="137" t="e">
        <f>#REF!</f>
        <v>#REF!</v>
      </c>
      <c r="R7" s="137" t="n">
        <v>0</v>
      </c>
      <c r="S7" s="137" t="n">
        <v>0</v>
      </c>
      <c r="T7" s="137" t="e">
        <f>#REF!</f>
        <v>#REF!</v>
      </c>
      <c r="U7" s="137" t="e">
        <f>#REF!</f>
        <v>#REF!</v>
      </c>
      <c r="V7" s="137" t="e">
        <f>#REF!</f>
        <v>#REF!</v>
      </c>
      <c r="W7" s="137" t="e">
        <f>#REF!</f>
        <v>#REF!</v>
      </c>
      <c r="AA7" s="54"/>
    </row>
    <row r="8" spans="1:27">
      <c r="A8" t="s">
        <v>473</v>
      </c>
      <c r="B8" t="str">
        <f>Evaluacion!A13</f>
        <v>S. Embe</v>
      </c>
      <c r="C8">
        <f>Evaluacion!D13</f>
        <v>0</v>
      </c>
      <c r="D8" s="76">
        <f>Evaluacion!K13</f>
        <v>0</v>
      </c>
      <c r="E8" s="76">
        <f>Evaluacion!L13</f>
        <v>11</v>
      </c>
      <c r="F8" s="76">
        <f>Evaluacion!M13</f>
        <v>4</v>
      </c>
      <c r="G8" s="76">
        <f>Evaluacion!N13</f>
        <v>1</v>
      </c>
      <c r="H8" s="76">
        <f>Evaluacion!O13</f>
        <v>5</v>
      </c>
      <c r="I8" s="76">
        <f>Evaluacion!P13</f>
        <v>6</v>
      </c>
      <c r="J8" s="76">
        <f>Evaluacion!Q13</f>
        <v>17.3333333333333002</v>
      </c>
      <c r="L8" t="str">
        <f>A8</f>
        <v>IHL</v>
      </c>
      <c r="M8" s="196">
        <f>1-0.065</f>
        <v>0.935000000000000142</v>
      </c>
      <c r="N8" s="137">
        <f>M8*Evaluacion!BE13</f>
        <v>3.27505252082706022</v>
      </c>
      <c r="O8" s="137">
        <f>M8*Evaluacion!BF13</f>
        <v>3.91655765377256024</v>
      </c>
      <c r="P8" s="137" t="n">
        <v>0</v>
      </c>
      <c r="Q8" s="137">
        <f>Evaluacion!BG13*M8</f>
        <v>4.14904837061382992</v>
      </c>
      <c r="R8" s="137">
        <f>Evaluacion!BH13*M8</f>
        <v>2.87117917874653017</v>
      </c>
      <c r="S8" s="137">
        <f>Evaluacion!BI13*M8</f>
        <v>1.36031871999765008</v>
      </c>
      <c r="T8" s="137" t="n">
        <v>0</v>
      </c>
      <c r="U8" s="137" t="n">
        <v>0</v>
      </c>
      <c r="V8" s="137">
        <f>Evaluacion!T13*M8</f>
        <v>0.766699999999999093</v>
      </c>
      <c r="W8" s="137">
        <f>Evaluacion!U13*M8</f>
        <v>0.897599999999999021</v>
      </c>
      <c r="AA8" s="54"/>
    </row>
    <row r="9" spans="1:27">
      <c r="A9" t="s">
        <v>473</v>
      </c>
      <c r="B9" t="str">
        <f>Evaluacion!A12</f>
        <v>V. Gardner</v>
      </c>
      <c r="C9">
        <f>Evaluacion!D12</f>
        <v>0</v>
      </c>
      <c r="D9" s="76">
        <f>Evaluacion!K12</f>
        <v>0</v>
      </c>
      <c r="E9" s="76">
        <f>Evaluacion!L12</f>
        <v>12</v>
      </c>
      <c r="F9" s="76">
        <f>Evaluacion!M12</f>
        <v>5</v>
      </c>
      <c r="G9" s="76">
        <f>Evaluacion!N12</f>
        <v>3</v>
      </c>
      <c r="H9" s="76">
        <f>Evaluacion!O12</f>
        <v>5</v>
      </c>
      <c r="I9" s="76">
        <f>Evaluacion!P12</f>
        <v>6</v>
      </c>
      <c r="J9" s="76">
        <f>Evaluacion!Q12</f>
        <v>16</v>
      </c>
      <c r="L9" t="str">
        <f>A9</f>
        <v>IHL</v>
      </c>
      <c r="M9" s="196">
        <f>1-0.065</f>
        <v>0.935000000000000142</v>
      </c>
      <c r="N9" s="137" t="n">
        <v>0</v>
      </c>
      <c r="O9" s="137">
        <f>M9*Evaluacion!BF12</f>
        <v>4.44061282767216969</v>
      </c>
      <c r="P9" s="137">
        <f>M9*Evaluacion!BE12</f>
        <v>3.71327107141551993</v>
      </c>
      <c r="Q9" s="137">
        <f>Evaluacion!BG12*M9</f>
        <v>5.47575126775628007</v>
      </c>
      <c r="R9" s="137" t="n">
        <v>0</v>
      </c>
      <c r="S9" s="137">
        <f>Evaluacion!BI12*M9</f>
        <v>1.49790698697986997</v>
      </c>
      <c r="T9" s="137">
        <f>Evaluacion!BH12*M9</f>
        <v>4.45209432126598958</v>
      </c>
      <c r="U9" s="137" t="n">
        <v>0</v>
      </c>
      <c r="V9" s="137">
        <f>Evaluacion!T12*M9</f>
        <v>0.729299999999999926</v>
      </c>
      <c r="W9" s="137">
        <f>Evaluacion!U12*M9</f>
        <v>0.897599999999999909</v>
      </c>
      <c r="AA9" s="54"/>
    </row>
    <row r="10" spans="1:27">
      <c r="A10" t="s">
        <v>476</v>
      </c>
      <c r="B10" t="str">
        <f>Evaluacion!A10</f>
        <v>S. Swärdborn</v>
      </c>
      <c r="C10" t="str">
        <f>Evaluacion!D10</f>
        <v>IMP</v>
      </c>
      <c r="D10" s="76">
        <f>Evaluacion!K10</f>
        <v>0</v>
      </c>
      <c r="E10" s="76">
        <f>Evaluacion!L10</f>
        <v>12</v>
      </c>
      <c r="F10" s="76">
        <f>Evaluacion!M10</f>
        <v>7</v>
      </c>
      <c r="G10" s="76">
        <f>Evaluacion!N10</f>
        <v>1</v>
      </c>
      <c r="H10" s="76">
        <f>Evaluacion!O10</f>
        <v>3</v>
      </c>
      <c r="I10" s="76">
        <f>Evaluacion!P10</f>
        <v>6</v>
      </c>
      <c r="J10" s="76">
        <f>Evaluacion!Q10</f>
        <v>15.3333333333333002</v>
      </c>
      <c r="L10" t="str">
        <f>A10</f>
        <v>EXTN</v>
      </c>
      <c r="M10" s="196" t="n">
        <v>1</v>
      </c>
      <c r="N10" s="137">
        <f>Evaluacion!BT10</f>
        <v>3.83344003184812987</v>
      </c>
      <c r="O10" s="137">
        <f>Evaluacion!BU10</f>
        <v>3.29351890060191987</v>
      </c>
      <c r="P10" s="137" t="n">
        <v>0</v>
      </c>
      <c r="Q10" s="137">
        <f>Evaluacion!BV10</f>
        <v>3.86660286792572006</v>
      </c>
      <c r="R10" s="137">
        <f>Evaluacion!BW10</f>
        <v>3.25581533552020019</v>
      </c>
      <c r="S10" s="137">
        <f>Evaluacion!BX10</f>
        <v>0.544261422019805963</v>
      </c>
      <c r="T10" s="137" t="n">
        <v>0</v>
      </c>
      <c r="U10" s="137" t="n">
        <v>0</v>
      </c>
      <c r="V10" s="137">
        <f>Evaluacion!T10</f>
        <v>0.759999999999998987</v>
      </c>
      <c r="W10" s="137">
        <f>Evaluacion!U10</f>
        <v>0.93999999999999897</v>
      </c>
      <c r="AA10" s="54"/>
    </row>
    <row r="11" spans="1:27">
      <c r="A11" t="s">
        <v>476</v>
      </c>
      <c r="B11" t="str">
        <f>Evaluacion!A11</f>
        <v>A. Grimaud</v>
      </c>
      <c r="C11" t="str">
        <f>Evaluacion!D11</f>
        <v>RAP</v>
      </c>
      <c r="D11" s="76">
        <f>Evaluacion!K11</f>
        <v>0</v>
      </c>
      <c r="E11" s="76">
        <f>Evaluacion!L11</f>
        <v>12</v>
      </c>
      <c r="F11" s="76">
        <f>Evaluacion!M11</f>
        <v>7</v>
      </c>
      <c r="G11" s="76">
        <f>Evaluacion!N11</f>
        <v>3</v>
      </c>
      <c r="H11" s="76">
        <f>Evaluacion!O11</f>
        <v>3</v>
      </c>
      <c r="I11" s="76">
        <f>Evaluacion!P11</f>
        <v>5</v>
      </c>
      <c r="J11" s="76">
        <f>Evaluacion!Q11</f>
        <v>14.3333333333333002</v>
      </c>
      <c r="L11" t="str">
        <f>A11</f>
        <v>EXTN</v>
      </c>
      <c r="M11" s="196" t="n">
        <v>1</v>
      </c>
      <c r="N11" s="137" t="n">
        <v>0</v>
      </c>
      <c r="O11" s="137">
        <f>Evaluacion!BU11</f>
        <v>3.37213001655487021</v>
      </c>
      <c r="P11" s="137">
        <f>Evaluacion!BT11</f>
        <v>3.92493821599008985</v>
      </c>
      <c r="Q11" s="137">
        <f>Evaluacion!BV11</f>
        <v>4.01319326857569969</v>
      </c>
      <c r="R11" s="137" t="n">
        <v>0</v>
      </c>
      <c r="S11" s="137">
        <f>Evaluacion!BX11</f>
        <v>0.583244803291559055</v>
      </c>
      <c r="T11" s="137">
        <f>Evaluacion!BW11</f>
        <v>5.34078712435576008</v>
      </c>
      <c r="U11" s="137" t="n">
        <v>0</v>
      </c>
      <c r="V11" s="137">
        <f>Evaluacion!T11</f>
        <v>0.679999999999999005</v>
      </c>
      <c r="W11" s="137">
        <f>Evaluacion!U11</f>
        <v>0.909999999999999076</v>
      </c>
      <c r="AA11" s="54"/>
    </row>
    <row r="12" spans="1:27">
      <c r="A12" t="s">
        <v>140</v>
      </c>
      <c r="B12" t="str">
        <f>Evaluacion!A19</f>
        <v>P. Tuderek</v>
      </c>
      <c r="C12" t="str">
        <f>Evaluacion!D19</f>
        <v>CAB</v>
      </c>
      <c r="D12" s="76">
        <f>Evaluacion!K19</f>
        <v>0</v>
      </c>
      <c r="E12" s="76">
        <f>Evaluacion!L19</f>
        <v>6</v>
      </c>
      <c r="F12" s="76">
        <f>Evaluacion!M19</f>
        <v>12</v>
      </c>
      <c r="G12" s="76">
        <f>Evaluacion!N19</f>
        <v>2</v>
      </c>
      <c r="H12" s="76">
        <f>Evaluacion!O19</f>
        <v>3</v>
      </c>
      <c r="I12" s="76">
        <f>Evaluacion!P19</f>
        <v>6</v>
      </c>
      <c r="J12" s="76">
        <f>Evaluacion!Q19</f>
        <v>17.25</v>
      </c>
      <c r="L12" t="str">
        <f>A12</f>
        <v>DD</v>
      </c>
      <c r="M12" s="196" t="n">
        <v>1</v>
      </c>
      <c r="N12" s="137" t="n">
        <v>0</v>
      </c>
      <c r="O12" s="137" t="n">
        <v>0</v>
      </c>
      <c r="P12" s="137" t="n">
        <v>0</v>
      </c>
      <c r="Q12" s="137">
        <f>M12*Evaluacion!CD19</f>
        <v>5.5283114495293102</v>
      </c>
      <c r="R12" s="137">
        <f>M12*Evaluacion!CE19</f>
        <v>2.64221247587380992</v>
      </c>
      <c r="S12" s="137">
        <f>M12*Evaluacion!CF19</f>
        <v>6.94721352751229038</v>
      </c>
      <c r="T12" s="137">
        <f>R12</f>
        <v>2.64221247587380992</v>
      </c>
      <c r="U12" s="137" t="n">
        <v>0</v>
      </c>
      <c r="V12" s="137">
        <f>Evaluacion!T19*M12</f>
        <v>0.817500000000000071</v>
      </c>
      <c r="W12" s="137">
        <f>Evaluacion!U19*M12</f>
        <v>0.757499999999999929</v>
      </c>
      <c r="AA12" s="54"/>
    </row>
    <row r="13" spans="12:23">
      <c r="L13"/>
      <c r="M13" s="62"/>
      <c r="N13" s="197">
        <f>SUM(N2:N12)</f>
        <v>46.7575725623885035</v>
      </c>
      <c r="O13" s="197" t="e">
        <f>SUM(O2:O12)</f>
        <v>#REF!</v>
      </c>
      <c r="P13" s="197" t="e">
        <f>SUM(P2:P12)</f>
        <v>#REF!</v>
      </c>
      <c r="Q13" s="197" t="e">
        <f>SUM(Q2:Q12)</f>
        <v>#REF!</v>
      </c>
      <c r="R13" s="197">
        <f>SUM(R2:R12)</f>
        <v>12.3952951834396998</v>
      </c>
      <c r="S13" s="197">
        <f>SUM(S2:S12)</f>
        <v>10.9329454598011999</v>
      </c>
      <c r="T13" s="197" t="e">
        <f>SUM(T2:T12)</f>
        <v>#REF!</v>
      </c>
      <c r="U13" s="198" t="e">
        <f>SUM(U2:U12)</f>
        <v>#REF!</v>
      </c>
      <c r="V13" s="198" t="e">
        <f>SUM(V2:V12)</f>
        <v>#REF!</v>
      </c>
      <c r="W13" s="198" t="e">
        <f>SUM(W2:W12)</f>
        <v>#REF!</v>
      </c>
    </row>
    <row r="14" spans="12:20">
      <c r="L14"/>
      <c r="M14" t="s">
        <v>631</v>
      </c>
      <c r="N14" s="199">
        <f>N13*0.34</f>
        <v>15.8975746712120998</v>
      </c>
      <c r="O14" s="199" t="e">
        <f>O13*0.245</f>
        <v>#REF!</v>
      </c>
      <c r="P14" s="199" t="e">
        <f>P13*0.34</f>
        <v>#REF!</v>
      </c>
      <c r="Q14" s="199" t="e">
        <f>Q13*0.125</f>
        <v>#REF!</v>
      </c>
      <c r="R14" s="199">
        <f>R13*0.25</f>
        <v>3.09882379585992984</v>
      </c>
      <c r="S14" s="199">
        <f>S13*0.19</f>
        <v>2.07725963736222985</v>
      </c>
      <c r="T14" s="199" t="e">
        <f>T13*0.25</f>
        <v>#REF!</v>
      </c>
    </row>
    <row r="15" spans="12:20">
      <c r="L15"/>
      <c r="M15" t="s">
        <v>632</v>
      </c>
      <c r="N15" s="204">
        <f>N14*1.2/1.05</f>
        <v>18.1686567670994989</v>
      </c>
      <c r="O15" s="204" t="e">
        <f>O14*1.2/1.05</f>
        <v>#REF!</v>
      </c>
      <c r="P15" s="204" t="e">
        <f>P14*1.2/1.05</f>
        <v>#REF!</v>
      </c>
      <c r="Q15" s="204" t="e">
        <f>Q14</f>
        <v>#REF!</v>
      </c>
      <c r="R15" s="204">
        <f>R14*0.925/1.05</f>
        <v>2.72991620111471001</v>
      </c>
      <c r="S15" s="204">
        <f>S14*0.925/1.05</f>
        <v>1.82996682339052992</v>
      </c>
      <c r="T15" s="204" t="e">
        <f>T14*0.925/1.05</f>
        <v>#REF!</v>
      </c>
    </row>
    <row r="16" spans="12:20">
      <c r="L16"/>
      <c r="M16" t="s">
        <v>633</v>
      </c>
      <c r="N16" s="204">
        <f>N14*0.925/1.05</f>
        <v>14.0050062579725996</v>
      </c>
      <c r="O16" s="204" t="e">
        <f>O14*0.925/1.05</f>
        <v>#REF!</v>
      </c>
      <c r="P16" s="204" t="e">
        <f>P14*0.925/1.05</f>
        <v>#REF!</v>
      </c>
      <c r="Q16" s="204" t="e">
        <f>Q15</f>
        <v>#REF!</v>
      </c>
      <c r="R16" s="204">
        <f>R14*1.135/1.05</f>
        <v>3.34968096028668993</v>
      </c>
      <c r="S16" s="204">
        <f>S14*1.135/1.05</f>
        <v>2.24541875086298015</v>
      </c>
      <c r="T16" s="204" t="e">
        <f>T14*1.135/1.05</f>
        <v>#REF!</v>
      </c>
    </row>
  </sheetData>
  <conditionalFormatting sqref="D2:J12">
    <cfRule type="colorScale" priority="1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5601780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5601780" l="56" r="56" t="56" b="56" borderId="0" fillId="0" vertical="0"/>
        <pm:footer xmlns:pm="smNativeData" id="1595601780" l="56" r="56" t="56" b="56" borderId="0" fillId="0" vertical="2"/>
      </ext>
    </extLst>
  </headerFooter>
  <extLst>
    <ext uri="smNativeData">
      <pm:sheetPrefs xmlns:pm="smNativeData" day="1595601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DA9694"/>
  </sheetPr>
  <dimension ref="A1:AF24"/>
  <sheetViews>
    <sheetView view="normal" workbookViewId="0">
      <selection activeCell="Y16" sqref="Y16"/>
    </sheetView>
  </sheetViews>
  <sheetFormatPr baseColWidth="10" defaultColWidth="11.428571" defaultRowHeight="15.40"/>
  <cols>
    <col min="1" max="1" width="4.000000" customWidth="1"/>
    <col min="2" max="2" width="20.714286" customWidth="1"/>
    <col min="3" max="3" width="5.571429" customWidth="1"/>
    <col min="4" max="4" width="5.000000" customWidth="1"/>
    <col min="5" max="11" width="5.571429" customWidth="1"/>
    <col min="12" max="12" width="6.428571" customWidth="1" style="62"/>
    <col min="13" max="13" width="6.571429" customWidth="1" style="62"/>
    <col min="14" max="14" width="8.285714" customWidth="1" style="62"/>
    <col min="15" max="15" width="5.142857" customWidth="1"/>
    <col min="16" max="16" width="6.000000" customWidth="1"/>
    <col min="17" max="18" width="5.428571" customWidth="1"/>
    <col min="19" max="19" width="5.142857" customWidth="1"/>
    <col min="20" max="21" width="4.571429" customWidth="1"/>
    <col min="22" max="22" width="4.857143" customWidth="1"/>
    <col min="23" max="24" width="4.571429" customWidth="1"/>
    <col min="25" max="25" width="12.428571" customWidth="1"/>
    <col min="28" max="28" width="6.000000" customWidth="1"/>
    <col min="29" max="29" width="13.714286" customWidth="1"/>
    <col min="31" max="31" width="5.714286" customWidth="1"/>
    <col min="32" max="32" width="13.714286" customWidth="1"/>
  </cols>
  <sheetData>
    <row r="1" spans="2:31">
      <c r="B1" t="s">
        <v>635</v>
      </c>
      <c r="AB1" t="s">
        <v>636</v>
      </c>
      <c r="AE1" t="s">
        <v>637</v>
      </c>
    </row>
    <row r="2" spans="2:32">
      <c r="B2" s="78" t="n">
        <v>44035</v>
      </c>
      <c r="Y2" s="210"/>
      <c r="AB2" s="153" t="s">
        <v>85</v>
      </c>
      <c r="AC2" s="153" t="s">
        <v>87</v>
      </c>
      <c r="AE2" s="153" t="s">
        <v>85</v>
      </c>
      <c r="AF2" s="153" t="s">
        <v>87</v>
      </c>
    </row>
    <row r="3" spans="1:32">
      <c r="A3" s="85" t="s">
        <v>638</v>
      </c>
      <c r="B3" s="85" t="str">
        <f>Plantilla!D3</f>
        <v>Jugador</v>
      </c>
      <c r="C3" s="85" t="str">
        <f>Plantilla!E3</f>
        <v>Anys</v>
      </c>
      <c r="D3" s="85" t="str">
        <f>Plantilla!F3</f>
        <v>Dias</v>
      </c>
      <c r="E3" s="85" t="str">
        <f>Plantilla!X3</f>
        <v>Po</v>
      </c>
      <c r="F3" s="85" t="str">
        <f>Plantilla!Y3</f>
        <v>De</v>
      </c>
      <c r="G3" s="85" t="str">
        <f>Plantilla!Z3</f>
        <v>Cr</v>
      </c>
      <c r="H3" s="85" t="str">
        <f>Plantilla!AA3</f>
        <v>Ex</v>
      </c>
      <c r="I3" s="85" t="str">
        <f>Plantilla!AB3</f>
        <v>Ps</v>
      </c>
      <c r="J3" s="85" t="str">
        <f>Plantilla!AC3</f>
        <v>An</v>
      </c>
      <c r="K3" s="85" t="str">
        <f>Plantilla!AD3</f>
        <v>PA</v>
      </c>
      <c r="L3" s="205" t="n">
        <v>1</v>
      </c>
      <c r="M3" s="205" t="n">
        <v>0.5</v>
      </c>
      <c r="N3" s="85" t="s">
        <v>639</v>
      </c>
      <c r="O3" s="208" t="s">
        <v>14</v>
      </c>
      <c r="P3" s="207" t="s">
        <v>630</v>
      </c>
      <c r="Q3" s="206" t="s">
        <v>640</v>
      </c>
      <c r="R3" s="206" t="s">
        <v>641</v>
      </c>
      <c r="S3" s="206" t="s">
        <v>642</v>
      </c>
      <c r="T3" s="206" t="s">
        <v>135</v>
      </c>
      <c r="U3" s="206" t="s">
        <v>473</v>
      </c>
      <c r="V3" s="206" t="s">
        <v>643</v>
      </c>
      <c r="W3" s="207" t="s">
        <v>140</v>
      </c>
      <c r="X3" s="207" t="s">
        <v>21</v>
      </c>
      <c r="Y3" s="208" t="s">
        <v>644</v>
      </c>
      <c r="AB3" t="s">
        <v>14</v>
      </c>
      <c r="AC3" t="s">
        <v>144</v>
      </c>
      <c r="AE3" t="s">
        <v>14</v>
      </c>
      <c r="AF3" t="s">
        <v>144</v>
      </c>
    </row>
    <row r="4" spans="1:32">
      <c r="A4" s="9" t="str">
        <f>Plantilla!A4</f>
        <v>#30</v>
      </c>
      <c r="B4" s="55" t="str">
        <f>Plantilla!D4</f>
        <v>D. Gehmacher</v>
      </c>
      <c r="C4" s="9">
        <f>Plantilla!E4</f>
        <v>38</v>
      </c>
      <c r="D4" s="469">
        <f>Plantilla!F4</f>
        <v>62</v>
      </c>
      <c r="E4" s="53">
        <f>Plantilla!X4</f>
        <v>14.9499999999999993</v>
      </c>
      <c r="F4" s="53">
        <f>Plantilla!Y4</f>
        <v>9.94999999999999929</v>
      </c>
      <c r="G4" s="53">
        <f>Plantilla!Z4</f>
        <v>0.95</v>
      </c>
      <c r="H4" s="53">
        <f>Plantilla!AA4</f>
        <v>0</v>
      </c>
      <c r="I4" s="53">
        <f>Plantilla!AB4</f>
        <v>0</v>
      </c>
      <c r="J4" s="53">
        <f>Plantilla!AC4</f>
        <v>0</v>
      </c>
      <c r="K4" s="53">
        <f>Plantilla!AD4</f>
        <v>17.9499999999999993</v>
      </c>
      <c r="L4" s="101"/>
      <c r="M4" s="101"/>
      <c r="N4" s="101"/>
      <c r="O4" s="52"/>
      <c r="P4" s="52"/>
      <c r="Q4" s="52"/>
      <c r="R4" s="52"/>
      <c r="S4" s="52"/>
      <c r="T4" s="52"/>
      <c r="U4" s="52"/>
      <c r="V4" s="52"/>
      <c r="W4" s="52"/>
      <c r="X4" s="52"/>
      <c r="Y4" s="121">
        <f>MAX(O4:V4)</f>
        <v>0</v>
      </c>
      <c r="AB4" t="s">
        <v>629</v>
      </c>
      <c r="AC4" t="s">
        <v>645</v>
      </c>
      <c r="AE4" t="s">
        <v>629</v>
      </c>
      <c r="AF4" t="str">
        <f>AC4</f>
        <v>B. Pinczehelyi</v>
      </c>
    </row>
    <row r="5" spans="1:32">
      <c r="A5" s="9" t="str">
        <f>Plantilla!A5</f>
        <v>#1</v>
      </c>
      <c r="B5" s="55" t="str">
        <f>Plantilla!D5</f>
        <v>林 (Lin) 光维 (Guangwei)</v>
      </c>
      <c r="C5" s="9">
        <f>Plantilla!E5</f>
        <v>22</v>
      </c>
      <c r="D5" s="469">
        <f>Plantilla!F5</f>
        <v>101</v>
      </c>
      <c r="E5" s="53">
        <f>Plantilla!X5</f>
        <v>15</v>
      </c>
      <c r="F5" s="53">
        <f>Plantilla!Y5</f>
        <v>5</v>
      </c>
      <c r="G5" s="53">
        <f>Plantilla!Z5</f>
        <v>2</v>
      </c>
      <c r="H5" s="53">
        <f>Plantilla!AA5</f>
        <v>1</v>
      </c>
      <c r="I5" s="53">
        <f>Plantilla!AB5</f>
        <v>5</v>
      </c>
      <c r="J5" s="53">
        <f>Plantilla!AC5</f>
        <v>3</v>
      </c>
      <c r="K5" s="53">
        <f>Plantilla!AD5</f>
        <v>19.25</v>
      </c>
      <c r="L5" s="101">
        <f>1/4</f>
        <v>0.25</v>
      </c>
      <c r="M5" s="101"/>
      <c r="N5" s="101">
        <f>L5/6</f>
        <v>0.0416666666666669983</v>
      </c>
      <c r="O5" s="52">
        <f>L5*(0.245*0.425+0.34*0.276)/(0.245+0.34)</f>
        <v>0.084600427350427001</v>
      </c>
      <c r="P5" s="52"/>
      <c r="Q5" s="52"/>
      <c r="R5" s="52"/>
      <c r="S5" s="52"/>
      <c r="T5" s="52"/>
      <c r="U5" s="52"/>
      <c r="V5" s="52"/>
      <c r="W5" s="52"/>
      <c r="X5" s="52"/>
      <c r="Y5" s="121">
        <f>MAX(O5:V5)</f>
        <v>0.084600427350427001</v>
      </c>
      <c r="AB5" t="s">
        <v>630</v>
      </c>
      <c r="AC5" t="s">
        <v>225</v>
      </c>
      <c r="AE5" t="s">
        <v>634</v>
      </c>
      <c r="AF5" t="s">
        <v>218</v>
      </c>
    </row>
    <row r="6" spans="1:32">
      <c r="A6" s="9" t="str">
        <f>Plantilla!A11</f>
        <v>#2</v>
      </c>
      <c r="B6" s="55" t="str">
        <f>Plantilla!D11</f>
        <v>S. Swärdborn</v>
      </c>
      <c r="C6" s="9">
        <f>Plantilla!E11</f>
        <v>22</v>
      </c>
      <c r="D6" s="469">
        <f>Plantilla!F11</f>
        <v>18</v>
      </c>
      <c r="E6" s="53">
        <f>Plantilla!X11</f>
        <v>0</v>
      </c>
      <c r="F6" s="53">
        <f>Plantilla!Y11</f>
        <v>12</v>
      </c>
      <c r="G6" s="53">
        <f>Plantilla!Z11</f>
        <v>7</v>
      </c>
      <c r="H6" s="53">
        <f>Plantilla!AA11</f>
        <v>1</v>
      </c>
      <c r="I6" s="53">
        <f>Plantilla!AB11</f>
        <v>3</v>
      </c>
      <c r="J6" s="53">
        <f>Plantilla!AC11</f>
        <v>6</v>
      </c>
      <c r="K6" s="53">
        <f>Plantilla!AD11</f>
        <v>15.3333333333333002</v>
      </c>
      <c r="L6" s="101">
        <f>1/11</f>
        <v>0.0909090909090909882</v>
      </c>
      <c r="M6" s="101"/>
      <c r="N6" s="101">
        <f>L6/6</f>
        <v>0.0151515151515150004</v>
      </c>
      <c r="O6" s="52"/>
      <c r="P6" s="52">
        <f>L6*(0.245*1+0.34*0.516+0.34*0.258)/(0.245+0.34)</f>
        <v>0.0789681429681440061</v>
      </c>
      <c r="Q6" s="52">
        <f>L6*(0.245*0.725+0.34*0.378+0.34*0.189)/(0.245+0.34)</f>
        <v>0.0575609945609949936</v>
      </c>
      <c r="R6" s="52">
        <f>L6*(0.245*0.708+0.34*0.754)/(0.245+0.34)</f>
        <v>0.06679409479409399</v>
      </c>
      <c r="S6" s="52">
        <f>L6*(0.245*0.414+0.34*0.919)/(0.245+0.34)</f>
        <v>0.064318570318571</v>
      </c>
      <c r="T6" s="52"/>
      <c r="U6" s="52"/>
      <c r="V6" s="52"/>
      <c r="W6" s="52"/>
      <c r="X6" s="52"/>
      <c r="Y6" s="121">
        <f>MAX(O6:V6)</f>
        <v>0.0789681429681440061</v>
      </c>
      <c r="AB6" t="s">
        <v>629</v>
      </c>
      <c r="AC6" t="s">
        <v>148</v>
      </c>
      <c r="AE6" t="s">
        <v>132</v>
      </c>
      <c r="AF6" t="s">
        <v>148</v>
      </c>
    </row>
    <row r="7" spans="1:32">
      <c r="A7" s="9" t="str">
        <f>Plantilla!A7</f>
        <v>#36</v>
      </c>
      <c r="B7" s="55" t="str">
        <f>Plantilla!D7</f>
        <v>F. Lasprilla</v>
      </c>
      <c r="C7" s="9">
        <f>Plantilla!E7</f>
        <v>35</v>
      </c>
      <c r="D7" s="469">
        <f>Plantilla!F7</f>
        <v>81</v>
      </c>
      <c r="E7" s="53">
        <f>Plantilla!X7</f>
        <v>0</v>
      </c>
      <c r="F7" s="53">
        <f>Plantilla!Y7</f>
        <v>8.94999999999999929</v>
      </c>
      <c r="G7" s="53">
        <f>Plantilla!Z7</f>
        <v>7.95000000000000018</v>
      </c>
      <c r="H7" s="53">
        <f>Plantilla!AA7</f>
        <v>4.95000000000000018</v>
      </c>
      <c r="I7" s="53">
        <f>Plantilla!AB7</f>
        <v>7.95000000000000018</v>
      </c>
      <c r="J7" s="53">
        <f>Plantilla!AC7</f>
        <v>0.95</v>
      </c>
      <c r="K7" s="53">
        <f>Plantilla!AD7</f>
        <v>14</v>
      </c>
      <c r="L7" s="101"/>
      <c r="M7" s="101"/>
      <c r="N7" s="101"/>
      <c r="O7" s="52"/>
      <c r="P7" s="52"/>
      <c r="Q7" s="52"/>
      <c r="R7" s="52"/>
      <c r="S7" s="52"/>
      <c r="T7" s="52"/>
      <c r="U7" s="52"/>
      <c r="V7" s="52"/>
      <c r="W7" s="52"/>
      <c r="X7" s="52"/>
      <c r="Y7" s="121">
        <f>MAX(O7:V7)</f>
        <v>0</v>
      </c>
      <c r="AB7" t="s">
        <v>473</v>
      </c>
      <c r="AC7" t="s">
        <v>155</v>
      </c>
      <c r="AE7" t="s">
        <v>634</v>
      </c>
      <c r="AF7" t="s">
        <v>214</v>
      </c>
    </row>
    <row r="8" spans="1:32">
      <c r="A8" s="9" t="str">
        <f>Plantilla!A8</f>
        <v>#31</v>
      </c>
      <c r="B8" s="55" t="str">
        <f>Plantilla!D8</f>
        <v>E. Romweber</v>
      </c>
      <c r="C8" s="9">
        <f>Plantilla!E8</f>
        <v>39</v>
      </c>
      <c r="D8" s="469">
        <f>Plantilla!F8</f>
        <v>35</v>
      </c>
      <c r="E8" s="53">
        <f>Plantilla!X8</f>
        <v>0</v>
      </c>
      <c r="F8" s="53">
        <f>Plantilla!Y8</f>
        <v>8.94999999999999929</v>
      </c>
      <c r="G8" s="53">
        <f>Plantilla!Z8</f>
        <v>8.94999999999999929</v>
      </c>
      <c r="H8" s="53">
        <f>Plantilla!AA8</f>
        <v>8.94999999999999929</v>
      </c>
      <c r="I8" s="53">
        <f>Plantilla!AB8</f>
        <v>6.95000000000000018</v>
      </c>
      <c r="J8" s="53">
        <f>Plantilla!AC8</f>
        <v>0.95</v>
      </c>
      <c r="K8" s="53">
        <f>Plantilla!AD8</f>
        <v>16</v>
      </c>
      <c r="L8" s="101"/>
      <c r="M8" s="101"/>
      <c r="N8" s="101"/>
      <c r="O8" s="52"/>
      <c r="P8" s="52"/>
      <c r="Q8" s="52"/>
      <c r="R8" s="52"/>
      <c r="S8" s="52"/>
      <c r="T8" s="52"/>
      <c r="U8" s="52"/>
      <c r="V8" s="52"/>
      <c r="W8" s="52"/>
      <c r="X8" s="52"/>
      <c r="Y8" s="121">
        <f>MAX(O8:V8)</f>
        <v>0</v>
      </c>
      <c r="AB8" t="s">
        <v>135</v>
      </c>
      <c r="AC8" t="s">
        <v>237</v>
      </c>
      <c r="AE8" t="s">
        <v>629</v>
      </c>
      <c r="AF8" t="s">
        <v>153</v>
      </c>
    </row>
    <row r="9" spans="1:32">
      <c r="A9" s="9" t="str">
        <f>Plantilla!A9</f>
        <v>#35</v>
      </c>
      <c r="B9" s="55" t="str">
        <f>Plantilla!D9</f>
        <v>S. Buschelman</v>
      </c>
      <c r="C9" s="9">
        <f>Plantilla!E9</f>
        <v>37</v>
      </c>
      <c r="D9" s="469">
        <f>Plantilla!F9</f>
        <v>106</v>
      </c>
      <c r="E9" s="53">
        <f>Plantilla!X9</f>
        <v>0</v>
      </c>
      <c r="F9" s="53">
        <f>Plantilla!Y9</f>
        <v>7.95000000000000018</v>
      </c>
      <c r="G9" s="53">
        <f>Plantilla!Z9</f>
        <v>11.9499999999999993</v>
      </c>
      <c r="H9" s="53">
        <f>Plantilla!AA9</f>
        <v>9.94999999999999929</v>
      </c>
      <c r="I9" s="53">
        <f>Plantilla!AB9</f>
        <v>6.95000000000000018</v>
      </c>
      <c r="J9" s="53">
        <f>Plantilla!AC9</f>
        <v>0.95</v>
      </c>
      <c r="K9" s="53">
        <f>Plantilla!AD9</f>
        <v>16</v>
      </c>
      <c r="L9" s="101"/>
      <c r="M9" s="101"/>
      <c r="N9" s="101"/>
      <c r="O9" s="52"/>
      <c r="P9" s="52"/>
      <c r="Q9" s="52"/>
      <c r="R9" s="52"/>
      <c r="S9" s="52"/>
      <c r="T9" s="52"/>
      <c r="U9" s="52"/>
      <c r="V9" s="52"/>
      <c r="W9" s="52"/>
      <c r="X9" s="52"/>
      <c r="Y9" s="121">
        <f>MAX(O9:V9)</f>
        <v>0</v>
      </c>
      <c r="AB9" t="s">
        <v>473</v>
      </c>
      <c r="AC9" t="s">
        <v>231</v>
      </c>
      <c r="AE9" t="s">
        <v>473</v>
      </c>
      <c r="AF9" t="s">
        <v>231</v>
      </c>
    </row>
    <row r="10" spans="1:32">
      <c r="A10" s="9" t="str">
        <f>Plantilla!A12</f>
        <v>#19</v>
      </c>
      <c r="B10" s="55" t="str">
        <f>Plantilla!D12</f>
        <v>A. Grimaud</v>
      </c>
      <c r="C10" s="9">
        <f>Plantilla!E12</f>
        <v>22</v>
      </c>
      <c r="D10" s="469">
        <f>Plantilla!F12</f>
        <v>41</v>
      </c>
      <c r="E10" s="53">
        <f>Plantilla!X12</f>
        <v>0</v>
      </c>
      <c r="F10" s="53">
        <f>Plantilla!Y12</f>
        <v>12</v>
      </c>
      <c r="G10" s="53">
        <f>Plantilla!Z12</f>
        <v>7</v>
      </c>
      <c r="H10" s="53">
        <f>Plantilla!AA12</f>
        <v>3</v>
      </c>
      <c r="I10" s="53">
        <f>Plantilla!AB12</f>
        <v>3</v>
      </c>
      <c r="J10" s="53">
        <f>Plantilla!AC12</f>
        <v>5</v>
      </c>
      <c r="K10" s="53">
        <f>Plantilla!AD12</f>
        <v>14.3333333333333002</v>
      </c>
      <c r="L10" s="101">
        <f>1/11</f>
        <v>0.0909090909090909882</v>
      </c>
      <c r="M10" s="101"/>
      <c r="N10" s="101">
        <f>L10/6</f>
        <v>0.0151515151515150004</v>
      </c>
      <c r="O10" s="52"/>
      <c r="P10" s="52">
        <f>L10*(0.245*1+0.34*0.516+0.34*0.258)/(0.245+0.34)</f>
        <v>0.0789681429681440061</v>
      </c>
      <c r="Q10" s="52">
        <f>L10*(0.245*0.725+0.34*0.378+0.34*0.189)/(0.245+0.34)</f>
        <v>0.0575609945609949936</v>
      </c>
      <c r="R10" s="52">
        <f>L10*(0.245*0.708+0.34*0.754)/(0.245+0.34)</f>
        <v>0.06679409479409399</v>
      </c>
      <c r="S10" s="52">
        <f>L10*(0.245*0.414+0.34*0.919)/(0.245+0.34)</f>
        <v>0.064318570318571</v>
      </c>
      <c r="T10" s="52"/>
      <c r="U10" s="52"/>
      <c r="V10" s="52"/>
      <c r="W10" s="52"/>
      <c r="X10" s="52"/>
      <c r="Y10" s="121">
        <f>MAX(O10:V10)</f>
        <v>0.0789681429681440061</v>
      </c>
      <c r="AB10" t="s">
        <v>476</v>
      </c>
      <c r="AC10" t="s">
        <v>153</v>
      </c>
      <c r="AE10" t="s">
        <v>473</v>
      </c>
      <c r="AF10" t="s">
        <v>155</v>
      </c>
    </row>
    <row r="11" spans="1:32">
      <c r="A11" s="9" t="str">
        <f>Plantilla!A13</f>
        <v>#22</v>
      </c>
      <c r="B11" s="55" t="str">
        <f>Plantilla!D13</f>
        <v>V. Gardner</v>
      </c>
      <c r="C11" s="9">
        <f>Plantilla!E13</f>
        <v>22</v>
      </c>
      <c r="D11" s="469">
        <f>Plantilla!F13</f>
        <v>30</v>
      </c>
      <c r="E11" s="53">
        <f>Plantilla!X13</f>
        <v>0</v>
      </c>
      <c r="F11" s="53">
        <f>Plantilla!Y13</f>
        <v>12</v>
      </c>
      <c r="G11" s="53">
        <f>Plantilla!Z13</f>
        <v>5</v>
      </c>
      <c r="H11" s="53">
        <f>Plantilla!AA13</f>
        <v>3</v>
      </c>
      <c r="I11" s="53">
        <f>Plantilla!AB13</f>
        <v>5</v>
      </c>
      <c r="J11" s="53">
        <f>Plantilla!AC13</f>
        <v>6</v>
      </c>
      <c r="K11" s="53">
        <f>Plantilla!AD13</f>
        <v>16</v>
      </c>
      <c r="L11" s="101">
        <f>1/11</f>
        <v>0.0909090909090909882</v>
      </c>
      <c r="M11" s="101"/>
      <c r="N11" s="101">
        <f>L11/6</f>
        <v>0.0151515151515150004</v>
      </c>
      <c r="O11" s="52"/>
      <c r="P11" s="52">
        <f>L11*(0.245*1+0.34*0.516+0.34*0.258)/(0.245+0.34)</f>
        <v>0.0789681429681440061</v>
      </c>
      <c r="Q11" s="52">
        <f>L11*(0.245*0.725+0.34*0.378+0.34*0.189)/(0.245+0.34)</f>
        <v>0.0575609945609949936</v>
      </c>
      <c r="R11" s="52">
        <f>L11*(0.245*0.708+0.34*0.754)/(0.245+0.34)</f>
        <v>0.06679409479409399</v>
      </c>
      <c r="S11" s="52">
        <f>L11*(0.245*0.414+0.34*0.919)/(0.245+0.34)</f>
        <v>0.064318570318571</v>
      </c>
      <c r="T11" s="52"/>
      <c r="U11" s="52"/>
      <c r="V11" s="52"/>
      <c r="W11" s="52"/>
      <c r="X11" s="52"/>
      <c r="Y11" s="121">
        <f>MAX(O11:V11)</f>
        <v>0.0789681429681440061</v>
      </c>
      <c r="AB11" t="s">
        <v>476</v>
      </c>
      <c r="AC11" t="s">
        <v>238</v>
      </c>
      <c r="AE11" t="s">
        <v>476</v>
      </c>
      <c r="AF11" t="s">
        <v>238</v>
      </c>
    </row>
    <row r="12" spans="1:32">
      <c r="A12" s="9" t="str">
        <f>Plantilla!A10</f>
        <v>#2</v>
      </c>
      <c r="B12" s="55" t="str">
        <f>Plantilla!D10</f>
        <v>L. Tutorić</v>
      </c>
      <c r="C12" s="9">
        <f>Plantilla!E10</f>
        <v>29</v>
      </c>
      <c r="D12" s="469">
        <f>Plantilla!F10</f>
        <v>16</v>
      </c>
      <c r="E12" s="53">
        <f>Plantilla!X10</f>
        <v>0</v>
      </c>
      <c r="F12" s="53">
        <f>Plantilla!Y10</f>
        <v>13</v>
      </c>
      <c r="G12" s="53">
        <f>Plantilla!Z10</f>
        <v>6</v>
      </c>
      <c r="H12" s="53">
        <f>Plantilla!AA10</f>
        <v>2</v>
      </c>
      <c r="I12" s="53">
        <f>Plantilla!AB10</f>
        <v>1</v>
      </c>
      <c r="J12" s="53">
        <f>Plantilla!AC10</f>
        <v>7</v>
      </c>
      <c r="K12" s="53">
        <f>Plantilla!AD10</f>
        <v>15.3333333333333002</v>
      </c>
      <c r="L12" s="101"/>
      <c r="M12" s="101"/>
      <c r="N12" s="101">
        <f>L12/6</f>
        <v>0</v>
      </c>
      <c r="O12" s="52"/>
      <c r="P12" s="52">
        <f>L12*(0.245*1+0.34*0.516+0.34*0.258)/(0.245+0.34)</f>
        <v>0</v>
      </c>
      <c r="Q12" s="52">
        <f>L12*(0.245*0.725+0.34*0.378+0.34*0.189)/(0.245+0.34)</f>
        <v>0</v>
      </c>
      <c r="R12" s="52">
        <f>L12*(0.245*0.708+0.34*0.754)/(0.245+0.34)</f>
        <v>0</v>
      </c>
      <c r="S12" s="52">
        <f>L12*(0.245*0.414+0.34*0.919)/(0.245+0.34)</f>
        <v>0</v>
      </c>
      <c r="T12" s="52"/>
      <c r="U12" s="52"/>
      <c r="V12" s="52"/>
      <c r="W12" s="52"/>
      <c r="X12" s="52"/>
      <c r="Y12" s="121">
        <f>MAX(O12:V12)</f>
        <v>0</v>
      </c>
      <c r="AB12" t="s">
        <v>21</v>
      </c>
      <c r="AC12" t="s">
        <v>234</v>
      </c>
      <c r="AE12" t="s">
        <v>476</v>
      </c>
      <c r="AF12" t="s">
        <v>186</v>
      </c>
    </row>
    <row r="13" spans="1:32">
      <c r="A13" s="9" t="str">
        <f>Plantilla!A16</f>
        <v>#16</v>
      </c>
      <c r="B13" s="55" t="str">
        <f>Plantilla!D16</f>
        <v>I. Vanags</v>
      </c>
      <c r="C13" s="9">
        <f>Plantilla!E16</f>
        <v>22</v>
      </c>
      <c r="D13" s="469">
        <f>Plantilla!F16</f>
        <v>17</v>
      </c>
      <c r="E13" s="53">
        <f>Plantilla!X16</f>
        <v>0</v>
      </c>
      <c r="F13" s="53">
        <f>Plantilla!Y16</f>
        <v>4</v>
      </c>
      <c r="G13" s="53">
        <f>Plantilla!Z16</f>
        <v>13</v>
      </c>
      <c r="H13" s="53">
        <f>Plantilla!AA16</f>
        <v>3</v>
      </c>
      <c r="I13" s="53">
        <f>Plantilla!AB16</f>
        <v>4</v>
      </c>
      <c r="J13" s="53">
        <f>Plantilla!AC16</f>
        <v>7</v>
      </c>
      <c r="K13" s="53">
        <f>Plantilla!AD16</f>
        <v>16.3333333333333002</v>
      </c>
      <c r="L13" s="101">
        <f>1/4</f>
        <v>0.25</v>
      </c>
      <c r="M13" s="101"/>
      <c r="N13" s="101">
        <f>L13/6</f>
        <v>0.0416666666666669983</v>
      </c>
      <c r="O13" s="52"/>
      <c r="P13" s="52"/>
      <c r="Q13" s="52"/>
      <c r="R13" s="52"/>
      <c r="S13" s="52"/>
      <c r="T13" s="52">
        <f>L13*(0.245*0.4+0.34*0.189+0.34*0.095)</f>
        <v>0.0486400000000000077</v>
      </c>
      <c r="U13" s="52">
        <f>L13*(0.245*0.348+0.34*0.291)</f>
        <v>0.0460500000000000043</v>
      </c>
      <c r="V13" s="52">
        <f>L13*(0.245*0.201+0.34*0.349)</f>
        <v>0.041976249999999995</v>
      </c>
      <c r="W13" s="52" t="n">
        <v>0</v>
      </c>
      <c r="X13" s="52" t="n">
        <v>0</v>
      </c>
      <c r="Y13" s="121">
        <f>MAX(O13:V13)</f>
        <v>0.0486400000000000077</v>
      </c>
      <c r="AB13" t="s">
        <v>21</v>
      </c>
      <c r="AC13" t="s">
        <v>186</v>
      </c>
      <c r="AE13" t="s">
        <v>21</v>
      </c>
      <c r="AF13" t="s">
        <v>234</v>
      </c>
    </row>
    <row r="14" spans="1:25">
      <c r="A14" s="9" t="str">
        <f>Plantilla!A17</f>
        <v>#8</v>
      </c>
      <c r="B14" s="55" t="str">
        <f>Plantilla!D17</f>
        <v>I. Stone</v>
      </c>
      <c r="C14" s="9">
        <f>Plantilla!E17</f>
        <v>21</v>
      </c>
      <c r="D14" s="469">
        <f>Plantilla!F17</f>
        <v>72</v>
      </c>
      <c r="E14" s="53">
        <f>Plantilla!X17</f>
        <v>0</v>
      </c>
      <c r="F14" s="53">
        <f>Plantilla!Y17</f>
        <v>3</v>
      </c>
      <c r="G14" s="53">
        <f>Plantilla!Z17</f>
        <v>12</v>
      </c>
      <c r="H14" s="53">
        <f>Plantilla!AA17</f>
        <v>2</v>
      </c>
      <c r="I14" s="53">
        <f>Plantilla!AB17</f>
        <v>6</v>
      </c>
      <c r="J14" s="53">
        <f>Plantilla!AC17</f>
        <v>9</v>
      </c>
      <c r="K14" s="53">
        <f>Plantilla!AD17</f>
        <v>15.3333333333333002</v>
      </c>
      <c r="L14" s="101">
        <f>1/3</f>
        <v>0.333333333333332993</v>
      </c>
      <c r="M14" s="101"/>
      <c r="N14" s="101">
        <f>L14/6</f>
        <v>0.0555555555555559977</v>
      </c>
      <c r="O14" s="52"/>
      <c r="P14" s="52"/>
      <c r="Q14" s="52"/>
      <c r="R14" s="52"/>
      <c r="S14" s="52"/>
      <c r="T14" s="52">
        <f>L14*(0.245*0.4+0.34*0.189+0.34*0.095)</f>
        <v>0.0648533333333329942</v>
      </c>
      <c r="U14" s="52">
        <f>L14*(0.245*0.348+0.34*0.291)</f>
        <v>0.0613999999999999968</v>
      </c>
      <c r="V14" s="52">
        <f>L14*(0.245*0.201+0.34*0.349)</f>
        <v>0.055968333333332998</v>
      </c>
      <c r="W14" s="52" t="n">
        <v>0</v>
      </c>
      <c r="X14" s="52" t="n">
        <v>0</v>
      </c>
      <c r="Y14" s="121">
        <f>MAX(O14:V14)</f>
        <v>0.0648533333333329942</v>
      </c>
    </row>
    <row r="15" spans="1:25">
      <c r="A15" s="9" t="str">
        <f>Plantilla!A18</f>
        <v>#14</v>
      </c>
      <c r="B15" s="55" t="str">
        <f>Plantilla!D18</f>
        <v>G. Piscaer</v>
      </c>
      <c r="C15" s="9">
        <f>Plantilla!E18</f>
        <v>22</v>
      </c>
      <c r="D15" s="469">
        <f>Plantilla!F18</f>
        <v>33</v>
      </c>
      <c r="E15" s="53">
        <f>Plantilla!X18</f>
        <v>0</v>
      </c>
      <c r="F15" s="53">
        <f>Plantilla!Y18</f>
        <v>4</v>
      </c>
      <c r="G15" s="53">
        <f>Plantilla!Z18</f>
        <v>13</v>
      </c>
      <c r="H15" s="53">
        <f>Plantilla!AA18</f>
        <v>3</v>
      </c>
      <c r="I15" s="53">
        <f>Plantilla!AB18</f>
        <v>2</v>
      </c>
      <c r="J15" s="53">
        <f>Plantilla!AC18</f>
        <v>8</v>
      </c>
      <c r="K15" s="53">
        <f>Plantilla!AD18</f>
        <v>14.3333333333333002</v>
      </c>
      <c r="L15" s="101">
        <f>1/4</f>
        <v>0.25</v>
      </c>
      <c r="M15" s="101"/>
      <c r="N15" s="101">
        <f>L15/6</f>
        <v>0.0416666666666669983</v>
      </c>
      <c r="O15" s="52"/>
      <c r="P15" s="52"/>
      <c r="Q15" s="52"/>
      <c r="R15" s="52"/>
      <c r="S15" s="52"/>
      <c r="T15" s="52">
        <f>L15*(0.245*0.4+0.34*0.189+0.34*0.095)</f>
        <v>0.0486400000000000077</v>
      </c>
      <c r="U15" s="52">
        <f>L15*(0.245*0.348+0.34*0.291)</f>
        <v>0.0460500000000000043</v>
      </c>
      <c r="V15" s="52">
        <f>L15*(0.245*0.201+0.34*0.349)</f>
        <v>0.041976249999999995</v>
      </c>
      <c r="W15" s="52" t="n">
        <v>0</v>
      </c>
      <c r="X15" s="52" t="n">
        <v>0</v>
      </c>
      <c r="Y15" s="121">
        <f>MAX(O15:V15)</f>
        <v>0.0486400000000000077</v>
      </c>
    </row>
    <row r="16" spans="1:25">
      <c r="A16" s="9" t="str">
        <f>Plantilla!A19</f>
        <v>#9</v>
      </c>
      <c r="B16" s="55" t="str">
        <f>Plantilla!D19</f>
        <v>M. Bondarewski</v>
      </c>
      <c r="C16" s="9">
        <f>Plantilla!E19</f>
        <v>22</v>
      </c>
      <c r="D16" s="469">
        <f>Plantilla!F19</f>
        <v>33</v>
      </c>
      <c r="E16" s="53">
        <f>Plantilla!X19</f>
        <v>0</v>
      </c>
      <c r="F16" s="53">
        <f>Plantilla!Y19</f>
        <v>2</v>
      </c>
      <c r="G16" s="53">
        <f>Plantilla!Z19</f>
        <v>13</v>
      </c>
      <c r="H16" s="53">
        <f>Plantilla!AA19</f>
        <v>5</v>
      </c>
      <c r="I16" s="53">
        <f>Plantilla!AB19</f>
        <v>4</v>
      </c>
      <c r="J16" s="53">
        <f>Plantilla!AC19</f>
        <v>8</v>
      </c>
      <c r="K16" s="53">
        <f>Plantilla!AD19</f>
        <v>17</v>
      </c>
      <c r="L16" s="101">
        <f>1/3</f>
        <v>0.333333333333332993</v>
      </c>
      <c r="M16" s="101"/>
      <c r="N16" s="101">
        <f>L16/6</f>
        <v>0.0555555555555559977</v>
      </c>
      <c r="O16" s="52"/>
      <c r="P16" s="52"/>
      <c r="Q16" s="52"/>
      <c r="R16" s="52"/>
      <c r="S16" s="52"/>
      <c r="T16" s="52">
        <f>L16*(0.245*0.4+0.34*0.189+0.34*0.095)</f>
        <v>0.0648533333333329942</v>
      </c>
      <c r="U16" s="52">
        <f>L16*(0.245*0.348+0.34*0.291)</f>
        <v>0.0613999999999999968</v>
      </c>
      <c r="V16" s="52">
        <f>L16*(0.245*0.201+0.34*0.349)</f>
        <v>0.055968333333332998</v>
      </c>
      <c r="W16" s="52" t="n">
        <v>0</v>
      </c>
      <c r="X16" s="52" t="n">
        <v>0</v>
      </c>
      <c r="Y16" s="121">
        <f>MAX(O16:V16)</f>
        <v>0.0648533333333329942</v>
      </c>
    </row>
    <row r="17" spans="1:25">
      <c r="A17" s="9" t="str">
        <f>Plantilla!A20</f>
        <v>#12</v>
      </c>
      <c r="B17" s="55" t="str">
        <f>Plantilla!D20</f>
        <v>P. Tuderek</v>
      </c>
      <c r="C17" s="9">
        <f>Plantilla!E20</f>
        <v>22</v>
      </c>
      <c r="D17" s="469">
        <f>Plantilla!F20</f>
        <v>19</v>
      </c>
      <c r="E17" s="53">
        <f>Plantilla!X20</f>
        <v>0</v>
      </c>
      <c r="F17" s="53">
        <f>Plantilla!Y20</f>
        <v>6</v>
      </c>
      <c r="G17" s="53">
        <f>Plantilla!Z20</f>
        <v>12</v>
      </c>
      <c r="H17" s="53">
        <f>Plantilla!AA20</f>
        <v>2</v>
      </c>
      <c r="I17" s="53">
        <f>Plantilla!AB20</f>
        <v>3</v>
      </c>
      <c r="J17" s="53">
        <f>Plantilla!AC20</f>
        <v>6</v>
      </c>
      <c r="K17" s="53">
        <f>Plantilla!AD20</f>
        <v>17.25</v>
      </c>
      <c r="L17" s="101">
        <f>1/5</f>
        <v>0.2</v>
      </c>
      <c r="M17" s="101"/>
      <c r="N17" s="101">
        <f>L17/6</f>
        <v>0.0333333333333329973</v>
      </c>
      <c r="O17" s="52"/>
      <c r="P17" s="52"/>
      <c r="Q17" s="52"/>
      <c r="R17" s="52"/>
      <c r="S17" s="52"/>
      <c r="T17" s="52">
        <f>L17*(0.245*0.4+0.34*0.189+0.34*0.095)</f>
        <v>0.0389120000000000044</v>
      </c>
      <c r="U17" s="52">
        <f>L17*(0.245*0.348+0.34*0.291)</f>
        <v>0.0368399999999999928</v>
      </c>
      <c r="V17" s="52">
        <f>L17*(0.245*0.201+0.34*0.349)</f>
        <v>0.0335809999999999986</v>
      </c>
      <c r="W17" s="52" t="n">
        <v>0</v>
      </c>
      <c r="X17" s="52" t="n">
        <v>0</v>
      </c>
      <c r="Y17" s="121">
        <f>MAX(O17:V17)</f>
        <v>0.0389120000000000044</v>
      </c>
    </row>
    <row r="18" spans="1:25">
      <c r="A18" s="9" t="str">
        <f>Plantilla!A21</f>
        <v>#10</v>
      </c>
      <c r="B18" s="55" t="str">
        <f>Plantilla!D21</f>
        <v>R. Forsyth</v>
      </c>
      <c r="C18" s="9">
        <f>Plantilla!E21</f>
        <v>22</v>
      </c>
      <c r="D18" s="469">
        <f>Plantilla!F21</f>
        <v>74</v>
      </c>
      <c r="E18" s="53">
        <f>Plantilla!X21</f>
        <v>0</v>
      </c>
      <c r="F18" s="53">
        <f>Plantilla!Y21</f>
        <v>7</v>
      </c>
      <c r="G18" s="53">
        <f>Plantilla!Z21</f>
        <v>13</v>
      </c>
      <c r="H18" s="53">
        <f>Plantilla!AA21</f>
        <v>3</v>
      </c>
      <c r="I18" s="53">
        <f>Plantilla!AB21</f>
        <v>4</v>
      </c>
      <c r="J18" s="53">
        <f>Plantilla!AC21</f>
        <v>6</v>
      </c>
      <c r="K18" s="53">
        <f>Plantilla!AD21</f>
        <v>15</v>
      </c>
      <c r="L18" s="101">
        <f>1/6</f>
        <v>0.16666666666666698</v>
      </c>
      <c r="M18" s="101"/>
      <c r="N18" s="101">
        <f>L18/6</f>
        <v>0.0277777777777779988</v>
      </c>
      <c r="O18" s="52"/>
      <c r="P18" s="52"/>
      <c r="Q18" s="52"/>
      <c r="R18" s="52"/>
      <c r="S18" s="52"/>
      <c r="T18" s="52">
        <f>L18*(0.245*0.4+0.34*0.189+0.34*0.095)</f>
        <v>0.0324266666666669989</v>
      </c>
      <c r="U18" s="52">
        <f>L18*(0.245*0.348+0.34*0.291)</f>
        <v>0.0306999999999999984</v>
      </c>
      <c r="V18" s="52">
        <f>L18*(0.245*0.201+0.34*0.349)</f>
        <v>0.0279841666666670008</v>
      </c>
      <c r="W18" s="52" t="n">
        <v>0</v>
      </c>
      <c r="X18" s="52" t="n">
        <v>0</v>
      </c>
      <c r="Y18" s="121">
        <f>MAX(O18:V18)</f>
        <v>0.0324266666666669989</v>
      </c>
    </row>
    <row r="19" spans="1:25">
      <c r="A19" s="9" t="str">
        <f>Plantilla!A14</f>
        <v>#3</v>
      </c>
      <c r="B19" s="55" t="str">
        <f>Plantilla!D14</f>
        <v>S. Embe</v>
      </c>
      <c r="C19" s="9">
        <f>Plantilla!E14</f>
        <v>22</v>
      </c>
      <c r="D19" s="469">
        <f>Plantilla!F14</f>
        <v>86</v>
      </c>
      <c r="E19" s="53">
        <f>Plantilla!X14</f>
        <v>0</v>
      </c>
      <c r="F19" s="53">
        <f>Plantilla!Y14</f>
        <v>11</v>
      </c>
      <c r="G19" s="53">
        <f>Plantilla!Z14</f>
        <v>4</v>
      </c>
      <c r="H19" s="53">
        <f>Plantilla!AA14</f>
        <v>1</v>
      </c>
      <c r="I19" s="53">
        <f>Plantilla!AB14</f>
        <v>5</v>
      </c>
      <c r="J19" s="53">
        <f>Plantilla!AC14</f>
        <v>6</v>
      </c>
      <c r="K19" s="53">
        <f>Plantilla!AD14</f>
        <v>17.3333333333333002</v>
      </c>
      <c r="L19" s="101">
        <f>1/10</f>
        <v>0.1</v>
      </c>
      <c r="M19" s="101"/>
      <c r="N19" s="101">
        <f>L19/6</f>
        <v>0.0166666666666669983</v>
      </c>
      <c r="O19" s="52"/>
      <c r="P19" s="52">
        <f>L19*(0.245*1+0.34*0.516+0.34*0.258)/(0.245+0.34)</f>
        <v>0.086864957264956999</v>
      </c>
      <c r="Q19" s="52">
        <f>L19*(0.245*0.725+0.34*0.378+0.34*0.189)/(0.245+0.34)</f>
        <v>0.063317094017094</v>
      </c>
      <c r="R19" s="52">
        <f>L19*(0.245*0.708+0.34*0.754)/(0.245+0.34)</f>
        <v>0.0734735042735040089</v>
      </c>
      <c r="S19" s="52">
        <f>L19*(0.245*0.414+0.34*0.919)/(0.245+0.34)</f>
        <v>0.0707504273504270031</v>
      </c>
      <c r="T19" s="52"/>
      <c r="U19" s="52"/>
      <c r="V19" s="52"/>
      <c r="W19" s="52"/>
      <c r="X19" s="52"/>
      <c r="Y19" s="121">
        <f>MAX(O19:V19)</f>
        <v>0.086864957264956999</v>
      </c>
    </row>
    <row r="20" spans="1:25">
      <c r="A20" s="9" t="str">
        <f>Plantilla!A15</f>
        <v>#4</v>
      </c>
      <c r="B20" s="55" t="str">
        <f>Plantilla!D15</f>
        <v>E. Deus</v>
      </c>
      <c r="C20" s="9">
        <f>Plantilla!E15</f>
        <v>21</v>
      </c>
      <c r="D20" s="469">
        <f>Plantilla!F15</f>
        <v>69</v>
      </c>
      <c r="E20" s="53">
        <f>Plantilla!X15</f>
        <v>0</v>
      </c>
      <c r="F20" s="53">
        <f>Plantilla!Y15</f>
        <v>11</v>
      </c>
      <c r="G20" s="53">
        <f>Plantilla!Z15</f>
        <v>7</v>
      </c>
      <c r="H20" s="53">
        <f>Plantilla!AA15</f>
        <v>1</v>
      </c>
      <c r="I20" s="53">
        <f>Plantilla!AB15</f>
        <v>6</v>
      </c>
      <c r="J20" s="53">
        <f>Plantilla!AC15</f>
        <v>5</v>
      </c>
      <c r="K20" s="53">
        <f>Plantilla!AD15</f>
        <v>15.3333333333333002</v>
      </c>
      <c r="L20" s="101">
        <f>1/10</f>
        <v>0.1</v>
      </c>
      <c r="M20" s="101"/>
      <c r="N20" s="101">
        <f>L20/6</f>
        <v>0.0166666666666669983</v>
      </c>
      <c r="O20" s="52"/>
      <c r="P20" s="52">
        <f>L20*(0.245*1+0.34*0.516+0.34*0.258)/(0.245+0.34)</f>
        <v>0.086864957264956999</v>
      </c>
      <c r="Q20" s="52">
        <f>L20*(0.245*0.725+0.34*0.378+0.34*0.189)/(0.245+0.34)</f>
        <v>0.063317094017094</v>
      </c>
      <c r="R20" s="52">
        <f>L20*(0.245*0.708+0.34*0.754)/(0.245+0.34)</f>
        <v>0.0734735042735040089</v>
      </c>
      <c r="S20" s="52">
        <f>L20*(0.245*0.414+0.34*0.919)/(0.245+0.34)</f>
        <v>0.0707504273504270031</v>
      </c>
      <c r="T20" s="52"/>
      <c r="U20" s="52"/>
      <c r="V20" s="52"/>
      <c r="W20" s="52"/>
      <c r="X20" s="52"/>
      <c r="Y20" s="121">
        <f>MAX(O20:V20)</f>
        <v>0.086864957264956999</v>
      </c>
    </row>
    <row r="21" spans="1:25">
      <c r="A21" s="9" t="str">
        <f>Plantilla!A22</f>
        <v>#11</v>
      </c>
      <c r="B21" s="55" t="str">
        <f>Plantilla!D22</f>
        <v>J-P. Kechele</v>
      </c>
      <c r="C21" s="9">
        <f>Plantilla!E22</f>
        <v>29</v>
      </c>
      <c r="D21" s="469">
        <f>Plantilla!F22</f>
        <v>107</v>
      </c>
      <c r="E21" s="53">
        <f>Plantilla!X22</f>
        <v>0</v>
      </c>
      <c r="F21" s="53">
        <f>Plantilla!Y22</f>
        <v>4</v>
      </c>
      <c r="G21" s="53">
        <f>Plantilla!Z22</f>
        <v>14</v>
      </c>
      <c r="H21" s="53">
        <f>Plantilla!AA22</f>
        <v>4</v>
      </c>
      <c r="I21" s="53">
        <f>Plantilla!AB22</f>
        <v>9</v>
      </c>
      <c r="J21" s="53">
        <f>Plantilla!AC22</f>
        <v>8</v>
      </c>
      <c r="K21" s="53">
        <f>Plantilla!AD22</f>
        <v>19.25</v>
      </c>
      <c r="L21" s="101"/>
      <c r="M21" s="101"/>
      <c r="N21" s="101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121">
        <f>MAX(O21:V21)</f>
        <v>0</v>
      </c>
    </row>
    <row r="22" spans="1:25">
      <c r="A22" s="9" t="str">
        <f>Plantilla!A23</f>
        <v>#29</v>
      </c>
      <c r="B22" s="55" t="str">
        <f>Plantilla!D23</f>
        <v>S. Zobbe</v>
      </c>
      <c r="C22" s="9">
        <f>Plantilla!E23</f>
        <v>35</v>
      </c>
      <c r="D22" s="469">
        <f>Plantilla!F23</f>
        <v>109</v>
      </c>
      <c r="E22" s="53">
        <f>Plantilla!X23</f>
        <v>0</v>
      </c>
      <c r="F22" s="53">
        <f>Plantilla!Y23</f>
        <v>7.95000000000000018</v>
      </c>
      <c r="G22" s="53">
        <f>Plantilla!Z23</f>
        <v>11.9499999999999993</v>
      </c>
      <c r="H22" s="53">
        <f>Plantilla!AA23</f>
        <v>11.9499999999999993</v>
      </c>
      <c r="I22" s="53">
        <f>Plantilla!AB23</f>
        <v>9.94999999999999929</v>
      </c>
      <c r="J22" s="53">
        <f>Plantilla!AC23</f>
        <v>4.95000000000000018</v>
      </c>
      <c r="K22" s="53">
        <f>Plantilla!AD23</f>
        <v>18</v>
      </c>
      <c r="L22" s="101"/>
      <c r="M22" s="101"/>
      <c r="N22" s="101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121">
        <f>MAX(O22:V22)</f>
        <v>0</v>
      </c>
    </row>
    <row r="23" spans="1:25">
      <c r="A23" s="9" t="str">
        <f>Plantilla!A6</f>
        <v>#40</v>
      </c>
      <c r="B23" s="55" t="str">
        <f>Plantilla!D6</f>
        <v>E. Toney</v>
      </c>
      <c r="C23" s="9">
        <f>Plantilla!E6</f>
        <v>39</v>
      </c>
      <c r="D23" s="469">
        <f>Plantilla!F6</f>
        <v>73</v>
      </c>
      <c r="E23" s="53">
        <f>Plantilla!X6</f>
        <v>0</v>
      </c>
      <c r="F23" s="53">
        <f>Plantilla!Y6</f>
        <v>8.94999999999999929</v>
      </c>
      <c r="G23" s="53">
        <f>Plantilla!Z6</f>
        <v>8.94999999999999929</v>
      </c>
      <c r="H23" s="53">
        <f>Plantilla!AA6</f>
        <v>4.95000000000000018</v>
      </c>
      <c r="I23" s="53">
        <f>Plantilla!AB6</f>
        <v>4.95000000000000018</v>
      </c>
      <c r="J23" s="53">
        <f>Plantilla!AC6</f>
        <v>0</v>
      </c>
      <c r="K23" s="53">
        <f>Plantilla!AD6</f>
        <v>15</v>
      </c>
      <c r="L23" s="101"/>
      <c r="M23" s="101"/>
      <c r="N23" s="101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121">
        <f>MAX(O23:V23)</f>
        <v>0</v>
      </c>
    </row>
    <row r="24" spans="1:25">
      <c r="A24" s="9" t="str">
        <f>Plantilla!A24</f>
        <v>#28</v>
      </c>
      <c r="B24" s="55" t="str">
        <f>Plantilla!D24</f>
        <v>P .Trivadi</v>
      </c>
      <c r="C24" s="9">
        <f>Plantilla!E24</f>
        <v>35</v>
      </c>
      <c r="D24" s="469">
        <f>Plantilla!F24</f>
        <v>65</v>
      </c>
      <c r="E24" s="53">
        <f>Plantilla!X24</f>
        <v>0</v>
      </c>
      <c r="F24" s="53">
        <f>Plantilla!Y24</f>
        <v>3.95000000000000018</v>
      </c>
      <c r="G24" s="53">
        <f>Plantilla!Z24</f>
        <v>5.95000000000000018</v>
      </c>
      <c r="H24" s="53">
        <f>Plantilla!AA24</f>
        <v>4.95000000000000018</v>
      </c>
      <c r="I24" s="53">
        <f>Plantilla!AB24</f>
        <v>9.94999999999999929</v>
      </c>
      <c r="J24" s="53">
        <f>Plantilla!AC24</f>
        <v>6.95000000000000018</v>
      </c>
      <c r="K24" s="53">
        <f>Plantilla!AD24</f>
        <v>15</v>
      </c>
      <c r="N24" s="101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121">
        <f>MAX(O24:V24)</f>
        <v>0</v>
      </c>
    </row>
  </sheetData>
  <conditionalFormatting sqref="E4:K24">
    <cfRule type="colorScale" priority="1">
      <colorScale>
        <cfvo type="min"/>
        <cfvo type="max"/>
        <color rgb="FFFCFCFF"/>
        <color rgb="FFF8696B"/>
      </colorScale>
    </cfRule>
  </conditionalFormatting>
  <conditionalFormatting sqref="L4:X23 N24:X24">
    <cfRule type="colorScale" priority="2">
      <colorScale>
        <cfvo type="min"/>
        <cfvo type="max"/>
        <color rgb="FFFFEF9C"/>
        <color rgb="FF63BE7B"/>
      </colorScale>
    </cfRule>
  </conditionalFormatting>
  <conditionalFormatting sqref="Y4:Y24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{775E8293-27D4-05AD-1C26-4977B4FAF230}</x14:id>
        </ext>
      </extLst>
    </cfRule>
  </conditionalFormatting>
  <printOptions>
    <extLst>
      <ext uri="smNativeData">
        <pm:pageFlags xmlns:pm="smNativeData" id="1595601780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601780" l="56" r="56" t="56" b="56" borderId="0" fillId="0" vertical="0"/>
        <pm:footer xmlns:pm="smNativeData" id="1595601780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75E8293-27D4-05AD-1C26-4977B4FAF23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Y4:Y24</xm:sqref>
        </x14:conditionalFormatting>
      </x14:conditionalFormattings>
    </ext>
    <ext uri="smNativeData">
      <pm:sheetPrefs xmlns:pm="smNativeData" day="1595601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DA9694"/>
  </sheetPr>
  <dimension ref="A1:AF24"/>
  <sheetViews>
    <sheetView view="normal" workbookViewId="0">
      <selection activeCell="E5" sqref="E5"/>
    </sheetView>
  </sheetViews>
  <sheetFormatPr baseColWidth="10" defaultColWidth="11.428571" defaultRowHeight="15.40"/>
  <cols>
    <col min="1" max="1" width="4.000000" customWidth="1"/>
    <col min="2" max="2" width="20.732143" customWidth="1"/>
    <col min="3" max="3" width="5.571429" customWidth="1"/>
    <col min="4" max="4" width="5.000000" customWidth="1"/>
    <col min="5" max="9" width="6.000000" customWidth="1"/>
    <col min="10" max="10" width="5.571429" customWidth="1"/>
    <col min="11" max="11" width="6.000000" customWidth="1"/>
    <col min="12" max="13" width="6.571429" customWidth="1" style="62"/>
    <col min="14" max="14" width="8.285714" customWidth="1" style="62"/>
    <col min="15" max="15" width="4.571429" customWidth="1" style="62"/>
    <col min="16" max="16" width="6.000000" customWidth="1"/>
    <col min="17" max="18" width="5.428571" customWidth="1"/>
    <col min="19" max="19" width="5.142857" customWidth="1"/>
    <col min="20" max="21" width="4.571429" customWidth="1"/>
    <col min="22" max="22" width="4.857143" customWidth="1"/>
    <col min="23" max="23" width="4.571429" customWidth="1"/>
    <col min="24" max="24" width="4.714286" customWidth="1"/>
    <col min="25" max="25" width="11.857143" customWidth="1"/>
    <col min="28" max="28" width="6.000000" customWidth="1"/>
    <col min="29" max="29" width="13.714286" customWidth="1"/>
    <col min="31" max="31" width="5.714286" customWidth="1"/>
    <col min="32" max="32" width="13.714286" customWidth="1"/>
  </cols>
  <sheetData>
    <row r="1" spans="2:31">
      <c r="B1" t="s">
        <v>635</v>
      </c>
      <c r="AB1" t="s">
        <v>636</v>
      </c>
      <c r="AE1" t="s">
        <v>637</v>
      </c>
    </row>
    <row r="2" spans="2:32">
      <c r="B2" s="78" t="n">
        <v>44035</v>
      </c>
      <c r="Y2" s="210"/>
      <c r="AB2" s="153" t="s">
        <v>85</v>
      </c>
      <c r="AC2" s="153" t="s">
        <v>87</v>
      </c>
      <c r="AE2" s="153" t="s">
        <v>85</v>
      </c>
      <c r="AF2" s="153" t="s">
        <v>87</v>
      </c>
    </row>
    <row r="3" spans="1:32">
      <c r="A3" s="85" t="s">
        <v>638</v>
      </c>
      <c r="B3" s="85" t="str">
        <f>Plantilla!D3</f>
        <v>Jugador</v>
      </c>
      <c r="C3" s="85" t="str">
        <f>Plantilla!E3</f>
        <v>Anys</v>
      </c>
      <c r="D3" s="85" t="str">
        <f>Plantilla!F3</f>
        <v>Dias</v>
      </c>
      <c r="E3" s="85" t="str">
        <f>Plantilla!X3</f>
        <v>Po</v>
      </c>
      <c r="F3" s="85" t="str">
        <f>Plantilla!Y3</f>
        <v>De</v>
      </c>
      <c r="G3" s="85" t="str">
        <f>Plantilla!Z3</f>
        <v>Cr</v>
      </c>
      <c r="H3" s="85" t="str">
        <f>Plantilla!AA3</f>
        <v>Ex</v>
      </c>
      <c r="I3" s="85" t="str">
        <f>Plantilla!AB3</f>
        <v>Ps</v>
      </c>
      <c r="J3" s="85" t="str">
        <f>Plantilla!AC3</f>
        <v>An</v>
      </c>
      <c r="K3" s="85" t="str">
        <f>Plantilla!AD3</f>
        <v>PA</v>
      </c>
      <c r="L3" s="205" t="n">
        <v>1</v>
      </c>
      <c r="M3" s="205" t="n">
        <v>0.5</v>
      </c>
      <c r="N3" s="85" t="s">
        <v>646</v>
      </c>
      <c r="O3" s="207" t="s">
        <v>14</v>
      </c>
      <c r="P3" s="207" t="s">
        <v>630</v>
      </c>
      <c r="Q3" s="206" t="s">
        <v>640</v>
      </c>
      <c r="R3" s="206" t="s">
        <v>641</v>
      </c>
      <c r="S3" s="206" t="s">
        <v>642</v>
      </c>
      <c r="T3" s="206" t="s">
        <v>135</v>
      </c>
      <c r="U3" s="206" t="s">
        <v>473</v>
      </c>
      <c r="V3" s="206" t="s">
        <v>643</v>
      </c>
      <c r="W3" s="207" t="s">
        <v>140</v>
      </c>
      <c r="X3" s="209" t="s">
        <v>21</v>
      </c>
      <c r="Y3" s="208" t="s">
        <v>644</v>
      </c>
      <c r="AB3" t="s">
        <v>14</v>
      </c>
      <c r="AC3" t="s">
        <v>144</v>
      </c>
      <c r="AE3" t="s">
        <v>14</v>
      </c>
      <c r="AF3" t="s">
        <v>144</v>
      </c>
    </row>
    <row r="4" spans="1:32">
      <c r="A4" s="9" t="str">
        <f>Plantilla!A4</f>
        <v>#30</v>
      </c>
      <c r="B4" s="55" t="str">
        <f>Plantilla!D4</f>
        <v>D. Gehmacher</v>
      </c>
      <c r="C4" s="9">
        <f>Plantilla!E4</f>
        <v>38</v>
      </c>
      <c r="D4" s="469">
        <f>Plantilla!F4</f>
        <v>62</v>
      </c>
      <c r="E4" s="53">
        <f>Plantilla!X4</f>
        <v>14.9499999999999993</v>
      </c>
      <c r="F4" s="53">
        <f>Plantilla!Y4</f>
        <v>9.94999999999999929</v>
      </c>
      <c r="G4" s="53">
        <f>Plantilla!Z4</f>
        <v>0.95</v>
      </c>
      <c r="H4" s="53">
        <f>Plantilla!AA4</f>
        <v>0</v>
      </c>
      <c r="I4" s="53">
        <f>Plantilla!AB4</f>
        <v>0</v>
      </c>
      <c r="J4" s="53">
        <f>Plantilla!AC4</f>
        <v>0</v>
      </c>
      <c r="K4" s="53">
        <f>Plantilla!AD4</f>
        <v>17.9499999999999993</v>
      </c>
      <c r="L4" s="101"/>
      <c r="M4" s="101"/>
      <c r="N4" s="101"/>
      <c r="O4" s="52"/>
      <c r="P4" s="52"/>
      <c r="Q4" s="52"/>
      <c r="R4" s="52"/>
      <c r="S4" s="52"/>
      <c r="T4" s="52"/>
      <c r="U4" s="52"/>
      <c r="V4" s="52"/>
      <c r="W4" s="52"/>
      <c r="X4" s="52"/>
      <c r="Y4" s="121">
        <f>MAX(O4:X4)</f>
        <v>0</v>
      </c>
      <c r="AB4" t="s">
        <v>629</v>
      </c>
      <c r="AC4" t="s">
        <v>645</v>
      </c>
      <c r="AE4" t="s">
        <v>629</v>
      </c>
      <c r="AF4" t="str">
        <f>AC4</f>
        <v>B. Pinczehelyi</v>
      </c>
    </row>
    <row r="5" spans="1:32">
      <c r="A5" s="9" t="str">
        <f>Plantilla!A5</f>
        <v>#1</v>
      </c>
      <c r="B5" s="55" t="str">
        <f>Plantilla!D5</f>
        <v>林 (Lin) 光维 (Guangwei)</v>
      </c>
      <c r="C5" s="9">
        <f>Plantilla!E5</f>
        <v>22</v>
      </c>
      <c r="D5" s="469">
        <f>Plantilla!F5</f>
        <v>101</v>
      </c>
      <c r="E5" s="53">
        <f>Plantilla!X5</f>
        <v>15</v>
      </c>
      <c r="F5" s="53">
        <f>Plantilla!Y5</f>
        <v>5</v>
      </c>
      <c r="G5" s="53">
        <f>Plantilla!Z5</f>
        <v>2</v>
      </c>
      <c r="H5" s="53">
        <f>Plantilla!AA5</f>
        <v>1</v>
      </c>
      <c r="I5" s="53">
        <f>Plantilla!AB5</f>
        <v>5</v>
      </c>
      <c r="J5" s="53">
        <f>Plantilla!AC5</f>
        <v>3</v>
      </c>
      <c r="K5" s="53">
        <f>Plantilla!AD5</f>
        <v>19.25</v>
      </c>
      <c r="L5" s="101"/>
      <c r="M5" s="101"/>
      <c r="N5" s="101"/>
      <c r="O5" s="52"/>
      <c r="P5" s="52"/>
      <c r="Q5" s="52"/>
      <c r="R5" s="52"/>
      <c r="S5" s="52"/>
      <c r="T5" s="52"/>
      <c r="U5" s="52"/>
      <c r="V5" s="52"/>
      <c r="W5" s="52"/>
      <c r="X5" s="52"/>
      <c r="Y5" s="121">
        <f>MAX(O5:X5)</f>
        <v>0</v>
      </c>
      <c r="AB5" t="s">
        <v>630</v>
      </c>
      <c r="AC5" t="s">
        <v>225</v>
      </c>
      <c r="AE5" t="s">
        <v>634</v>
      </c>
      <c r="AF5" t="s">
        <v>218</v>
      </c>
    </row>
    <row r="6" spans="1:32">
      <c r="A6" s="9" t="str">
        <f>Plantilla!A11</f>
        <v>#2</v>
      </c>
      <c r="B6" s="55" t="str">
        <f>Plantilla!D11</f>
        <v>S. Swärdborn</v>
      </c>
      <c r="C6" s="9">
        <f>Plantilla!E11</f>
        <v>22</v>
      </c>
      <c r="D6" s="469">
        <f>Plantilla!F11</f>
        <v>18</v>
      </c>
      <c r="E6" s="53">
        <f>Plantilla!X11</f>
        <v>0</v>
      </c>
      <c r="F6" s="53">
        <f>Plantilla!Y11</f>
        <v>12</v>
      </c>
      <c r="G6" s="53">
        <f>Plantilla!Z11</f>
        <v>7</v>
      </c>
      <c r="H6" s="53">
        <f>Plantilla!AA11</f>
        <v>1</v>
      </c>
      <c r="I6" s="53">
        <f>Plantilla!AB11</f>
        <v>3</v>
      </c>
      <c r="J6" s="53">
        <f>Plantilla!AC11</f>
        <v>6</v>
      </c>
      <c r="K6" s="53">
        <f>Plantilla!AD11</f>
        <v>15.3333333333333002</v>
      </c>
      <c r="L6" s="101">
        <f>1/5</f>
        <v>0.2</v>
      </c>
      <c r="M6" s="101">
        <f>L6*0.5</f>
        <v>0.1</v>
      </c>
      <c r="N6" s="101">
        <f>L6*0.125</f>
        <v>0.025</v>
      </c>
      <c r="O6" s="52"/>
      <c r="P6" s="52">
        <f>L6*0.236</f>
        <v>0.0471999999999999975</v>
      </c>
      <c r="Q6" s="52">
        <f>L6*0.363</f>
        <v>0.0725999999999999979</v>
      </c>
      <c r="R6" s="52">
        <f>L6*0.165</f>
        <v>0.0330000000000000027</v>
      </c>
      <c r="S6" s="52">
        <f>L6*0.167</f>
        <v>0.0333999999999999986</v>
      </c>
      <c r="T6" s="52"/>
      <c r="U6" s="52"/>
      <c r="V6" s="52"/>
      <c r="W6" s="52"/>
      <c r="X6" s="52"/>
      <c r="Y6" s="121">
        <f>MAX(O6:X6)</f>
        <v>0.0725999999999999979</v>
      </c>
      <c r="AB6" t="s">
        <v>629</v>
      </c>
      <c r="AC6" t="s">
        <v>148</v>
      </c>
      <c r="AE6" t="s">
        <v>132</v>
      </c>
      <c r="AF6" t="s">
        <v>148</v>
      </c>
    </row>
    <row r="7" spans="1:32">
      <c r="A7" s="9" t="str">
        <f>Plantilla!A7</f>
        <v>#36</v>
      </c>
      <c r="B7" s="55" t="str">
        <f>Plantilla!D7</f>
        <v>F. Lasprilla</v>
      </c>
      <c r="C7" s="9">
        <f>Plantilla!E7</f>
        <v>35</v>
      </c>
      <c r="D7" s="469">
        <f>Plantilla!F7</f>
        <v>81</v>
      </c>
      <c r="E7" s="53">
        <f>Plantilla!X7</f>
        <v>0</v>
      </c>
      <c r="F7" s="53">
        <f>Plantilla!Y7</f>
        <v>8.94999999999999929</v>
      </c>
      <c r="G7" s="53">
        <f>Plantilla!Z7</f>
        <v>7.95000000000000018</v>
      </c>
      <c r="H7" s="53">
        <f>Plantilla!AA7</f>
        <v>4.95000000000000018</v>
      </c>
      <c r="I7" s="53">
        <f>Plantilla!AB7</f>
        <v>7.95000000000000018</v>
      </c>
      <c r="J7" s="53">
        <f>Plantilla!AC7</f>
        <v>0.95</v>
      </c>
      <c r="K7" s="53">
        <f>Plantilla!AD7</f>
        <v>14</v>
      </c>
      <c r="L7"/>
      <c r="M7" s="101"/>
      <c r="N7" s="101"/>
      <c r="O7" s="52"/>
      <c r="P7" s="52"/>
      <c r="Q7" s="52"/>
      <c r="R7" s="52"/>
      <c r="S7" s="52"/>
      <c r="T7" s="52"/>
      <c r="U7" s="52"/>
      <c r="V7" s="52"/>
      <c r="W7" s="52"/>
      <c r="X7" s="52"/>
      <c r="Y7" s="121">
        <f>MAX(O7:X7)</f>
        <v>0</v>
      </c>
      <c r="AB7" t="s">
        <v>473</v>
      </c>
      <c r="AC7" t="s">
        <v>155</v>
      </c>
      <c r="AE7" t="s">
        <v>634</v>
      </c>
      <c r="AF7" t="s">
        <v>214</v>
      </c>
    </row>
    <row r="8" spans="1:32">
      <c r="A8" s="9" t="str">
        <f>Plantilla!A8</f>
        <v>#31</v>
      </c>
      <c r="B8" s="55" t="str">
        <f>Plantilla!D8</f>
        <v>E. Romweber</v>
      </c>
      <c r="C8" s="9">
        <f>Plantilla!E8</f>
        <v>39</v>
      </c>
      <c r="D8" s="469">
        <f>Plantilla!F8</f>
        <v>35</v>
      </c>
      <c r="E8" s="53">
        <f>Plantilla!X8</f>
        <v>0</v>
      </c>
      <c r="F8" s="53">
        <f>Plantilla!Y8</f>
        <v>8.94999999999999929</v>
      </c>
      <c r="G8" s="53">
        <f>Plantilla!Z8</f>
        <v>8.94999999999999929</v>
      </c>
      <c r="H8" s="53">
        <f>Plantilla!AA8</f>
        <v>8.94999999999999929</v>
      </c>
      <c r="I8" s="53">
        <f>Plantilla!AB8</f>
        <v>6.95000000000000018</v>
      </c>
      <c r="J8" s="53">
        <f>Plantilla!AC8</f>
        <v>0.95</v>
      </c>
      <c r="K8" s="53">
        <f>Plantilla!AD8</f>
        <v>16</v>
      </c>
      <c r="L8" s="101"/>
      <c r="M8" s="101"/>
      <c r="N8" s="101"/>
      <c r="O8" s="52"/>
      <c r="P8" s="52"/>
      <c r="Q8" s="52"/>
      <c r="R8" s="52"/>
      <c r="S8" s="52"/>
      <c r="T8" s="52"/>
      <c r="U8" s="52"/>
      <c r="V8" s="52"/>
      <c r="W8" s="52"/>
      <c r="X8" s="52"/>
      <c r="Y8" s="121">
        <f>MAX(O8:X8)</f>
        <v>0</v>
      </c>
      <c r="AB8" t="s">
        <v>135</v>
      </c>
      <c r="AC8" t="s">
        <v>237</v>
      </c>
      <c r="AE8" t="s">
        <v>629</v>
      </c>
      <c r="AF8" t="s">
        <v>153</v>
      </c>
    </row>
    <row r="9" spans="1:32">
      <c r="A9" s="9" t="str">
        <f>Plantilla!A9</f>
        <v>#35</v>
      </c>
      <c r="B9" s="55" t="str">
        <f>Plantilla!D9</f>
        <v>S. Buschelman</v>
      </c>
      <c r="C9" s="9">
        <f>Plantilla!E9</f>
        <v>37</v>
      </c>
      <c r="D9" s="469">
        <f>Plantilla!F9</f>
        <v>106</v>
      </c>
      <c r="E9" s="53">
        <f>Plantilla!X9</f>
        <v>0</v>
      </c>
      <c r="F9" s="53">
        <f>Plantilla!Y9</f>
        <v>7.95000000000000018</v>
      </c>
      <c r="G9" s="53">
        <f>Plantilla!Z9</f>
        <v>11.9499999999999993</v>
      </c>
      <c r="H9" s="53">
        <f>Plantilla!AA9</f>
        <v>9.94999999999999929</v>
      </c>
      <c r="I9" s="53">
        <f>Plantilla!AB9</f>
        <v>6.95000000000000018</v>
      </c>
      <c r="J9" s="53">
        <f>Plantilla!AC9</f>
        <v>0.95</v>
      </c>
      <c r="K9" s="53">
        <f>Plantilla!AD9</f>
        <v>16</v>
      </c>
      <c r="L9" s="101"/>
      <c r="M9" s="101"/>
      <c r="N9" s="101"/>
      <c r="O9" s="52"/>
      <c r="P9" s="52"/>
      <c r="Q9" s="52"/>
      <c r="R9" s="52"/>
      <c r="S9" s="52"/>
      <c r="T9" s="52"/>
      <c r="U9" s="52"/>
      <c r="V9" s="52"/>
      <c r="W9" s="52"/>
      <c r="X9" s="52"/>
      <c r="Y9" s="121">
        <f>MAX(O9:X9)</f>
        <v>0</v>
      </c>
      <c r="AB9" t="s">
        <v>473</v>
      </c>
      <c r="AC9" t="s">
        <v>231</v>
      </c>
      <c r="AE9" t="s">
        <v>473</v>
      </c>
      <c r="AF9" t="s">
        <v>231</v>
      </c>
    </row>
    <row r="10" spans="1:32">
      <c r="A10" s="9" t="str">
        <f>Plantilla!A12</f>
        <v>#19</v>
      </c>
      <c r="B10" s="55" t="str">
        <f>Plantilla!D12</f>
        <v>A. Grimaud</v>
      </c>
      <c r="C10" s="9">
        <f>Plantilla!E12</f>
        <v>22</v>
      </c>
      <c r="D10" s="469">
        <f>Plantilla!F12</f>
        <v>41</v>
      </c>
      <c r="E10" s="53">
        <f>Plantilla!X12</f>
        <v>0</v>
      </c>
      <c r="F10" s="53">
        <f>Plantilla!Y12</f>
        <v>12</v>
      </c>
      <c r="G10" s="53">
        <f>Plantilla!Z12</f>
        <v>7</v>
      </c>
      <c r="H10" s="53">
        <f>Plantilla!AA12</f>
        <v>3</v>
      </c>
      <c r="I10" s="53">
        <f>Plantilla!AB12</f>
        <v>3</v>
      </c>
      <c r="J10" s="53">
        <f>Plantilla!AC12</f>
        <v>5</v>
      </c>
      <c r="K10" s="53">
        <f>Plantilla!AD12</f>
        <v>14.3333333333333002</v>
      </c>
      <c r="L10" s="101">
        <f>1/5</f>
        <v>0.2</v>
      </c>
      <c r="M10" s="101">
        <f>L10*0.5</f>
        <v>0.1</v>
      </c>
      <c r="N10" s="101">
        <f>L10*0.125</f>
        <v>0.025</v>
      </c>
      <c r="O10" s="52"/>
      <c r="P10" s="52">
        <f>L10*0.236</f>
        <v>0.0471999999999999975</v>
      </c>
      <c r="Q10" s="52">
        <f>L10*0.363</f>
        <v>0.0725999999999999979</v>
      </c>
      <c r="R10" s="52">
        <f>L10*0.165</f>
        <v>0.0330000000000000027</v>
      </c>
      <c r="S10" s="52">
        <f>L10*0.167</f>
        <v>0.0333999999999999986</v>
      </c>
      <c r="T10" s="52"/>
      <c r="U10" s="52"/>
      <c r="V10" s="52"/>
      <c r="W10" s="52"/>
      <c r="X10" s="52"/>
      <c r="Y10" s="121">
        <f>MAX(O10:X10)</f>
        <v>0.0725999999999999979</v>
      </c>
      <c r="AB10" t="s">
        <v>476</v>
      </c>
      <c r="AC10" t="s">
        <v>153</v>
      </c>
      <c r="AE10" t="s">
        <v>473</v>
      </c>
      <c r="AF10" t="s">
        <v>155</v>
      </c>
    </row>
    <row r="11" spans="1:32">
      <c r="A11" s="9" t="str">
        <f>Plantilla!A13</f>
        <v>#22</v>
      </c>
      <c r="B11" s="55" t="str">
        <f>Plantilla!D13</f>
        <v>V. Gardner</v>
      </c>
      <c r="C11" s="9">
        <f>Plantilla!E13</f>
        <v>22</v>
      </c>
      <c r="D11" s="469">
        <f>Plantilla!F13</f>
        <v>30</v>
      </c>
      <c r="E11" s="53">
        <f>Plantilla!X13</f>
        <v>0</v>
      </c>
      <c r="F11" s="53">
        <f>Plantilla!Y13</f>
        <v>12</v>
      </c>
      <c r="G11" s="53">
        <f>Plantilla!Z13</f>
        <v>5</v>
      </c>
      <c r="H11" s="53">
        <f>Plantilla!AA13</f>
        <v>3</v>
      </c>
      <c r="I11" s="53">
        <f>Plantilla!AB13</f>
        <v>5</v>
      </c>
      <c r="J11" s="53">
        <f>Plantilla!AC13</f>
        <v>6</v>
      </c>
      <c r="K11" s="53">
        <f>Plantilla!AD13</f>
        <v>16</v>
      </c>
      <c r="L11" s="101">
        <f>1/4</f>
        <v>0.25</v>
      </c>
      <c r="M11" s="101">
        <f>L11*0.5</f>
        <v>0.125</v>
      </c>
      <c r="N11" s="101">
        <f>L11*0.125</f>
        <v>0.03125</v>
      </c>
      <c r="O11" s="52"/>
      <c r="P11" s="52">
        <f>L11*0.236</f>
        <v>0.0589999999999999947</v>
      </c>
      <c r="Q11" s="52">
        <f>L11*0.363</f>
        <v>0.0907499999999999929</v>
      </c>
      <c r="R11" s="52">
        <f>L11*0.165</f>
        <v>0.04125</v>
      </c>
      <c r="S11" s="52">
        <f>L11*0.167</f>
        <v>0.0417500000000000071</v>
      </c>
      <c r="T11" s="52"/>
      <c r="U11" s="52"/>
      <c r="V11" s="52"/>
      <c r="W11" s="52"/>
      <c r="X11" s="52"/>
      <c r="Y11" s="121">
        <f>MAX(O11:X11)</f>
        <v>0.0907499999999999929</v>
      </c>
      <c r="AB11" t="s">
        <v>476</v>
      </c>
      <c r="AC11" t="s">
        <v>238</v>
      </c>
      <c r="AE11" t="s">
        <v>476</v>
      </c>
      <c r="AF11" t="s">
        <v>238</v>
      </c>
    </row>
    <row r="12" spans="1:32">
      <c r="A12" s="9" t="str">
        <f>Plantilla!A10</f>
        <v>#2</v>
      </c>
      <c r="B12" s="55" t="str">
        <f>Plantilla!D10</f>
        <v>L. Tutorić</v>
      </c>
      <c r="C12" s="9">
        <f>Plantilla!E10</f>
        <v>29</v>
      </c>
      <c r="D12" s="469">
        <f>Plantilla!F10</f>
        <v>16</v>
      </c>
      <c r="E12" s="53">
        <f>Plantilla!X10</f>
        <v>0</v>
      </c>
      <c r="F12" s="53">
        <f>Plantilla!Y10</f>
        <v>13</v>
      </c>
      <c r="G12" s="53">
        <f>Plantilla!Z10</f>
        <v>6</v>
      </c>
      <c r="H12" s="53">
        <f>Plantilla!AA10</f>
        <v>2</v>
      </c>
      <c r="I12" s="53">
        <f>Plantilla!AB10</f>
        <v>1</v>
      </c>
      <c r="J12" s="53">
        <f>Plantilla!AC10</f>
        <v>7</v>
      </c>
      <c r="K12" s="53">
        <f>Plantilla!AD10</f>
        <v>15.3333333333333002</v>
      </c>
      <c r="L12" s="101"/>
      <c r="M12" s="101"/>
      <c r="N12" s="101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121">
        <f>MAX(O12:X12)</f>
        <v>0</v>
      </c>
      <c r="AB12" t="s">
        <v>21</v>
      </c>
      <c r="AC12" t="s">
        <v>234</v>
      </c>
      <c r="AE12" t="s">
        <v>476</v>
      </c>
      <c r="AF12" t="s">
        <v>186</v>
      </c>
    </row>
    <row r="13" spans="1:32">
      <c r="A13" s="9" t="str">
        <f>Plantilla!A16</f>
        <v>#16</v>
      </c>
      <c r="B13" s="55" t="str">
        <f>Plantilla!D16</f>
        <v>I. Vanags</v>
      </c>
      <c r="C13" s="9">
        <f>Plantilla!E16</f>
        <v>22</v>
      </c>
      <c r="D13" s="469">
        <f>Plantilla!F16</f>
        <v>17</v>
      </c>
      <c r="E13" s="53">
        <f>Plantilla!X16</f>
        <v>0</v>
      </c>
      <c r="F13" s="53">
        <f>Plantilla!Y16</f>
        <v>4</v>
      </c>
      <c r="G13" s="53">
        <f>Plantilla!Z16</f>
        <v>13</v>
      </c>
      <c r="H13" s="53">
        <f>Plantilla!AA16</f>
        <v>3</v>
      </c>
      <c r="I13" s="53">
        <f>Plantilla!AB16</f>
        <v>4</v>
      </c>
      <c r="J13" s="53">
        <f>Plantilla!AC16</f>
        <v>7</v>
      </c>
      <c r="K13" s="53">
        <f>Plantilla!AD16</f>
        <v>16.3333333333333002</v>
      </c>
      <c r="L13" s="101">
        <f>1/10</f>
        <v>0.1</v>
      </c>
      <c r="M13" s="101">
        <f>L13*0.5</f>
        <v>0.05</v>
      </c>
      <c r="N13" s="101">
        <f>L13*0.125</f>
        <v>0.0125</v>
      </c>
      <c r="O13" s="52"/>
      <c r="P13" s="52"/>
      <c r="Q13" s="52"/>
      <c r="R13" s="52"/>
      <c r="S13" s="52"/>
      <c r="T13" s="52">
        <f>L13*1</f>
        <v>0.1</v>
      </c>
      <c r="U13" s="52">
        <f>L13*0.881</f>
        <v>0.088100000000000005</v>
      </c>
      <c r="V13" s="52">
        <f>L13*0.455</f>
        <v>0.0454999999999999982</v>
      </c>
      <c r="W13" s="52"/>
      <c r="X13" s="52"/>
      <c r="Y13" s="121">
        <f>MAX(O13:X13)</f>
        <v>0.1</v>
      </c>
      <c r="AB13" t="s">
        <v>21</v>
      </c>
      <c r="AC13" t="s">
        <v>186</v>
      </c>
      <c r="AE13" t="s">
        <v>21</v>
      </c>
      <c r="AF13" t="s">
        <v>234</v>
      </c>
    </row>
    <row r="14" spans="1:25">
      <c r="A14" s="9" t="str">
        <f>Plantilla!A17</f>
        <v>#8</v>
      </c>
      <c r="B14" s="55" t="str">
        <f>Plantilla!D17</f>
        <v>I. Stone</v>
      </c>
      <c r="C14" s="9">
        <f>Plantilla!E17</f>
        <v>21</v>
      </c>
      <c r="D14" s="469">
        <f>Plantilla!F17</f>
        <v>72</v>
      </c>
      <c r="E14" s="53">
        <f>Plantilla!X17</f>
        <v>0</v>
      </c>
      <c r="F14" s="53">
        <f>Plantilla!Y17</f>
        <v>3</v>
      </c>
      <c r="G14" s="53">
        <f>Plantilla!Z17</f>
        <v>12</v>
      </c>
      <c r="H14" s="53">
        <f>Plantilla!AA17</f>
        <v>2</v>
      </c>
      <c r="I14" s="53">
        <f>Plantilla!AB17</f>
        <v>6</v>
      </c>
      <c r="J14" s="53">
        <f>Plantilla!AC17</f>
        <v>9</v>
      </c>
      <c r="K14" s="53">
        <f>Plantilla!AD17</f>
        <v>15.3333333333333002</v>
      </c>
      <c r="L14" s="101">
        <f>1/10</f>
        <v>0.1</v>
      </c>
      <c r="M14" s="101">
        <f>L14*0.5</f>
        <v>0.05</v>
      </c>
      <c r="N14" s="101">
        <f>L14*0.125</f>
        <v>0.0125</v>
      </c>
      <c r="O14" s="52"/>
      <c r="P14" s="52"/>
      <c r="Q14" s="52"/>
      <c r="R14" s="52"/>
      <c r="S14" s="52"/>
      <c r="T14" s="52">
        <f>L14*1</f>
        <v>0.1</v>
      </c>
      <c r="U14" s="52">
        <f>L14*0.881</f>
        <v>0.088100000000000005</v>
      </c>
      <c r="V14" s="52">
        <f>L14*0.455</f>
        <v>0.0454999999999999982</v>
      </c>
      <c r="W14" s="52"/>
      <c r="X14" s="52"/>
      <c r="Y14" s="121">
        <f>MAX(O14:X14)</f>
        <v>0.1</v>
      </c>
    </row>
    <row r="15" spans="1:25">
      <c r="A15" s="9" t="str">
        <f>Plantilla!A18</f>
        <v>#14</v>
      </c>
      <c r="B15" s="55" t="str">
        <f>Plantilla!D18</f>
        <v>G. Piscaer</v>
      </c>
      <c r="C15" s="9">
        <f>Plantilla!E18</f>
        <v>22</v>
      </c>
      <c r="D15" s="469">
        <f>Plantilla!F18</f>
        <v>33</v>
      </c>
      <c r="E15" s="53">
        <f>Plantilla!X18</f>
        <v>0</v>
      </c>
      <c r="F15" s="53">
        <f>Plantilla!Y18</f>
        <v>4</v>
      </c>
      <c r="G15" s="53">
        <f>Plantilla!Z18</f>
        <v>13</v>
      </c>
      <c r="H15" s="53">
        <f>Plantilla!AA18</f>
        <v>3</v>
      </c>
      <c r="I15" s="53">
        <f>Plantilla!AB18</f>
        <v>2</v>
      </c>
      <c r="J15" s="53">
        <f>Plantilla!AC18</f>
        <v>8</v>
      </c>
      <c r="K15" s="53">
        <f>Plantilla!AD18</f>
        <v>14.3333333333333002</v>
      </c>
      <c r="L15" s="101">
        <f>1/11</f>
        <v>0.0909090909090909882</v>
      </c>
      <c r="M15" s="101">
        <f>L15*0.5</f>
        <v>0.0454545454545460004</v>
      </c>
      <c r="N15" s="101">
        <f>L15*0.125</f>
        <v>0.0113636363636360005</v>
      </c>
      <c r="O15" s="52"/>
      <c r="P15" s="52"/>
      <c r="Q15" s="52"/>
      <c r="R15" s="52"/>
      <c r="S15" s="52"/>
      <c r="T15" s="52">
        <f>L15*1</f>
        <v>0.0909090909090909882</v>
      </c>
      <c r="U15" s="52">
        <f>L15*0.881</f>
        <v>0.0800909090909090082</v>
      </c>
      <c r="V15" s="52">
        <f>L15*0.455</f>
        <v>0.0413636363636359938</v>
      </c>
      <c r="W15" s="52"/>
      <c r="X15" s="52"/>
      <c r="Y15" s="121">
        <f>MAX(O15:X15)</f>
        <v>0.0909090909090909882</v>
      </c>
    </row>
    <row r="16" spans="1:25">
      <c r="A16" s="9" t="str">
        <f>Plantilla!A19</f>
        <v>#9</v>
      </c>
      <c r="B16" s="55" t="str">
        <f>Plantilla!D19</f>
        <v>M. Bondarewski</v>
      </c>
      <c r="C16" s="9">
        <f>Plantilla!E19</f>
        <v>22</v>
      </c>
      <c r="D16" s="469">
        <f>Plantilla!F19</f>
        <v>33</v>
      </c>
      <c r="E16" s="53">
        <f>Plantilla!X19</f>
        <v>0</v>
      </c>
      <c r="F16" s="53">
        <f>Plantilla!Y19</f>
        <v>2</v>
      </c>
      <c r="G16" s="53">
        <f>Plantilla!Z19</f>
        <v>13</v>
      </c>
      <c r="H16" s="53">
        <f>Plantilla!AA19</f>
        <v>5</v>
      </c>
      <c r="I16" s="53">
        <f>Plantilla!AB19</f>
        <v>4</v>
      </c>
      <c r="J16" s="53">
        <f>Plantilla!AC19</f>
        <v>8</v>
      </c>
      <c r="K16" s="53">
        <f>Plantilla!AD19</f>
        <v>17</v>
      </c>
      <c r="L16" s="101">
        <f>1/11</f>
        <v>0.0909090909090909882</v>
      </c>
      <c r="M16" s="101">
        <f>L16*0.5</f>
        <v>0.0454545454545460004</v>
      </c>
      <c r="N16" s="101">
        <f>L16*0.125</f>
        <v>0.0113636363636360005</v>
      </c>
      <c r="O16" s="52"/>
      <c r="P16" s="52"/>
      <c r="Q16" s="52"/>
      <c r="R16" s="52"/>
      <c r="S16" s="52"/>
      <c r="T16" s="52">
        <f>L16*1</f>
        <v>0.0909090909090909882</v>
      </c>
      <c r="U16" s="52">
        <f>L16*0.881</f>
        <v>0.0800909090909090082</v>
      </c>
      <c r="V16" s="52">
        <f>L16*0.455</f>
        <v>0.0413636363636359938</v>
      </c>
      <c r="W16" s="52"/>
      <c r="X16" s="52"/>
      <c r="Y16" s="121">
        <f>MAX(O16:X16)</f>
        <v>0.0909090909090909882</v>
      </c>
    </row>
    <row r="17" spans="1:25">
      <c r="A17" s="9" t="str">
        <f>Plantilla!A20</f>
        <v>#12</v>
      </c>
      <c r="B17" s="55" t="str">
        <f>Plantilla!D20</f>
        <v>P. Tuderek</v>
      </c>
      <c r="C17" s="9">
        <f>Plantilla!E20</f>
        <v>22</v>
      </c>
      <c r="D17" s="469">
        <f>Plantilla!F20</f>
        <v>19</v>
      </c>
      <c r="E17" s="53">
        <f>Plantilla!X20</f>
        <v>0</v>
      </c>
      <c r="F17" s="53">
        <f>Plantilla!Y20</f>
        <v>6</v>
      </c>
      <c r="G17" s="53">
        <f>Plantilla!Z20</f>
        <v>12</v>
      </c>
      <c r="H17" s="53">
        <f>Plantilla!AA20</f>
        <v>2</v>
      </c>
      <c r="I17" s="53">
        <f>Plantilla!AB20</f>
        <v>3</v>
      </c>
      <c r="J17" s="53">
        <f>Plantilla!AC20</f>
        <v>6</v>
      </c>
      <c r="K17" s="53">
        <f>Plantilla!AD20</f>
        <v>17.25</v>
      </c>
      <c r="L17" s="101">
        <f>1/10</f>
        <v>0.1</v>
      </c>
      <c r="M17" s="101">
        <f>L17*0.5</f>
        <v>0.05</v>
      </c>
      <c r="N17" s="101">
        <f>L17*0.125</f>
        <v>0.0125</v>
      </c>
      <c r="O17" s="52"/>
      <c r="P17" s="52"/>
      <c r="Q17" s="52"/>
      <c r="R17" s="52"/>
      <c r="S17" s="52"/>
      <c r="T17" s="52">
        <f>L17*1</f>
        <v>0.1</v>
      </c>
      <c r="U17" s="52">
        <f>L17*0.881</f>
        <v>0.088100000000000005</v>
      </c>
      <c r="V17" s="52">
        <f>L17*0.455</f>
        <v>0.0454999999999999982</v>
      </c>
      <c r="W17" s="52"/>
      <c r="X17" s="52"/>
      <c r="Y17" s="121">
        <f>MAX(O17:X17)</f>
        <v>0.1</v>
      </c>
    </row>
    <row r="18" spans="1:25">
      <c r="A18" s="9" t="str">
        <f>Plantilla!A21</f>
        <v>#10</v>
      </c>
      <c r="B18" s="55" t="str">
        <f>Plantilla!D21</f>
        <v>R. Forsyth</v>
      </c>
      <c r="C18" s="9">
        <f>Plantilla!E21</f>
        <v>22</v>
      </c>
      <c r="D18" s="469">
        <f>Plantilla!F21</f>
        <v>74</v>
      </c>
      <c r="E18" s="53">
        <f>Plantilla!X21</f>
        <v>0</v>
      </c>
      <c r="F18" s="53">
        <f>Plantilla!Y21</f>
        <v>7</v>
      </c>
      <c r="G18" s="53">
        <f>Plantilla!Z21</f>
        <v>13</v>
      </c>
      <c r="H18" s="53">
        <f>Plantilla!AA21</f>
        <v>3</v>
      </c>
      <c r="I18" s="53">
        <f>Plantilla!AB21</f>
        <v>4</v>
      </c>
      <c r="J18" s="53">
        <f>Plantilla!AC21</f>
        <v>6</v>
      </c>
      <c r="K18" s="53">
        <f>Plantilla!AD21</f>
        <v>15</v>
      </c>
      <c r="L18" s="101">
        <f>1/11</f>
        <v>0.0909090909090909882</v>
      </c>
      <c r="M18" s="101">
        <f>L18*0.5</f>
        <v>0.0454545454545460004</v>
      </c>
      <c r="N18" s="101">
        <f>L18*0.125</f>
        <v>0.0113636363636360005</v>
      </c>
      <c r="O18" s="52"/>
      <c r="P18" s="52"/>
      <c r="Q18" s="52"/>
      <c r="R18" s="52"/>
      <c r="S18" s="52"/>
      <c r="T18" s="52">
        <f>L18*1</f>
        <v>0.0909090909090909882</v>
      </c>
      <c r="U18" s="52">
        <f>L18*0.881</f>
        <v>0.0800909090909090082</v>
      </c>
      <c r="V18" s="52">
        <f>L18*0.455</f>
        <v>0.0413636363636359938</v>
      </c>
      <c r="W18" s="52"/>
      <c r="X18" s="52"/>
      <c r="Y18" s="121">
        <f>MAX(O18:X18)</f>
        <v>0.0909090909090909882</v>
      </c>
    </row>
    <row r="19" spans="1:25">
      <c r="A19" s="9" t="str">
        <f>Plantilla!A14</f>
        <v>#3</v>
      </c>
      <c r="B19" s="55" t="str">
        <f>Plantilla!D14</f>
        <v>S. Embe</v>
      </c>
      <c r="C19" s="9">
        <f>Plantilla!E14</f>
        <v>22</v>
      </c>
      <c r="D19" s="469">
        <f>Plantilla!F14</f>
        <v>86</v>
      </c>
      <c r="E19" s="53">
        <f>Plantilla!X14</f>
        <v>0</v>
      </c>
      <c r="F19" s="53">
        <f>Plantilla!Y14</f>
        <v>11</v>
      </c>
      <c r="G19" s="53">
        <f>Plantilla!Z14</f>
        <v>4</v>
      </c>
      <c r="H19" s="53">
        <f>Plantilla!AA14</f>
        <v>1</v>
      </c>
      <c r="I19" s="53">
        <f>Plantilla!AB14</f>
        <v>5</v>
      </c>
      <c r="J19" s="53">
        <f>Plantilla!AC14</f>
        <v>6</v>
      </c>
      <c r="K19" s="53">
        <f>Plantilla!AD14</f>
        <v>17.3333333333333002</v>
      </c>
      <c r="L19" s="101">
        <f>1/4</f>
        <v>0.25</v>
      </c>
      <c r="M19" s="101">
        <f>L19*0.5</f>
        <v>0.125</v>
      </c>
      <c r="N19" s="101">
        <f>L19*0.125</f>
        <v>0.03125</v>
      </c>
      <c r="O19" s="52"/>
      <c r="P19" s="52">
        <f>L19*0.236</f>
        <v>0.0589999999999999947</v>
      </c>
      <c r="Q19" s="52">
        <f>L19*0.363</f>
        <v>0.0907499999999999929</v>
      </c>
      <c r="R19" s="52">
        <f>L19*0.165</f>
        <v>0.04125</v>
      </c>
      <c r="S19" s="52">
        <f>L19*0.167</f>
        <v>0.0417500000000000071</v>
      </c>
      <c r="T19" s="52"/>
      <c r="U19" s="52"/>
      <c r="V19" s="52"/>
      <c r="W19" s="52"/>
      <c r="X19" s="52"/>
      <c r="Y19" s="121">
        <f>MAX(O19:X19)</f>
        <v>0.0907499999999999929</v>
      </c>
    </row>
    <row r="20" spans="1:25">
      <c r="A20" s="9" t="str">
        <f>Plantilla!A15</f>
        <v>#4</v>
      </c>
      <c r="B20" s="55" t="str">
        <f>Plantilla!D15</f>
        <v>E. Deus</v>
      </c>
      <c r="C20" s="9">
        <f>Plantilla!E15</f>
        <v>21</v>
      </c>
      <c r="D20" s="469">
        <f>Plantilla!F15</f>
        <v>69</v>
      </c>
      <c r="E20" s="53">
        <f>Plantilla!X15</f>
        <v>0</v>
      </c>
      <c r="F20" s="53">
        <f>Plantilla!Y15</f>
        <v>11</v>
      </c>
      <c r="G20" s="53">
        <f>Plantilla!Z15</f>
        <v>7</v>
      </c>
      <c r="H20" s="53">
        <f>Plantilla!AA15</f>
        <v>1</v>
      </c>
      <c r="I20" s="53">
        <f>Plantilla!AB15</f>
        <v>6</v>
      </c>
      <c r="J20" s="53">
        <f>Plantilla!AC15</f>
        <v>5</v>
      </c>
      <c r="K20" s="53">
        <f>Plantilla!AD15</f>
        <v>15.3333333333333002</v>
      </c>
      <c r="L20" s="101">
        <f>1/5</f>
        <v>0.2</v>
      </c>
      <c r="M20" s="101">
        <f>L20*0.5</f>
        <v>0.1</v>
      </c>
      <c r="N20" s="101">
        <f>L20*0.125</f>
        <v>0.025</v>
      </c>
      <c r="O20" s="52"/>
      <c r="P20" s="52">
        <f>L20*0.236</f>
        <v>0.0471999999999999975</v>
      </c>
      <c r="Q20" s="52">
        <f>L20*0.363</f>
        <v>0.0725999999999999979</v>
      </c>
      <c r="R20" s="52">
        <f>L20*0.165</f>
        <v>0.0330000000000000027</v>
      </c>
      <c r="S20" s="52">
        <f>L20*0.167</f>
        <v>0.0333999999999999986</v>
      </c>
      <c r="T20" s="52"/>
      <c r="U20" s="52"/>
      <c r="V20" s="52"/>
      <c r="W20" s="52"/>
      <c r="X20" s="52"/>
      <c r="Y20" s="121">
        <f>MAX(O20:X20)</f>
        <v>0.0725999999999999979</v>
      </c>
    </row>
    <row r="21" spans="1:25">
      <c r="A21" s="9" t="str">
        <f>Plantilla!A22</f>
        <v>#11</v>
      </c>
      <c r="B21" s="55" t="str">
        <f>Plantilla!D22</f>
        <v>J-P. Kechele</v>
      </c>
      <c r="C21" s="9">
        <f>Plantilla!E22</f>
        <v>29</v>
      </c>
      <c r="D21" s="469">
        <f>Plantilla!F22</f>
        <v>107</v>
      </c>
      <c r="E21" s="53">
        <f>Plantilla!X22</f>
        <v>0</v>
      </c>
      <c r="F21" s="53">
        <f>Plantilla!Y22</f>
        <v>4</v>
      </c>
      <c r="G21" s="53">
        <f>Plantilla!Z22</f>
        <v>14</v>
      </c>
      <c r="H21" s="53">
        <f>Plantilla!AA22</f>
        <v>4</v>
      </c>
      <c r="I21" s="53">
        <f>Plantilla!AB22</f>
        <v>9</v>
      </c>
      <c r="J21" s="53">
        <f>Plantilla!AC22</f>
        <v>8</v>
      </c>
      <c r="K21" s="53">
        <f>Plantilla!AD22</f>
        <v>19.25</v>
      </c>
      <c r="L21" s="101"/>
      <c r="M21" s="101"/>
      <c r="N21" s="101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121">
        <f>MAX(O21:X21)</f>
        <v>0</v>
      </c>
    </row>
    <row r="22" spans="1:25">
      <c r="A22" s="9" t="str">
        <f>Plantilla!A23</f>
        <v>#29</v>
      </c>
      <c r="B22" s="55" t="str">
        <f>Plantilla!D23</f>
        <v>S. Zobbe</v>
      </c>
      <c r="C22" s="9">
        <f>Plantilla!E23</f>
        <v>35</v>
      </c>
      <c r="D22" s="469">
        <f>Plantilla!F23</f>
        <v>109</v>
      </c>
      <c r="E22" s="53">
        <f>Plantilla!X23</f>
        <v>0</v>
      </c>
      <c r="F22" s="53">
        <f>Plantilla!Y23</f>
        <v>7.95000000000000018</v>
      </c>
      <c r="G22" s="53">
        <f>Plantilla!Z23</f>
        <v>11.9499999999999993</v>
      </c>
      <c r="H22" s="53">
        <f>Plantilla!AA23</f>
        <v>11.9499999999999993</v>
      </c>
      <c r="I22" s="53">
        <f>Plantilla!AB23</f>
        <v>9.94999999999999929</v>
      </c>
      <c r="J22" s="53">
        <f>Plantilla!AC23</f>
        <v>4.95000000000000018</v>
      </c>
      <c r="K22" s="53">
        <f>Plantilla!AD23</f>
        <v>18</v>
      </c>
      <c r="L22" s="101"/>
      <c r="M22" s="101"/>
      <c r="N22" s="101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121">
        <f>MAX(O22:X22)</f>
        <v>0</v>
      </c>
    </row>
    <row r="23" spans="1:25">
      <c r="A23" s="9" t="str">
        <f>Plantilla!A6</f>
        <v>#40</v>
      </c>
      <c r="B23" s="55" t="str">
        <f>Plantilla!D6</f>
        <v>E. Toney</v>
      </c>
      <c r="C23" s="9">
        <f>Plantilla!E6</f>
        <v>39</v>
      </c>
      <c r="D23" s="469">
        <f>Plantilla!F6</f>
        <v>73</v>
      </c>
      <c r="E23" s="53">
        <f>Plantilla!X6</f>
        <v>0</v>
      </c>
      <c r="F23" s="53">
        <f>Plantilla!Y6</f>
        <v>8.94999999999999929</v>
      </c>
      <c r="G23" s="53">
        <f>Plantilla!Z6</f>
        <v>8.94999999999999929</v>
      </c>
      <c r="H23" s="53">
        <f>Plantilla!AA6</f>
        <v>4.95000000000000018</v>
      </c>
      <c r="I23" s="53">
        <f>Plantilla!AB6</f>
        <v>4.95000000000000018</v>
      </c>
      <c r="J23" s="53">
        <f>Plantilla!AC6</f>
        <v>0</v>
      </c>
      <c r="K23" s="53">
        <f>Plantilla!AD6</f>
        <v>15</v>
      </c>
      <c r="L23" s="101"/>
      <c r="M23" s="101"/>
      <c r="N23" s="101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121">
        <f>MAX(O23:X23)</f>
        <v>0</v>
      </c>
    </row>
    <row r="24" spans="1:25">
      <c r="A24" s="9" t="str">
        <f>Plantilla!A24</f>
        <v>#28</v>
      </c>
      <c r="B24" s="55" t="str">
        <f>Plantilla!D24</f>
        <v>P .Trivadi</v>
      </c>
      <c r="C24" s="9">
        <f>Plantilla!E24</f>
        <v>35</v>
      </c>
      <c r="D24" s="469">
        <f>Plantilla!F24</f>
        <v>65</v>
      </c>
      <c r="E24" s="53">
        <f>Plantilla!X24</f>
        <v>0</v>
      </c>
      <c r="F24" s="53">
        <f>Plantilla!Y24</f>
        <v>3.95000000000000018</v>
      </c>
      <c r="G24" s="53">
        <f>Plantilla!Z24</f>
        <v>5.95000000000000018</v>
      </c>
      <c r="H24" s="53">
        <f>Plantilla!AA24</f>
        <v>4.95000000000000018</v>
      </c>
      <c r="I24" s="53">
        <f>Plantilla!AB24</f>
        <v>9.94999999999999929</v>
      </c>
      <c r="J24" s="53">
        <f>Plantilla!AC24</f>
        <v>6.95000000000000018</v>
      </c>
      <c r="K24" s="53">
        <f>Plantilla!AD24</f>
        <v>15</v>
      </c>
      <c r="L24" s="101"/>
      <c r="M24" s="101"/>
      <c r="N24" s="101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121">
        <f>MAX(O24:X24)</f>
        <v>0</v>
      </c>
    </row>
  </sheetData>
  <conditionalFormatting sqref="E4:K24">
    <cfRule type="colorScale" priority="1">
      <colorScale>
        <cfvo type="min"/>
        <cfvo type="max"/>
        <color rgb="FFFCFCFF"/>
        <color rgb="FFF8696B"/>
      </colorScale>
    </cfRule>
  </conditionalFormatting>
  <conditionalFormatting sqref="L4:X24">
    <cfRule type="colorScale" priority="2">
      <colorScale>
        <cfvo type="min"/>
        <cfvo type="max"/>
        <color rgb="FFFFEF9C"/>
        <color rgb="FF63BE7B"/>
      </colorScale>
    </cfRule>
  </conditionalFormatting>
  <conditionalFormatting sqref="Y4:Y24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{4C2A8114-93B3-91EC-B0C5-EB4AAD25DE4E}</x14:id>
        </ext>
      </extLst>
    </cfRule>
  </conditionalFormatting>
  <printOptions>
    <extLst>
      <ext uri="smNativeData">
        <pm:pageFlags xmlns:pm="smNativeData" id="1595601780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601780" l="56" r="56" t="56" b="56" borderId="0" fillId="0" vertical="0"/>
        <pm:footer xmlns:pm="smNativeData" id="1595601780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C2A8114-93B3-91EC-B0C5-EB4AAD25DE4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Y4:Y24</xm:sqref>
        </x14:conditionalFormatting>
      </x14:conditionalFormattings>
    </ext>
    <ext uri="smNativeData">
      <pm:sheetPrefs xmlns:pm="smNativeData" day="1595601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DA9694"/>
  </sheetPr>
  <dimension ref="A1:AF27"/>
  <sheetViews>
    <sheetView view="normal" workbookViewId="0">
      <selection activeCell="Y5" sqref="Y5"/>
    </sheetView>
  </sheetViews>
  <sheetFormatPr baseColWidth="10" defaultColWidth="11.428571" defaultRowHeight="15.40"/>
  <cols>
    <col min="1" max="1" width="4.000000" customWidth="1"/>
    <col min="2" max="2" width="23.571429" customWidth="1"/>
    <col min="3" max="3" width="5.571429" customWidth="1"/>
    <col min="4" max="4" width="5.000000" customWidth="1"/>
    <col min="5" max="11" width="5.571429" customWidth="1"/>
    <col min="12" max="12" width="6.571429" customWidth="1" style="62"/>
    <col min="13" max="13" width="8.285714" customWidth="1" style="62"/>
    <col min="14" max="14" width="4.571429" customWidth="1" style="62"/>
    <col min="15" max="15" width="6.000000" customWidth="1"/>
    <col min="16" max="17" width="5.428571" customWidth="1"/>
    <col min="18" max="18" width="5.142857" customWidth="1"/>
    <col min="19" max="20" width="4.571429" customWidth="1"/>
    <col min="21" max="21" width="4.857143" customWidth="1"/>
    <col min="22" max="23" width="4.571429" customWidth="1"/>
    <col min="24" max="24" width="9.714286" customWidth="1"/>
    <col min="25" max="25" width="14.142857" customWidth="1"/>
    <col min="28" max="28" width="6.000000" customWidth="1"/>
    <col min="29" max="29" width="13.714286" customWidth="1"/>
    <col min="31" max="31" width="5.714286" customWidth="1"/>
    <col min="32" max="32" width="13.714286" customWidth="1"/>
  </cols>
  <sheetData>
    <row r="1" spans="2:31">
      <c r="B1" t="s">
        <v>635</v>
      </c>
      <c r="AB1" t="s">
        <v>636</v>
      </c>
      <c r="AE1" t="s">
        <v>637</v>
      </c>
    </row>
    <row r="2" spans="2:32">
      <c r="B2" s="78" t="n">
        <v>44035</v>
      </c>
      <c r="X2" s="210">
        <f>SUM(X4:X22)</f>
        <v>0.426633333333333997</v>
      </c>
      <c r="Y2" s="210">
        <f>SUM(Y4:Y22)</f>
        <v>3.61247619047630009</v>
      </c>
      <c r="Z2" s="210">
        <f>SUM(Z4:Z22)</f>
        <v>0.60207936507920099</v>
      </c>
      <c r="AB2" s="153" t="s">
        <v>85</v>
      </c>
      <c r="AC2" s="153" t="s">
        <v>87</v>
      </c>
      <c r="AE2" s="153" t="s">
        <v>85</v>
      </c>
      <c r="AF2" s="153" t="s">
        <v>87</v>
      </c>
    </row>
    <row r="3" spans="1:32">
      <c r="A3" s="85" t="s">
        <v>638</v>
      </c>
      <c r="B3" s="85" t="str">
        <f>Plantilla!D3</f>
        <v>Jugador</v>
      </c>
      <c r="C3" s="85" t="str">
        <f>Plantilla!E3</f>
        <v>Anys</v>
      </c>
      <c r="D3" s="85" t="str">
        <f>Plantilla!F3</f>
        <v>Dias</v>
      </c>
      <c r="E3" s="85" t="str">
        <f>Plantilla!X3</f>
        <v>Po</v>
      </c>
      <c r="F3" s="85" t="str">
        <f>Plantilla!Y3</f>
        <v>De</v>
      </c>
      <c r="G3" s="85" t="str">
        <f>Plantilla!Z3</f>
        <v>Cr</v>
      </c>
      <c r="H3" s="85" t="str">
        <f>Plantilla!AA3</f>
        <v>Ex</v>
      </c>
      <c r="I3" s="85" t="str">
        <f>Plantilla!AB3</f>
        <v>Ps</v>
      </c>
      <c r="J3" s="85" t="str">
        <f>Plantilla!AC3</f>
        <v>An</v>
      </c>
      <c r="K3" s="85" t="str">
        <f>Plantilla!AD3</f>
        <v>PA</v>
      </c>
      <c r="L3" s="205" t="n">
        <v>1</v>
      </c>
      <c r="M3" s="85" t="s">
        <v>639</v>
      </c>
      <c r="N3" s="207" t="s">
        <v>14</v>
      </c>
      <c r="O3" s="207" t="s">
        <v>630</v>
      </c>
      <c r="P3" s="206" t="s">
        <v>640</v>
      </c>
      <c r="Q3" s="206" t="s">
        <v>641</v>
      </c>
      <c r="R3" s="206" t="s">
        <v>642</v>
      </c>
      <c r="S3" s="206" t="s">
        <v>135</v>
      </c>
      <c r="T3" s="206" t="s">
        <v>473</v>
      </c>
      <c r="U3" s="206" t="s">
        <v>643</v>
      </c>
      <c r="V3" s="207" t="s">
        <v>140</v>
      </c>
      <c r="W3" s="207" t="s">
        <v>21</v>
      </c>
      <c r="X3" s="208" t="s">
        <v>647</v>
      </c>
      <c r="Y3" s="208" t="s">
        <v>648</v>
      </c>
      <c r="Z3" s="208" t="s">
        <v>649</v>
      </c>
      <c r="AB3" t="s">
        <v>14</v>
      </c>
      <c r="AC3" t="s">
        <v>144</v>
      </c>
      <c r="AE3" t="s">
        <v>14</v>
      </c>
      <c r="AF3" t="s">
        <v>144</v>
      </c>
    </row>
    <row r="4" spans="1:32">
      <c r="A4" s="9" t="str">
        <f>Plantilla!A4</f>
        <v>#30</v>
      </c>
      <c r="B4" s="268" t="str">
        <f>Plantilla!D4</f>
        <v>D. Gehmacher</v>
      </c>
      <c r="C4" s="9">
        <f>Plantilla!E4</f>
        <v>38</v>
      </c>
      <c r="D4" s="469">
        <f>Plantilla!F4</f>
        <v>62</v>
      </c>
      <c r="E4" s="53">
        <f>Plantilla!X4</f>
        <v>14.9499999999999993</v>
      </c>
      <c r="F4" s="53">
        <f>Plantilla!Y4</f>
        <v>9.94999999999999929</v>
      </c>
      <c r="G4" s="53">
        <f>Plantilla!Z4</f>
        <v>0.95</v>
      </c>
      <c r="H4" s="53">
        <f>Plantilla!AA4</f>
        <v>0</v>
      </c>
      <c r="I4" s="53">
        <f>Plantilla!AB4</f>
        <v>0</v>
      </c>
      <c r="J4" s="53">
        <f>Plantilla!AC4</f>
        <v>0</v>
      </c>
      <c r="K4" s="53">
        <f>Plantilla!AD4</f>
        <v>17.9499999999999993</v>
      </c>
      <c r="L4" s="101"/>
      <c r="M4" s="101"/>
      <c r="N4" s="53"/>
      <c r="O4" s="52"/>
      <c r="P4" s="52"/>
      <c r="Q4" s="52"/>
      <c r="R4" s="52"/>
      <c r="S4" s="52"/>
      <c r="T4" s="52"/>
      <c r="U4" s="52"/>
      <c r="V4" s="52"/>
      <c r="W4" s="52"/>
      <c r="X4" s="121"/>
      <c r="Y4" s="121"/>
      <c r="Z4" s="121"/>
      <c r="AB4" t="s">
        <v>629</v>
      </c>
      <c r="AC4" t="s">
        <v>645</v>
      </c>
      <c r="AE4" t="s">
        <v>629</v>
      </c>
      <c r="AF4" t="str">
        <f>AC4</f>
        <v>B. Pinczehelyi</v>
      </c>
    </row>
    <row r="5" spans="1:32">
      <c r="A5" s="9" t="str">
        <f>Plantilla!A5</f>
        <v>#1</v>
      </c>
      <c r="B5" s="268" t="str">
        <f>Plantilla!D5</f>
        <v>林 (Lin) 光维 (Guangwei)</v>
      </c>
      <c r="C5" s="9">
        <f>Plantilla!E5</f>
        <v>22</v>
      </c>
      <c r="D5" s="469">
        <f>Plantilla!F5</f>
        <v>101</v>
      </c>
      <c r="E5" s="53">
        <f>Plantilla!X5</f>
        <v>15</v>
      </c>
      <c r="F5" s="53">
        <f>Plantilla!Y5</f>
        <v>5</v>
      </c>
      <c r="G5" s="53">
        <f>Plantilla!Z5</f>
        <v>2</v>
      </c>
      <c r="H5" s="53">
        <f>Plantilla!AA5</f>
        <v>1</v>
      </c>
      <c r="I5" s="53">
        <f>Plantilla!AB5</f>
        <v>5</v>
      </c>
      <c r="J5" s="53">
        <f>Plantilla!AC5</f>
        <v>3</v>
      </c>
      <c r="K5" s="53">
        <f>Plantilla!AD5</f>
        <v>19.25</v>
      </c>
      <c r="L5" s="101"/>
      <c r="M5" s="101"/>
      <c r="N5" s="53"/>
      <c r="O5" s="52"/>
      <c r="P5" s="52"/>
      <c r="Q5" s="52"/>
      <c r="R5" s="52"/>
      <c r="S5" s="52"/>
      <c r="T5" s="52"/>
      <c r="U5" s="52"/>
      <c r="V5" s="52"/>
      <c r="W5" s="52"/>
      <c r="X5" s="121"/>
      <c r="Y5" s="121"/>
      <c r="Z5" s="121"/>
      <c r="AB5" t="s">
        <v>630</v>
      </c>
      <c r="AC5" t="s">
        <v>225</v>
      </c>
      <c r="AE5" t="s">
        <v>634</v>
      </c>
      <c r="AF5" t="s">
        <v>218</v>
      </c>
    </row>
    <row r="6" spans="1:32">
      <c r="A6" s="9" t="str">
        <f>Plantilla!A6</f>
        <v>#40</v>
      </c>
      <c r="B6" s="268" t="str">
        <f>Plantilla!D6</f>
        <v>E. Toney</v>
      </c>
      <c r="C6" s="9">
        <f>Plantilla!E6</f>
        <v>39</v>
      </c>
      <c r="D6" s="469">
        <f>Plantilla!F6</f>
        <v>73</v>
      </c>
      <c r="E6" s="53">
        <f>Plantilla!X6</f>
        <v>0</v>
      </c>
      <c r="F6" s="53">
        <f>Plantilla!Y6</f>
        <v>8.94999999999999929</v>
      </c>
      <c r="G6" s="53">
        <f>Plantilla!Z6</f>
        <v>8.94999999999999929</v>
      </c>
      <c r="H6" s="53">
        <f>Plantilla!AA6</f>
        <v>4.95000000000000018</v>
      </c>
      <c r="I6" s="53">
        <f>Plantilla!AB6</f>
        <v>4.95000000000000018</v>
      </c>
      <c r="J6" s="53">
        <f>Plantilla!AC6</f>
        <v>0</v>
      </c>
      <c r="K6" s="53">
        <f>Plantilla!AD6</f>
        <v>15</v>
      </c>
      <c r="L6" s="101"/>
      <c r="M6" s="101"/>
      <c r="N6" s="53"/>
      <c r="O6" s="52"/>
      <c r="P6" s="52"/>
      <c r="Q6" s="52"/>
      <c r="R6" s="52"/>
      <c r="S6" s="52"/>
      <c r="T6" s="52"/>
      <c r="U6" s="52"/>
      <c r="V6" s="52"/>
      <c r="W6" s="52"/>
      <c r="X6" s="121"/>
      <c r="Y6" s="121"/>
      <c r="Z6" s="121"/>
      <c r="AB6" t="s">
        <v>629</v>
      </c>
      <c r="AC6" t="s">
        <v>148</v>
      </c>
      <c r="AE6" t="s">
        <v>132</v>
      </c>
      <c r="AF6" t="s">
        <v>148</v>
      </c>
    </row>
    <row r="7" spans="1:32">
      <c r="A7" s="9" t="str">
        <f>Plantilla!A7</f>
        <v>#36</v>
      </c>
      <c r="B7" s="268" t="str">
        <f>Plantilla!D7</f>
        <v>F. Lasprilla</v>
      </c>
      <c r="C7" s="9">
        <f>Plantilla!E7</f>
        <v>35</v>
      </c>
      <c r="D7" s="469">
        <f>Plantilla!F7</f>
        <v>81</v>
      </c>
      <c r="E7" s="53">
        <f>Plantilla!X7</f>
        <v>0</v>
      </c>
      <c r="F7" s="53">
        <f>Plantilla!Y7</f>
        <v>8.94999999999999929</v>
      </c>
      <c r="G7" s="53">
        <f>Plantilla!Z7</f>
        <v>7.95000000000000018</v>
      </c>
      <c r="H7" s="53">
        <f>Plantilla!AA7</f>
        <v>4.95000000000000018</v>
      </c>
      <c r="I7" s="53">
        <f>Plantilla!AB7</f>
        <v>7.95000000000000018</v>
      </c>
      <c r="J7" s="53">
        <f>Plantilla!AC7</f>
        <v>0.95</v>
      </c>
      <c r="K7" s="53">
        <f>Plantilla!AD7</f>
        <v>14</v>
      </c>
      <c r="L7" s="101"/>
      <c r="M7" s="101"/>
      <c r="N7" s="53"/>
      <c r="O7" s="52"/>
      <c r="P7" s="52"/>
      <c r="Q7" s="52"/>
      <c r="R7" s="52"/>
      <c r="S7" s="52"/>
      <c r="T7" s="52"/>
      <c r="U7" s="52"/>
      <c r="V7" s="52"/>
      <c r="W7" s="52"/>
      <c r="X7" s="121"/>
      <c r="Y7" s="121"/>
      <c r="Z7" s="121"/>
      <c r="AB7" t="s">
        <v>473</v>
      </c>
      <c r="AC7" t="s">
        <v>155</v>
      </c>
      <c r="AE7" t="s">
        <v>634</v>
      </c>
      <c r="AF7" t="s">
        <v>214</v>
      </c>
    </row>
    <row r="8" spans="1:32">
      <c r="A8" s="9" t="str">
        <f>Plantilla!A8</f>
        <v>#31</v>
      </c>
      <c r="B8" s="268" t="str">
        <f>Plantilla!D8</f>
        <v>E. Romweber</v>
      </c>
      <c r="C8" s="9">
        <f>Plantilla!E8</f>
        <v>39</v>
      </c>
      <c r="D8" s="469">
        <f>Plantilla!F8</f>
        <v>35</v>
      </c>
      <c r="E8" s="53">
        <f>Plantilla!X8</f>
        <v>0</v>
      </c>
      <c r="F8" s="53">
        <f>Plantilla!Y8</f>
        <v>8.94999999999999929</v>
      </c>
      <c r="G8" s="53">
        <f>Plantilla!Z8</f>
        <v>8.94999999999999929</v>
      </c>
      <c r="H8" s="53">
        <f>Plantilla!AA8</f>
        <v>8.94999999999999929</v>
      </c>
      <c r="I8" s="53">
        <f>Plantilla!AB8</f>
        <v>6.95000000000000018</v>
      </c>
      <c r="J8" s="53">
        <f>Plantilla!AC8</f>
        <v>0.95</v>
      </c>
      <c r="K8" s="53">
        <f>Plantilla!AD8</f>
        <v>16</v>
      </c>
      <c r="L8" s="101"/>
      <c r="M8" s="101"/>
      <c r="N8" s="53"/>
      <c r="O8" s="52"/>
      <c r="P8" s="52"/>
      <c r="Q8" s="52"/>
      <c r="R8" s="52"/>
      <c r="S8" s="52"/>
      <c r="T8" s="52"/>
      <c r="U8" s="52"/>
      <c r="V8" s="52"/>
      <c r="W8" s="52"/>
      <c r="X8" s="121"/>
      <c r="Y8" s="121"/>
      <c r="Z8" s="121"/>
      <c r="AB8" t="s">
        <v>135</v>
      </c>
      <c r="AC8" t="s">
        <v>237</v>
      </c>
      <c r="AE8" t="s">
        <v>629</v>
      </c>
      <c r="AF8" t="s">
        <v>153</v>
      </c>
    </row>
    <row r="9" spans="1:32">
      <c r="A9" s="9" t="str">
        <f>Plantilla!A9</f>
        <v>#35</v>
      </c>
      <c r="B9" s="268" t="str">
        <f>Plantilla!D9</f>
        <v>S. Buschelman</v>
      </c>
      <c r="C9" s="9">
        <f>Plantilla!E9</f>
        <v>37</v>
      </c>
      <c r="D9" s="469">
        <f>Plantilla!F9</f>
        <v>106</v>
      </c>
      <c r="E9" s="53">
        <f>Plantilla!X9</f>
        <v>0</v>
      </c>
      <c r="F9" s="53">
        <f>Plantilla!Y9</f>
        <v>7.95000000000000018</v>
      </c>
      <c r="G9" s="53">
        <f>Plantilla!Z9</f>
        <v>11.9499999999999993</v>
      </c>
      <c r="H9" s="53">
        <f>Plantilla!AA9</f>
        <v>9.94999999999999929</v>
      </c>
      <c r="I9" s="53">
        <f>Plantilla!AB9</f>
        <v>6.95000000000000018</v>
      </c>
      <c r="J9" s="53">
        <f>Plantilla!AC9</f>
        <v>0.95</v>
      </c>
      <c r="K9" s="53">
        <f>Plantilla!AD9</f>
        <v>16</v>
      </c>
      <c r="L9" s="101"/>
      <c r="M9" s="101"/>
      <c r="N9" s="53"/>
      <c r="O9" s="52"/>
      <c r="P9" s="52"/>
      <c r="Q9" s="52"/>
      <c r="R9" s="52"/>
      <c r="S9" s="52"/>
      <c r="T9" s="52"/>
      <c r="U9" s="52"/>
      <c r="V9" s="52"/>
      <c r="W9" s="52"/>
      <c r="X9" s="121"/>
      <c r="Y9" s="121"/>
      <c r="Z9" s="121"/>
      <c r="AB9" t="s">
        <v>473</v>
      </c>
      <c r="AC9" t="s">
        <v>231</v>
      </c>
      <c r="AE9" t="s">
        <v>473</v>
      </c>
      <c r="AF9" t="s">
        <v>231</v>
      </c>
    </row>
    <row r="10" spans="1:32">
      <c r="A10" s="9" t="str">
        <f>Plantilla!A10</f>
        <v>#2</v>
      </c>
      <c r="B10" s="268" t="str">
        <f>Plantilla!D10</f>
        <v>L. Tutorić</v>
      </c>
      <c r="C10" s="9">
        <f>Plantilla!E10</f>
        <v>29</v>
      </c>
      <c r="D10" s="469">
        <f>Plantilla!F10</f>
        <v>16</v>
      </c>
      <c r="E10" s="53">
        <f>Plantilla!X10</f>
        <v>0</v>
      </c>
      <c r="F10" s="53">
        <f>Plantilla!Y10</f>
        <v>13</v>
      </c>
      <c r="G10" s="53">
        <f>Plantilla!Z10</f>
        <v>6</v>
      </c>
      <c r="H10" s="53">
        <f>Plantilla!AA10</f>
        <v>2</v>
      </c>
      <c r="I10" s="53">
        <f>Plantilla!AB10</f>
        <v>1</v>
      </c>
      <c r="J10" s="53">
        <f>Plantilla!AC10</f>
        <v>7</v>
      </c>
      <c r="K10" s="53">
        <f>Plantilla!AD10</f>
        <v>15.3333333333333002</v>
      </c>
      <c r="L10" s="101"/>
      <c r="M10" s="101"/>
      <c r="N10" s="53"/>
      <c r="O10" s="52"/>
      <c r="P10" s="52"/>
      <c r="Q10" s="52"/>
      <c r="R10" s="52"/>
      <c r="S10" s="52"/>
      <c r="T10" s="52"/>
      <c r="U10" s="52"/>
      <c r="V10" s="52"/>
      <c r="W10" s="52"/>
      <c r="X10" s="121"/>
      <c r="Y10" s="121"/>
      <c r="Z10" s="121"/>
      <c r="AB10" t="s">
        <v>476</v>
      </c>
      <c r="AC10" t="s">
        <v>153</v>
      </c>
      <c r="AE10" t="s">
        <v>473</v>
      </c>
      <c r="AF10" t="s">
        <v>155</v>
      </c>
    </row>
    <row r="11" spans="1:32">
      <c r="A11" s="9" t="str">
        <f>Plantilla!A11</f>
        <v>#2</v>
      </c>
      <c r="B11" s="268" t="str">
        <f>Plantilla!D11</f>
        <v>S. Swärdborn</v>
      </c>
      <c r="C11" s="9">
        <f>Plantilla!E11</f>
        <v>22</v>
      </c>
      <c r="D11" s="469">
        <f>Plantilla!F11</f>
        <v>18</v>
      </c>
      <c r="E11" s="53">
        <f>Plantilla!X11</f>
        <v>0</v>
      </c>
      <c r="F11" s="53">
        <f>Plantilla!Y11</f>
        <v>12</v>
      </c>
      <c r="G11" s="53">
        <f>Plantilla!Z11</f>
        <v>7</v>
      </c>
      <c r="H11" s="53">
        <f>Plantilla!AA11</f>
        <v>1</v>
      </c>
      <c r="I11" s="53">
        <f>Plantilla!AB11</f>
        <v>3</v>
      </c>
      <c r="J11" s="53">
        <f>Plantilla!AC11</f>
        <v>6</v>
      </c>
      <c r="K11" s="53">
        <f>Plantilla!AD11</f>
        <v>15.3333333333333002</v>
      </c>
      <c r="L11" s="101">
        <f>1/5</f>
        <v>0.2</v>
      </c>
      <c r="M11" s="101">
        <f>L11/6</f>
        <v>0.0333333333333329973</v>
      </c>
      <c r="N11" s="53" t="n">
        <v>0</v>
      </c>
      <c r="O11" s="52" t="n">
        <v>0</v>
      </c>
      <c r="P11" s="52" t="n">
        <v>0</v>
      </c>
      <c r="Q11" s="52" t="n">
        <v>0</v>
      </c>
      <c r="R11" s="52" t="n">
        <v>0</v>
      </c>
      <c r="S11" s="52"/>
      <c r="T11" s="52"/>
      <c r="U11" s="52"/>
      <c r="V11" s="52"/>
      <c r="W11" s="52"/>
      <c r="X11" s="121">
        <f>MAX(N11:W11)</f>
        <v>0</v>
      </c>
      <c r="Y11" s="121">
        <f>(1.66*(J11+L11)+0.55*(K11)-7.6)-(1.66*(J11)+0.55*(K11)-7.6)</f>
        <v>0.332000000000001005</v>
      </c>
      <c r="Z11" s="121">
        <f>(1.66*(J11+M11)+0.55*(K11)-7.6)-(1.66*(J11)+0.55*(K11)-7.6)</f>
        <v>0.0553333333333010025</v>
      </c>
      <c r="AB11" t="s">
        <v>476</v>
      </c>
      <c r="AC11" t="s">
        <v>238</v>
      </c>
      <c r="AE11" t="s">
        <v>476</v>
      </c>
      <c r="AF11" t="s">
        <v>238</v>
      </c>
    </row>
    <row r="12" spans="1:32">
      <c r="A12" s="9" t="str">
        <f>Plantilla!A12</f>
        <v>#19</v>
      </c>
      <c r="B12" s="268" t="str">
        <f>Plantilla!D12</f>
        <v>A. Grimaud</v>
      </c>
      <c r="C12" s="9">
        <f>Plantilla!E12</f>
        <v>22</v>
      </c>
      <c r="D12" s="469">
        <f>Plantilla!F12</f>
        <v>41</v>
      </c>
      <c r="E12" s="53">
        <f>Plantilla!X12</f>
        <v>0</v>
      </c>
      <c r="F12" s="53">
        <f>Plantilla!Y12</f>
        <v>12</v>
      </c>
      <c r="G12" s="53">
        <f>Plantilla!Z12</f>
        <v>7</v>
      </c>
      <c r="H12" s="53">
        <f>Plantilla!AA12</f>
        <v>3</v>
      </c>
      <c r="I12" s="53">
        <f>Plantilla!AB12</f>
        <v>3</v>
      </c>
      <c r="J12" s="53">
        <f>Plantilla!AC12</f>
        <v>5</v>
      </c>
      <c r="K12" s="53">
        <f>Plantilla!AD12</f>
        <v>14.3333333333333002</v>
      </c>
      <c r="L12" s="101">
        <f>1/4</f>
        <v>0.25</v>
      </c>
      <c r="M12" s="101">
        <f>L12/6</f>
        <v>0.0416666666666669983</v>
      </c>
      <c r="N12" s="53" t="n">
        <v>0</v>
      </c>
      <c r="O12" s="52" t="n">
        <v>0</v>
      </c>
      <c r="P12" s="52" t="n">
        <v>0</v>
      </c>
      <c r="Q12" s="52" t="n">
        <v>0</v>
      </c>
      <c r="R12" s="52" t="n">
        <v>0</v>
      </c>
      <c r="S12" s="52"/>
      <c r="T12" s="52"/>
      <c r="U12" s="52"/>
      <c r="V12" s="52"/>
      <c r="W12" s="52"/>
      <c r="X12" s="121">
        <f>MAX(N12:W12)</f>
        <v>0</v>
      </c>
      <c r="Y12" s="121">
        <f>(1.66*(J12+L12)+0.55*(K12)-7.6)-(1.66*(J12)+0.55*(K12)-7.6)</f>
        <v>0.41499999999999897</v>
      </c>
      <c r="Z12" s="121">
        <f>(1.66*(J12+M12)+0.55*(K12)-7.6)-(1.66*(J12)+0.55*(K12)-7.6)</f>
        <v>0.069166666666700003</v>
      </c>
      <c r="AB12" t="s">
        <v>21</v>
      </c>
      <c r="AC12" t="s">
        <v>234</v>
      </c>
      <c r="AE12" t="s">
        <v>476</v>
      </c>
      <c r="AF12" t="s">
        <v>186</v>
      </c>
    </row>
    <row r="13" spans="1:32">
      <c r="A13" s="9" t="str">
        <f>Plantilla!A13</f>
        <v>#22</v>
      </c>
      <c r="B13" s="268" t="str">
        <f>Plantilla!D13</f>
        <v>V. Gardner</v>
      </c>
      <c r="C13" s="9">
        <f>Plantilla!E13</f>
        <v>22</v>
      </c>
      <c r="D13" s="469">
        <f>Plantilla!F13</f>
        <v>30</v>
      </c>
      <c r="E13" s="53">
        <f>Plantilla!X13</f>
        <v>0</v>
      </c>
      <c r="F13" s="53">
        <f>Plantilla!Y13</f>
        <v>12</v>
      </c>
      <c r="G13" s="53">
        <f>Plantilla!Z13</f>
        <v>5</v>
      </c>
      <c r="H13" s="53">
        <f>Plantilla!AA13</f>
        <v>3</v>
      </c>
      <c r="I13" s="53">
        <f>Plantilla!AB13</f>
        <v>5</v>
      </c>
      <c r="J13" s="53">
        <f>Plantilla!AC13</f>
        <v>6</v>
      </c>
      <c r="K13" s="53">
        <f>Plantilla!AD13</f>
        <v>16</v>
      </c>
      <c r="L13" s="101">
        <f>1/5</f>
        <v>0.2</v>
      </c>
      <c r="M13" s="101">
        <f>L13/6</f>
        <v>0.0333333333333329973</v>
      </c>
      <c r="N13" s="53" t="n">
        <v>0</v>
      </c>
      <c r="O13" s="52" t="n">
        <v>0</v>
      </c>
      <c r="P13" s="52" t="n">
        <v>0</v>
      </c>
      <c r="Q13" s="52" t="n">
        <v>0</v>
      </c>
      <c r="R13" s="52" t="n">
        <v>0</v>
      </c>
      <c r="S13" s="52"/>
      <c r="T13" s="52"/>
      <c r="U13" s="52"/>
      <c r="V13" s="52"/>
      <c r="W13" s="52"/>
      <c r="X13" s="121">
        <f>MAX(N13:W13)</f>
        <v>0</v>
      </c>
      <c r="Y13" s="121">
        <f>(1.66*(J13+L13)+0.55*(K13)-7.6)-(1.66*(J13)+0.55*(K13)-7.6)</f>
        <v>0.332000000000001005</v>
      </c>
      <c r="Z13" s="121">
        <f>(1.66*(J13+M13)+0.55*(K13)-7.6)-(1.66*(J13)+0.55*(K13)-7.6)</f>
        <v>0.0553333333332999899</v>
      </c>
      <c r="AB13" t="s">
        <v>21</v>
      </c>
      <c r="AC13" t="s">
        <v>186</v>
      </c>
      <c r="AE13" t="s">
        <v>21</v>
      </c>
      <c r="AF13" t="s">
        <v>234</v>
      </c>
    </row>
    <row r="14" spans="1:26">
      <c r="A14" s="9" t="str">
        <f>Plantilla!A14</f>
        <v>#3</v>
      </c>
      <c r="B14" s="268" t="str">
        <f>Plantilla!D14</f>
        <v>S. Embe</v>
      </c>
      <c r="C14" s="9">
        <f>Plantilla!E14</f>
        <v>22</v>
      </c>
      <c r="D14" s="469">
        <f>Plantilla!F14</f>
        <v>86</v>
      </c>
      <c r="E14" s="53">
        <f>Plantilla!X14</f>
        <v>0</v>
      </c>
      <c r="F14" s="53">
        <f>Plantilla!Y14</f>
        <v>11</v>
      </c>
      <c r="G14" s="53">
        <f>Plantilla!Z14</f>
        <v>4</v>
      </c>
      <c r="H14" s="53">
        <f>Plantilla!AA14</f>
        <v>1</v>
      </c>
      <c r="I14" s="53">
        <f>Plantilla!AB14</f>
        <v>5</v>
      </c>
      <c r="J14" s="53">
        <f>Plantilla!AC14</f>
        <v>6</v>
      </c>
      <c r="K14" s="53">
        <f>Plantilla!AD14</f>
        <v>17.3333333333333002</v>
      </c>
      <c r="L14" s="101">
        <f>1/(5)</f>
        <v>0.2</v>
      </c>
      <c r="M14" s="101">
        <f>L14/6</f>
        <v>0.0333333333333329973</v>
      </c>
      <c r="N14" s="53" t="n">
        <v>0</v>
      </c>
      <c r="O14" s="52" t="n">
        <v>0</v>
      </c>
      <c r="P14" s="52" t="n">
        <v>0</v>
      </c>
      <c r="Q14" s="52" t="n">
        <v>0</v>
      </c>
      <c r="R14" s="52" t="n">
        <v>0</v>
      </c>
      <c r="S14" s="52"/>
      <c r="T14" s="52"/>
      <c r="U14" s="52"/>
      <c r="V14" s="52"/>
      <c r="W14" s="52"/>
      <c r="X14" s="121">
        <f>MAX(N14:W14)</f>
        <v>0</v>
      </c>
      <c r="Y14" s="121">
        <f>(1.66*(J14+L14)+0.55*(K14)-7.6)-(1.66*(J14)+0.55*(K14)-7.6)</f>
        <v>0.331999999999999007</v>
      </c>
      <c r="Z14" s="121">
        <f>(1.66*(J14+M14)+0.55*(K14)-7.6)-(1.66*(J14)+0.55*(K14)-7.6)</f>
        <v>0.0553333333332999899</v>
      </c>
    </row>
    <row r="15" spans="1:26">
      <c r="A15" s="9" t="str">
        <f>Plantilla!A15</f>
        <v>#4</v>
      </c>
      <c r="B15" s="268" t="str">
        <f>Plantilla!D15</f>
        <v>E. Deus</v>
      </c>
      <c r="C15" s="9">
        <f>Plantilla!E15</f>
        <v>21</v>
      </c>
      <c r="D15" s="469">
        <f>Plantilla!F15</f>
        <v>69</v>
      </c>
      <c r="E15" s="53">
        <f>Plantilla!X15</f>
        <v>0</v>
      </c>
      <c r="F15" s="53">
        <f>Plantilla!Y15</f>
        <v>11</v>
      </c>
      <c r="G15" s="53">
        <f>Plantilla!Z15</f>
        <v>7</v>
      </c>
      <c r="H15" s="53">
        <f>Plantilla!AA15</f>
        <v>1</v>
      </c>
      <c r="I15" s="53">
        <f>Plantilla!AB15</f>
        <v>6</v>
      </c>
      <c r="J15" s="53">
        <f>Plantilla!AC15</f>
        <v>5</v>
      </c>
      <c r="K15" s="53">
        <f>Plantilla!AD15</f>
        <v>15.3333333333333002</v>
      </c>
      <c r="L15" s="101">
        <f>1/4</f>
        <v>0.25</v>
      </c>
      <c r="M15" s="101">
        <f>L15/6</f>
        <v>0.0416666666666669983</v>
      </c>
      <c r="N15" s="53" t="n">
        <v>0</v>
      </c>
      <c r="O15" s="52" t="n">
        <v>0</v>
      </c>
      <c r="P15" s="52" t="n">
        <v>0</v>
      </c>
      <c r="Q15" s="52" t="n">
        <v>0</v>
      </c>
      <c r="R15" s="52" t="n">
        <v>0</v>
      </c>
      <c r="S15" s="52"/>
      <c r="T15" s="52"/>
      <c r="U15" s="52"/>
      <c r="V15" s="52"/>
      <c r="W15" s="52"/>
      <c r="X15" s="121">
        <f>MAX(N15:W15)</f>
        <v>0</v>
      </c>
      <c r="Y15" s="121">
        <f>(1.66*(J15+L15)+0.55*(K15)-7.6)-(1.66*(J15)+0.55*(K15)-7.6)</f>
        <v>0.41499999999999897</v>
      </c>
      <c r="Z15" s="121">
        <f>(1.66*(J15+M15)+0.55*(K15)-7.6)-(1.66*(J15)+0.55*(K15)-7.6)</f>
        <v>0.069166666666700003</v>
      </c>
    </row>
    <row r="16" spans="1:26">
      <c r="A16" s="9" t="str">
        <f>Plantilla!A16</f>
        <v>#16</v>
      </c>
      <c r="B16" s="268" t="str">
        <f>Plantilla!D16</f>
        <v>I. Vanags</v>
      </c>
      <c r="C16" s="9">
        <f>Plantilla!E16</f>
        <v>22</v>
      </c>
      <c r="D16" s="469">
        <f>Plantilla!F16</f>
        <v>17</v>
      </c>
      <c r="E16" s="53">
        <f>Plantilla!X16</f>
        <v>0</v>
      </c>
      <c r="F16" s="53">
        <f>Plantilla!Y16</f>
        <v>4</v>
      </c>
      <c r="G16" s="53">
        <f>Plantilla!Z16</f>
        <v>13</v>
      </c>
      <c r="H16" s="53">
        <f>Plantilla!AA16</f>
        <v>3</v>
      </c>
      <c r="I16" s="53">
        <f>Plantilla!AB16</f>
        <v>4</v>
      </c>
      <c r="J16" s="53">
        <f>Plantilla!AC16</f>
        <v>7</v>
      </c>
      <c r="K16" s="53">
        <f>Plantilla!AD16</f>
        <v>16.3333333333333002</v>
      </c>
      <c r="L16" s="101">
        <f>1/5</f>
        <v>0.2</v>
      </c>
      <c r="M16" s="101">
        <f>L16/6</f>
        <v>0.0333333333333329973</v>
      </c>
      <c r="N16" s="53"/>
      <c r="O16" s="52"/>
      <c r="P16" s="52"/>
      <c r="Q16" s="52"/>
      <c r="R16" s="52"/>
      <c r="S16" s="52">
        <f>L16*(0.19*0.341+0.25*0.253+0.25*0.127)/(0.19+0.25)</f>
        <v>0.0726318181818180086</v>
      </c>
      <c r="T16" s="52">
        <f>L16*(0.19*0.241+0.25*0.315)/(0.19+0.25)</f>
        <v>0.0566090909090909999</v>
      </c>
      <c r="U16" s="52">
        <f>L16*(0.19*0.121+0.25*0.244)/(0.19+0.25)</f>
        <v>0.0381772727272729995</v>
      </c>
      <c r="V16" s="52">
        <f>L16*(0.19*0.543+0.25*0.324)/(0.19+0.25)</f>
        <v>0.0837136363636360059</v>
      </c>
      <c r="W16" s="52">
        <f>L16*(0.19*0.369+0.25*0.142)/(0.19+0.25)</f>
        <v>0.0480045454545449957</v>
      </c>
      <c r="X16" s="121">
        <f>MAX(N16:W16)</f>
        <v>0.0837136363636360059</v>
      </c>
      <c r="Y16" s="121">
        <f>(1.66*(J16+L16)+0.55*(K16)-7.6)-(1.66*(J16)+0.55*(K16)-7.6)</f>
        <v>0.332000000000001005</v>
      </c>
      <c r="Z16" s="121">
        <f>(1.66*(J16+M16)+0.55*(K16)-7.6)-(1.66*(J16)+0.55*(K16)-7.6)</f>
        <v>0.0553333333332999899</v>
      </c>
    </row>
    <row r="17" spans="1:26">
      <c r="A17" s="9" t="str">
        <f>Plantilla!A17</f>
        <v>#8</v>
      </c>
      <c r="B17" s="268" t="str">
        <f>Plantilla!D17</f>
        <v>I. Stone</v>
      </c>
      <c r="C17" s="9">
        <f>Plantilla!E17</f>
        <v>21</v>
      </c>
      <c r="D17" s="469">
        <f>Plantilla!F17</f>
        <v>72</v>
      </c>
      <c r="E17" s="53">
        <f>Plantilla!X17</f>
        <v>0</v>
      </c>
      <c r="F17" s="53">
        <f>Plantilla!Y17</f>
        <v>3</v>
      </c>
      <c r="G17" s="53">
        <f>Plantilla!Z17</f>
        <v>12</v>
      </c>
      <c r="H17" s="53">
        <f>Plantilla!AA17</f>
        <v>2</v>
      </c>
      <c r="I17" s="53">
        <f>Plantilla!AB17</f>
        <v>6</v>
      </c>
      <c r="J17" s="53">
        <f>Plantilla!AC17</f>
        <v>9</v>
      </c>
      <c r="K17" s="53">
        <f>Plantilla!AD17</f>
        <v>15.3333333333333002</v>
      </c>
      <c r="L17" s="101">
        <f>1/7</f>
        <v>0.142857142857142989</v>
      </c>
      <c r="M17" s="101">
        <f>L17/6</f>
        <v>0.0238095238095240003</v>
      </c>
      <c r="N17" s="53"/>
      <c r="O17" s="52"/>
      <c r="P17" s="52"/>
      <c r="Q17" s="52"/>
      <c r="R17" s="52"/>
      <c r="S17" s="52">
        <f>L17*(0.19*0.341+0.25*0.253+0.25*0.127)/(0.19+0.25)</f>
        <v>0.051879870129869996</v>
      </c>
      <c r="T17" s="52">
        <f>L17*(0.19*0.241+0.25*0.315)/(0.19+0.25)</f>
        <v>0.0404350649350659985</v>
      </c>
      <c r="U17" s="52">
        <f>L17*(0.19*0.121+0.25*0.244)/(0.19+0.25)</f>
        <v>0.0272694805194799983</v>
      </c>
      <c r="V17" s="52">
        <f>L17*(0.19*0.543+0.25*0.324)/(0.19+0.25)</f>
        <v>0.0597954545454549979</v>
      </c>
      <c r="W17" s="52">
        <f>L17*(0.19*0.369+0.25*0.142)/(0.19+0.25)</f>
        <v>0.0342889610389610011</v>
      </c>
      <c r="X17" s="121">
        <f>MAX(N17:W17)</f>
        <v>0.0597954545454549979</v>
      </c>
      <c r="Y17" s="121">
        <f>(1.66*(J17+L17)+0.55*(K17)-7.6)-(1.66*(J17)+0.55*(K17)-7.6)</f>
        <v>0.23714285714290102</v>
      </c>
      <c r="Z17" s="121">
        <f>(1.66*(J17+M17)+0.55*(K17)-7.6)-(1.66*(J17)+0.55*(K17)-7.6)</f>
        <v>0.0395238095238000042</v>
      </c>
    </row>
    <row r="18" spans="1:26">
      <c r="A18" s="9" t="str">
        <f>Plantilla!A18</f>
        <v>#14</v>
      </c>
      <c r="B18" s="268" t="str">
        <f>Plantilla!D18</f>
        <v>G. Piscaer</v>
      </c>
      <c r="C18" s="9">
        <f>Plantilla!E18</f>
        <v>22</v>
      </c>
      <c r="D18" s="469">
        <f>Plantilla!F18</f>
        <v>33</v>
      </c>
      <c r="E18" s="53">
        <f>Plantilla!X18</f>
        <v>0</v>
      </c>
      <c r="F18" s="53">
        <f>Plantilla!Y18</f>
        <v>4</v>
      </c>
      <c r="G18" s="53">
        <f>Plantilla!Z18</f>
        <v>13</v>
      </c>
      <c r="H18" s="53">
        <f>Plantilla!AA18</f>
        <v>3</v>
      </c>
      <c r="I18" s="53">
        <f>Plantilla!AB18</f>
        <v>2</v>
      </c>
      <c r="J18" s="53">
        <f>Plantilla!AC18</f>
        <v>8</v>
      </c>
      <c r="K18" s="53">
        <f>Plantilla!AD18</f>
        <v>14.3333333333333002</v>
      </c>
      <c r="L18" s="101">
        <f>1/6</f>
        <v>0.16666666666666698</v>
      </c>
      <c r="M18" s="101">
        <f>L18/6</f>
        <v>0.0277777777777779988</v>
      </c>
      <c r="N18" s="53"/>
      <c r="O18" s="52"/>
      <c r="P18" s="52"/>
      <c r="Q18" s="52"/>
      <c r="R18" s="52"/>
      <c r="S18" s="52">
        <f>L18*(0.19*0.341+0.25*0.253+0.25*0.127)/(0.19+0.25)</f>
        <v>0.0605265151515159872</v>
      </c>
      <c r="T18" s="52">
        <f>L18*(0.19*0.241+0.25*0.315)/(0.19+0.25)</f>
        <v>0.0471742424242430047</v>
      </c>
      <c r="U18" s="52">
        <f>L18*(0.19*0.121+0.25*0.244)/(0.19+0.25)</f>
        <v>0.0318143939393929998</v>
      </c>
      <c r="V18" s="52">
        <f>L18*(0.19*0.543+0.25*0.25)/(0.19+0.25)</f>
        <v>0.062753787878788998</v>
      </c>
      <c r="W18" s="52">
        <f>L18*(0.19*0.369+0.25*0.142)/(0.19+0.25)</f>
        <v>0.0400037878787889944</v>
      </c>
      <c r="X18" s="121">
        <f>MAX(N18:W18)</f>
        <v>0.062753787878788998</v>
      </c>
      <c r="Y18" s="121">
        <f>(1.66*(J18+L18)+0.55*(K18)-7.6)-(1.66*(J18)+0.55*(K18)-7.6)</f>
        <v>0.27666666666669899</v>
      </c>
      <c r="Z18" s="121">
        <f>(1.66*(J18+M18)+0.55*(K18)-7.6)-(1.66*(J18)+0.55*(K18)-7.6)</f>
        <v>0.0461111111110990013</v>
      </c>
    </row>
    <row r="19" spans="1:26">
      <c r="A19" s="9" t="str">
        <f>Plantilla!A19</f>
        <v>#9</v>
      </c>
      <c r="B19" s="268" t="str">
        <f>Plantilla!D19</f>
        <v>M. Bondarewski</v>
      </c>
      <c r="C19" s="9">
        <f>Plantilla!E19</f>
        <v>22</v>
      </c>
      <c r="D19" s="469">
        <f>Plantilla!F19</f>
        <v>33</v>
      </c>
      <c r="E19" s="53">
        <f>Plantilla!X19</f>
        <v>0</v>
      </c>
      <c r="F19" s="53">
        <f>Plantilla!Y19</f>
        <v>2</v>
      </c>
      <c r="G19" s="53">
        <f>Plantilla!Z19</f>
        <v>13</v>
      </c>
      <c r="H19" s="53">
        <f>Plantilla!AA19</f>
        <v>5</v>
      </c>
      <c r="I19" s="53">
        <f>Plantilla!AB19</f>
        <v>4</v>
      </c>
      <c r="J19" s="53">
        <f>Plantilla!AC19</f>
        <v>8</v>
      </c>
      <c r="K19" s="53">
        <f>Plantilla!AD19</f>
        <v>17</v>
      </c>
      <c r="L19" s="101">
        <f>1/6</f>
        <v>0.16666666666666698</v>
      </c>
      <c r="M19" s="101">
        <f>L19/6</f>
        <v>0.0277777777777779988</v>
      </c>
      <c r="N19" s="53"/>
      <c r="O19" s="52"/>
      <c r="P19" s="52"/>
      <c r="Q19" s="52"/>
      <c r="R19" s="52"/>
      <c r="S19" s="52">
        <f>L19*(0.19*0.341+0.25*0.253+0.25*0.127)/(0.19+0.25)</f>
        <v>0.0605265151515159872</v>
      </c>
      <c r="T19" s="52">
        <f>L19*(0.19*0.241+0.25*0.315)/(0.19+0.25)</f>
        <v>0.0471742424242430047</v>
      </c>
      <c r="U19" s="52">
        <f>L19*(0.19*0.121+0.25*0.244)/(0.19+0.25)</f>
        <v>0.0318143939393929998</v>
      </c>
      <c r="V19" s="52">
        <f>L19*(0.19*0.543+0.25*0.324)/(0.19+0.25)</f>
        <v>0.0697613636363639955</v>
      </c>
      <c r="W19" s="52">
        <f>L19*(0.19*0.369+0.25*0.142)/(0.19+0.25)</f>
        <v>0.0400037878787889944</v>
      </c>
      <c r="X19" s="121">
        <f>MAX(N19:W19)</f>
        <v>0.0697613636363639955</v>
      </c>
      <c r="Y19" s="121">
        <f>(1.66*(J19+L19)+0.55*(K19)-7.6)-(1.66*(J19)+0.55*(K19)-7.6)</f>
        <v>0.276666666666700989</v>
      </c>
      <c r="Z19" s="121">
        <f>(1.66*(J19+M19)+0.55*(K19)-7.6)-(1.66*(J19)+0.55*(K19)-7.6)</f>
        <v>0.0461111111111009997</v>
      </c>
    </row>
    <row r="20" spans="1:26">
      <c r="A20" s="9" t="str">
        <f>Plantilla!A20</f>
        <v>#12</v>
      </c>
      <c r="B20" s="268" t="str">
        <f>Plantilla!D20</f>
        <v>P. Tuderek</v>
      </c>
      <c r="C20" s="9">
        <f>Plantilla!E20</f>
        <v>22</v>
      </c>
      <c r="D20" s="469">
        <f>Plantilla!F20</f>
        <v>19</v>
      </c>
      <c r="E20" s="53">
        <f>Plantilla!X20</f>
        <v>0</v>
      </c>
      <c r="F20" s="53">
        <f>Plantilla!Y20</f>
        <v>6</v>
      </c>
      <c r="G20" s="53">
        <f>Plantilla!Z20</f>
        <v>12</v>
      </c>
      <c r="H20" s="53">
        <f>Plantilla!AA20</f>
        <v>2</v>
      </c>
      <c r="I20" s="53">
        <f>Plantilla!AB20</f>
        <v>3</v>
      </c>
      <c r="J20" s="53">
        <f>Plantilla!AC20</f>
        <v>6</v>
      </c>
      <c r="K20" s="53">
        <f>Plantilla!AD20</f>
        <v>17.25</v>
      </c>
      <c r="L20" s="101">
        <f>1/5</f>
        <v>0.2</v>
      </c>
      <c r="M20" s="101">
        <f>L20/6</f>
        <v>0.0333333333333329973</v>
      </c>
      <c r="N20" s="53"/>
      <c r="O20" s="52"/>
      <c r="P20" s="52"/>
      <c r="Q20" s="52"/>
      <c r="R20" s="52"/>
      <c r="S20" s="52">
        <f>L20*(0.19*0.341+0.25*0.253+0.25*0.127)/(0.19+0.25)</f>
        <v>0.0726318181818180086</v>
      </c>
      <c r="T20" s="52">
        <f>L20*(0.19*0.241+0.25*0.315)/(0.19+0.25)</f>
        <v>0.0566090909090909999</v>
      </c>
      <c r="U20" s="52">
        <f>L20*(0.19*0.121+0.25*0.244)/(0.19+0.25)</f>
        <v>0.0381772727272729995</v>
      </c>
      <c r="V20" s="52">
        <f>L20*(0.19*0.543+0.25*0.25)/(0.19+0.25)</f>
        <v>0.0753045454545449999</v>
      </c>
      <c r="W20" s="52">
        <f>L20*(0.19*0.369+0.25*0.142)/(0.19+0.25)</f>
        <v>0.0480045454545449957</v>
      </c>
      <c r="X20" s="121">
        <f>MAX(N20:W20)</f>
        <v>0.0753045454545449999</v>
      </c>
      <c r="Y20" s="121">
        <f>(1.66*(J20+L20)+0.55*(K20)-7.6)-(1.66*(J20)+0.55*(K20)-7.6)</f>
        <v>0.332000000000001005</v>
      </c>
      <c r="Z20" s="121">
        <f>(1.66*(J20+M20)+0.55*(K20)-7.6)-(1.66*(J20)+0.55*(K20)-7.6)</f>
        <v>0.0553333333332999899</v>
      </c>
    </row>
    <row r="21" spans="1:26">
      <c r="A21" s="9" t="str">
        <f>Plantilla!A21</f>
        <v>#10</v>
      </c>
      <c r="B21" s="268" t="str">
        <f>Plantilla!D21</f>
        <v>R. Forsyth</v>
      </c>
      <c r="C21" s="9">
        <f>Plantilla!E21</f>
        <v>22</v>
      </c>
      <c r="D21" s="469">
        <f>Plantilla!F21</f>
        <v>74</v>
      </c>
      <c r="E21" s="53">
        <f>Plantilla!X21</f>
        <v>0</v>
      </c>
      <c r="F21" s="53">
        <f>Plantilla!Y21</f>
        <v>7</v>
      </c>
      <c r="G21" s="53">
        <f>Plantilla!Z21</f>
        <v>13</v>
      </c>
      <c r="H21" s="53">
        <f>Plantilla!AA21</f>
        <v>3</v>
      </c>
      <c r="I21" s="53">
        <f>Plantilla!AB21</f>
        <v>4</v>
      </c>
      <c r="J21" s="53">
        <f>Plantilla!AC21</f>
        <v>6</v>
      </c>
      <c r="K21" s="53">
        <f>Plantilla!AD21</f>
        <v>15</v>
      </c>
      <c r="L21" s="101">
        <f>1/5</f>
        <v>0.2</v>
      </c>
      <c r="M21" s="101">
        <f>L21/6</f>
        <v>0.0333333333333329973</v>
      </c>
      <c r="N21" s="53"/>
      <c r="O21" s="52"/>
      <c r="P21" s="52"/>
      <c r="Q21" s="52"/>
      <c r="R21" s="52"/>
      <c r="S21" s="52">
        <f>L21*(0.19*0.341+0.25*0.253+0.25*0.127)/(0.19+0.25)</f>
        <v>0.0726318181818180086</v>
      </c>
      <c r="T21" s="52">
        <f>L21*(0.19*0.241+0.25*0.315)/(0.19+0.25)</f>
        <v>0.0566090909090909999</v>
      </c>
      <c r="U21" s="52">
        <f>L21*(0.19*0.121+0.25*0.244)/(0.19+0.25)</f>
        <v>0.0381772727272729995</v>
      </c>
      <c r="V21" s="52">
        <f>L21*(0.19*0.543+0.25*0.25)/(0.19+0.25)</f>
        <v>0.0753045454545449999</v>
      </c>
      <c r="W21" s="52">
        <f>L21*(0.19*0.369+0.25*0.142)/(0.19+0.25)</f>
        <v>0.0480045454545449957</v>
      </c>
      <c r="X21" s="121">
        <f>MAX(N21:W21)</f>
        <v>0.0753045454545449999</v>
      </c>
      <c r="Y21" s="121">
        <f>(1.66*(J21+L21)+0.55*(K21)-7.6)-(1.66*(J21)+0.55*(K21)-7.6)</f>
        <v>0.332000000000001005</v>
      </c>
      <c r="Z21" s="121">
        <f>(1.66*(J21+M21)+0.55*(K21)-7.6)-(1.66*(J21)+0.55*(K21)-7.6)</f>
        <v>0.0553333333332999899</v>
      </c>
    </row>
    <row r="22" spans="1:26">
      <c r="A22" s="9" t="str">
        <f>Plantilla!A22</f>
        <v>#11</v>
      </c>
      <c r="B22" s="268" t="str">
        <f>Plantilla!D22</f>
        <v>J-P. Kechele</v>
      </c>
      <c r="C22" s="9">
        <f>Plantilla!E22</f>
        <v>29</v>
      </c>
      <c r="D22" s="469">
        <f>Plantilla!F22</f>
        <v>107</v>
      </c>
      <c r="E22" s="53">
        <f>Plantilla!X22</f>
        <v>0</v>
      </c>
      <c r="F22" s="53">
        <f>Plantilla!Y22</f>
        <v>4</v>
      </c>
      <c r="G22" s="53">
        <f>Plantilla!Z22</f>
        <v>14</v>
      </c>
      <c r="H22" s="53">
        <f>Plantilla!AA22</f>
        <v>4</v>
      </c>
      <c r="I22" s="53">
        <f>Plantilla!AB22</f>
        <v>9</v>
      </c>
      <c r="J22" s="53">
        <f>Plantilla!AC22</f>
        <v>8</v>
      </c>
      <c r="K22" s="53">
        <f>Plantilla!AD22</f>
        <v>19.25</v>
      </c>
      <c r="L22" s="101"/>
      <c r="M22" s="101"/>
      <c r="N22" s="53"/>
      <c r="O22" s="52"/>
      <c r="P22" s="52"/>
      <c r="Q22" s="52"/>
      <c r="R22" s="52"/>
      <c r="S22" s="52"/>
      <c r="T22" s="52"/>
      <c r="U22" s="52"/>
      <c r="V22" s="52"/>
      <c r="W22" s="52"/>
      <c r="X22" s="121"/>
      <c r="Y22" s="121"/>
      <c r="Z22" s="121"/>
    </row>
    <row r="23" spans="1:26">
      <c r="A23" s="9" t="str">
        <f>Plantilla!A23</f>
        <v>#29</v>
      </c>
      <c r="B23" s="268" t="str">
        <f>Plantilla!D23</f>
        <v>S. Zobbe</v>
      </c>
      <c r="C23" s="9">
        <f>Plantilla!E23</f>
        <v>35</v>
      </c>
      <c r="D23" s="469">
        <f>Plantilla!F23</f>
        <v>109</v>
      </c>
      <c r="E23" s="53">
        <f>Plantilla!X23</f>
        <v>0</v>
      </c>
      <c r="F23" s="53">
        <f>Plantilla!Y23</f>
        <v>7.95000000000000018</v>
      </c>
      <c r="G23" s="53">
        <f>Plantilla!Z23</f>
        <v>11.9499999999999993</v>
      </c>
      <c r="H23" s="53">
        <f>Plantilla!AA23</f>
        <v>11.9499999999999993</v>
      </c>
      <c r="I23" s="53">
        <f>Plantilla!AB23</f>
        <v>9.94999999999999929</v>
      </c>
      <c r="J23" s="53">
        <f>Plantilla!AC23</f>
        <v>4.95000000000000018</v>
      </c>
      <c r="K23" s="53">
        <f>Plantilla!AD23</f>
        <v>18</v>
      </c>
      <c r="L23" s="101"/>
      <c r="M23" s="101"/>
      <c r="N23" s="53"/>
      <c r="O23" s="52"/>
      <c r="P23" s="52"/>
      <c r="Q23" s="52"/>
      <c r="R23" s="52"/>
      <c r="S23" s="52"/>
      <c r="T23" s="52"/>
      <c r="U23" s="52"/>
      <c r="V23" s="52"/>
      <c r="W23" s="52"/>
      <c r="X23" s="121"/>
      <c r="Y23" s="121"/>
      <c r="Z23" s="121"/>
    </row>
    <row r="24" spans="1:26">
      <c r="A24" s="9" t="str">
        <f>Plantilla!A24</f>
        <v>#28</v>
      </c>
      <c r="B24" s="268" t="str">
        <f>Plantilla!D24</f>
        <v>P .Trivadi</v>
      </c>
      <c r="C24" s="9">
        <f>Plantilla!E24</f>
        <v>35</v>
      </c>
      <c r="D24" s="469">
        <f>Plantilla!F24</f>
        <v>65</v>
      </c>
      <c r="E24" s="53">
        <f>Plantilla!X24</f>
        <v>0</v>
      </c>
      <c r="F24" s="53">
        <f>Plantilla!Y24</f>
        <v>3.95000000000000018</v>
      </c>
      <c r="G24" s="53">
        <f>Plantilla!Z24</f>
        <v>5.95000000000000018</v>
      </c>
      <c r="H24" s="53">
        <f>Plantilla!AA24</f>
        <v>4.95000000000000018</v>
      </c>
      <c r="I24" s="53">
        <f>Plantilla!AB24</f>
        <v>9.94999999999999929</v>
      </c>
      <c r="J24" s="53">
        <f>Plantilla!AC24</f>
        <v>6.95000000000000018</v>
      </c>
      <c r="K24" s="53">
        <f>Plantilla!AD24</f>
        <v>15</v>
      </c>
      <c r="S24" s="52"/>
      <c r="T24" s="52"/>
      <c r="U24" s="52"/>
      <c r="V24" s="52"/>
      <c r="W24" s="52"/>
      <c r="Z24"/>
    </row>
    <row r="25" spans="1:26">
      <c r="A25" s="9">
        <f>Plantilla!A25</f>
        <v>0</v>
      </c>
      <c r="B25" s="268">
        <f>Plantilla!D25</f>
        <v>0</v>
      </c>
      <c r="C25" s="9">
        <f>Plantilla!E25</f>
        <v>0</v>
      </c>
      <c r="D25" s="469">
        <f>Plantilla!F25</f>
        <v>0</v>
      </c>
      <c r="E25" s="53">
        <f>Plantilla!X25</f>
        <v>0</v>
      </c>
      <c r="F25" s="53">
        <f>Plantilla!Y25</f>
        <v>0</v>
      </c>
      <c r="G25" s="53">
        <f>Plantilla!Z25</f>
        <v>0</v>
      </c>
      <c r="H25" s="53">
        <f>Plantilla!AA25</f>
        <v>0</v>
      </c>
      <c r="I25" s="53">
        <f>Plantilla!AB25</f>
        <v>0</v>
      </c>
      <c r="J25" s="53">
        <f>Plantilla!AC25</f>
        <v>0</v>
      </c>
      <c r="K25" s="53">
        <f>Plantilla!AD25</f>
        <v>0</v>
      </c>
      <c r="S25" s="52"/>
      <c r="T25" s="52"/>
      <c r="U25" s="52"/>
      <c r="V25" s="52"/>
      <c r="W25" s="52"/>
      <c r="Z25"/>
    </row>
    <row r="26" spans="1:26">
      <c r="A26" s="9">
        <f>Plantilla!A26</f>
        <v>0</v>
      </c>
      <c r="B26" s="268">
        <f>Plantilla!D26</f>
        <v>0</v>
      </c>
      <c r="C26" s="9">
        <f>Plantilla!E26</f>
        <v>0</v>
      </c>
      <c r="D26" s="469">
        <f>Plantilla!F26</f>
        <v>0</v>
      </c>
      <c r="E26" s="53">
        <f>Plantilla!X26</f>
        <v>0</v>
      </c>
      <c r="F26" s="53">
        <f>Plantilla!Y26</f>
        <v>0</v>
      </c>
      <c r="G26" s="53">
        <f>Plantilla!Z26</f>
        <v>0</v>
      </c>
      <c r="H26" s="53">
        <f>Plantilla!AA26</f>
        <v>0</v>
      </c>
      <c r="I26" s="53">
        <f>Plantilla!AB26</f>
        <v>0</v>
      </c>
      <c r="J26" s="53">
        <f>Plantilla!AC26</f>
        <v>0</v>
      </c>
      <c r="K26" s="53">
        <f>Plantilla!AD26</f>
        <v>0</v>
      </c>
      <c r="S26" s="52"/>
      <c r="T26" s="52"/>
      <c r="U26" s="52"/>
      <c r="V26" s="52"/>
      <c r="W26" s="52"/>
      <c r="Z26"/>
    </row>
    <row r="27" spans="1:26">
      <c r="A27" s="9">
        <f>Plantilla!A27</f>
        <v>0</v>
      </c>
      <c r="B27" s="268">
        <f>Plantilla!D27</f>
        <v>0</v>
      </c>
      <c r="C27" s="9">
        <f>Plantilla!E27</f>
        <v>0</v>
      </c>
      <c r="D27" s="469">
        <f>Plantilla!F27</f>
        <v>0</v>
      </c>
      <c r="E27" s="53">
        <f>Plantilla!X27</f>
        <v>0</v>
      </c>
      <c r="F27" s="53">
        <f>Plantilla!Y27</f>
        <v>0</v>
      </c>
      <c r="G27" s="53">
        <f>Plantilla!Z27</f>
        <v>0</v>
      </c>
      <c r="H27" s="53">
        <f>Plantilla!AA27</f>
        <v>0</v>
      </c>
      <c r="I27" s="53">
        <f>Plantilla!AB27</f>
        <v>0</v>
      </c>
      <c r="J27" s="53">
        <f>Plantilla!AC27</f>
        <v>0</v>
      </c>
      <c r="K27" s="53">
        <f>Plantilla!AD27</f>
        <v>0</v>
      </c>
      <c r="S27" s="52"/>
      <c r="T27" s="52"/>
      <c r="U27" s="52"/>
      <c r="V27" s="52"/>
      <c r="W27" s="52"/>
      <c r="Z27"/>
    </row>
  </sheetData>
  <conditionalFormatting sqref="Y4:Z2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{2B2BCBDD-516D-D1D2-9E80-083F50A3DC5F}</x14:id>
        </ext>
      </extLst>
    </cfRule>
  </conditionalFormatting>
  <conditionalFormatting sqref="L4:W23 S24:W27">
    <cfRule type="colorScale" priority="2">
      <colorScale>
        <cfvo type="min"/>
        <cfvo type="max"/>
        <color rgb="FFFFEF9C"/>
        <color rgb="FF63BE7B"/>
      </colorScale>
    </cfRule>
  </conditionalFormatting>
  <conditionalFormatting sqref="X4:X23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{472E5994-5F01-F46F-4C09-6E048F287679}</x14:id>
        </ext>
      </extLst>
    </cfRule>
  </conditionalFormatting>
  <conditionalFormatting sqref="E4:K27">
    <cfRule type="colorScale" priority="4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5601780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601780" l="56" r="56" t="56" b="56" borderId="0" fillId="0" vertical="0"/>
        <pm:footer xmlns:pm="smNativeData" id="1595601780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B2BCBDD-516D-D1D2-9E80-083F50A3DC5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Y4:Z27</xm:sqref>
        </x14:conditionalFormatting>
        <x14:conditionalFormatting xmlns:xm="http://schemas.microsoft.com/office/excel/2006/main">
          <x14:cfRule type="dataBar" id="{472E5994-5F01-F46F-4C09-6E048F28767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X4:X23</xm:sqref>
        </x14:conditionalFormatting>
      </x14:conditionalFormattings>
    </ext>
    <ext uri="smNativeData">
      <pm:sheetPrefs xmlns:pm="smNativeData" day="1595601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DA9694"/>
  </sheetPr>
  <dimension ref="A1:AE27"/>
  <sheetViews>
    <sheetView view="normal" workbookViewId="0">
      <selection activeCell="Y2" sqref="Y2"/>
    </sheetView>
  </sheetViews>
  <sheetFormatPr baseColWidth="10" defaultColWidth="11.428571" defaultRowHeight="15.40"/>
  <cols>
    <col min="1" max="1" width="4.000000" customWidth="1"/>
    <col min="2" max="2" width="23.571429" customWidth="1"/>
    <col min="3" max="3" width="5.571429" customWidth="1"/>
    <col min="4" max="4" width="5.000000" customWidth="1"/>
    <col min="5" max="11" width="5.571429" customWidth="1"/>
    <col min="12" max="13" width="6.571429" customWidth="1" style="62"/>
    <col min="14" max="14" width="5.285714" customWidth="1" style="62"/>
    <col min="15" max="15" width="5.857143" customWidth="1" style="62"/>
    <col min="16" max="16" width="6.000000" customWidth="1"/>
    <col min="17" max="18" width="5.428571" customWidth="1"/>
    <col min="19" max="19" width="5.142857" customWidth="1"/>
    <col min="20" max="21" width="4.571429" customWidth="1"/>
    <col min="22" max="22" width="4.857143" customWidth="1"/>
    <col min="23" max="23" width="4.571429" customWidth="1"/>
    <col min="24" max="24" width="5.571429" customWidth="1"/>
    <col min="25" max="25" width="8.285714" customWidth="1"/>
    <col min="26" max="26" width="7.714286" customWidth="1"/>
    <col min="29" max="29" width="6.000000" customWidth="1"/>
    <col min="30" max="30" width="13.714286" customWidth="1"/>
  </cols>
  <sheetData>
    <row r="1" spans="1:31">
      <c r="A1"/>
      <c r="B1" t="s">
        <v>635</v>
      </c>
      <c r="C1"/>
      <c r="D1"/>
      <c r="E1"/>
      <c r="F1"/>
      <c r="G1"/>
      <c r="H1"/>
      <c r="I1"/>
      <c r="J1"/>
      <c r="K1"/>
      <c r="O1"/>
      <c r="P1"/>
      <c r="Q1"/>
      <c r="R1"/>
      <c r="S1"/>
      <c r="T1"/>
      <c r="U1"/>
      <c r="V1"/>
      <c r="W1"/>
      <c r="X1"/>
      <c r="Y1"/>
      <c r="Z1"/>
      <c r="AA1" t="s">
        <v>636</v>
      </c>
      <c r="AB1"/>
      <c r="AC1"/>
      <c r="AD1" t="s">
        <v>637</v>
      </c>
      <c r="AE1"/>
    </row>
    <row r="2" spans="1:31">
      <c r="A2"/>
      <c r="B2" s="211" t="n">
        <v>44035</v>
      </c>
      <c r="C2"/>
      <c r="D2"/>
      <c r="E2"/>
      <c r="F2"/>
      <c r="G2"/>
      <c r="H2"/>
      <c r="I2"/>
      <c r="J2"/>
      <c r="K2"/>
      <c r="O2"/>
      <c r="P2"/>
      <c r="Q2"/>
      <c r="R2"/>
      <c r="S2"/>
      <c r="T2"/>
      <c r="U2"/>
      <c r="V2"/>
      <c r="W2"/>
      <c r="X2" s="210">
        <f>SUM(X4:X22)</f>
        <v>0.215298365231259003</v>
      </c>
      <c r="Y2" s="210">
        <f>SUM(Y4:Y22)</f>
        <v>2.00334816207200017</v>
      </c>
      <c r="Z2"/>
      <c r="AA2" s="153" t="s">
        <v>85</v>
      </c>
      <c r="AB2" s="153" t="s">
        <v>87</v>
      </c>
      <c r="AC2"/>
      <c r="AD2" s="153" t="s">
        <v>85</v>
      </c>
      <c r="AE2" s="153" t="s">
        <v>87</v>
      </c>
    </row>
    <row r="3" spans="1:31">
      <c r="A3" s="85" t="s">
        <v>638</v>
      </c>
      <c r="B3" s="85" t="str">
        <f>Plantilla!D3</f>
        <v>Jugador</v>
      </c>
      <c r="C3" s="85" t="str">
        <f>Plantilla!E3</f>
        <v>Anys</v>
      </c>
      <c r="D3" s="85" t="str">
        <f>Plantilla!F3</f>
        <v>Dias</v>
      </c>
      <c r="E3" s="85" t="str">
        <f>Plantilla!X3</f>
        <v>Po</v>
      </c>
      <c r="F3" s="85" t="str">
        <f>Plantilla!Y3</f>
        <v>De</v>
      </c>
      <c r="G3" s="85" t="str">
        <f>Plantilla!Z3</f>
        <v>Cr</v>
      </c>
      <c r="H3" s="85" t="str">
        <f>Plantilla!AA3</f>
        <v>Ex</v>
      </c>
      <c r="I3" s="85" t="str">
        <f>Plantilla!AB3</f>
        <v>Ps</v>
      </c>
      <c r="J3" s="85" t="str">
        <f>Plantilla!AC3</f>
        <v>An</v>
      </c>
      <c r="K3" s="85" t="str">
        <f>Plantilla!AD3</f>
        <v>PA</v>
      </c>
      <c r="L3" s="205" t="n">
        <v>0.5</v>
      </c>
      <c r="M3" s="205" t="s">
        <v>200</v>
      </c>
      <c r="N3" s="207" t="s">
        <v>14</v>
      </c>
      <c r="O3" s="207" t="s">
        <v>630</v>
      </c>
      <c r="P3" s="206" t="s">
        <v>640</v>
      </c>
      <c r="Q3" s="206" t="s">
        <v>641</v>
      </c>
      <c r="R3" s="206" t="s">
        <v>642</v>
      </c>
      <c r="S3" s="206" t="s">
        <v>135</v>
      </c>
      <c r="T3" s="206" t="s">
        <v>473</v>
      </c>
      <c r="U3" s="206" t="s">
        <v>643</v>
      </c>
      <c r="V3" s="207" t="s">
        <v>140</v>
      </c>
      <c r="W3" s="207" t="s">
        <v>21</v>
      </c>
      <c r="X3" s="208" t="s">
        <v>647</v>
      </c>
      <c r="Y3" s="208" t="s">
        <v>650</v>
      </c>
      <c r="Z3"/>
      <c r="AA3" t="s">
        <v>14</v>
      </c>
      <c r="AB3" t="s">
        <v>144</v>
      </c>
      <c r="AC3"/>
      <c r="AD3" t="s">
        <v>14</v>
      </c>
      <c r="AE3" t="s">
        <v>144</v>
      </c>
    </row>
    <row r="4" spans="1:31">
      <c r="A4" s="9" t="str">
        <f>Plantilla!A4</f>
        <v>#30</v>
      </c>
      <c r="B4" s="268" t="str">
        <f>Plantilla!D4</f>
        <v>D. Gehmacher</v>
      </c>
      <c r="C4" s="9">
        <f>Plantilla!E4</f>
        <v>38</v>
      </c>
      <c r="D4" s="469">
        <f>Plantilla!F4</f>
        <v>62</v>
      </c>
      <c r="E4" s="53">
        <f>Plantilla!X4</f>
        <v>14.9499999999999993</v>
      </c>
      <c r="F4" s="53">
        <f>Plantilla!Y4</f>
        <v>9.94999999999999929</v>
      </c>
      <c r="G4" s="53">
        <f>Plantilla!Z4</f>
        <v>0.95</v>
      </c>
      <c r="H4" s="53">
        <f>Plantilla!AA4</f>
        <v>0</v>
      </c>
      <c r="I4" s="53">
        <f>Plantilla!AB4</f>
        <v>0</v>
      </c>
      <c r="J4" s="53">
        <f>Plantilla!AC4</f>
        <v>0</v>
      </c>
      <c r="K4" s="53">
        <f>Plantilla!AD4</f>
        <v>17.9499999999999993</v>
      </c>
      <c r="L4" s="101"/>
      <c r="M4" s="101"/>
      <c r="N4" s="53"/>
      <c r="O4" s="52"/>
      <c r="P4" s="52"/>
      <c r="Q4" s="52"/>
      <c r="R4" s="52"/>
      <c r="S4" s="52"/>
      <c r="T4" s="52"/>
      <c r="U4" s="52"/>
      <c r="V4" s="52"/>
      <c r="W4" s="52"/>
      <c r="X4" s="121"/>
      <c r="Y4" s="121"/>
      <c r="Z4"/>
      <c r="AA4" t="s">
        <v>629</v>
      </c>
      <c r="AB4" t="s">
        <v>645</v>
      </c>
      <c r="AC4"/>
      <c r="AD4" t="s">
        <v>629</v>
      </c>
      <c r="AE4" t="str">
        <f>AB4</f>
        <v>B. Pinczehelyi</v>
      </c>
    </row>
    <row r="5" spans="1:31">
      <c r="A5" s="9" t="str">
        <f>Plantilla!A5</f>
        <v>#1</v>
      </c>
      <c r="B5" s="268" t="str">
        <f>Plantilla!D5</f>
        <v>林 (Lin) 光维 (Guangwei)</v>
      </c>
      <c r="C5" s="9">
        <f>Plantilla!E5</f>
        <v>22</v>
      </c>
      <c r="D5" s="469">
        <f>Plantilla!F5</f>
        <v>101</v>
      </c>
      <c r="E5" s="53">
        <f>Plantilla!X5</f>
        <v>15</v>
      </c>
      <c r="F5" s="53">
        <f>Plantilla!Y5</f>
        <v>5</v>
      </c>
      <c r="G5" s="53">
        <f>Plantilla!Z5</f>
        <v>2</v>
      </c>
      <c r="H5" s="53">
        <f>Plantilla!AA5</f>
        <v>1</v>
      </c>
      <c r="I5" s="53">
        <f>Plantilla!AB5</f>
        <v>5</v>
      </c>
      <c r="J5" s="53">
        <f>Plantilla!AC5</f>
        <v>3</v>
      </c>
      <c r="K5" s="53">
        <f>Plantilla!AD5</f>
        <v>19.25</v>
      </c>
      <c r="L5" s="101"/>
      <c r="M5" s="101"/>
      <c r="N5" s="53"/>
      <c r="O5" s="52"/>
      <c r="P5" s="52"/>
      <c r="Q5" s="52"/>
      <c r="R5" s="52"/>
      <c r="S5" s="52"/>
      <c r="T5" s="52"/>
      <c r="U5" s="52"/>
      <c r="V5" s="52"/>
      <c r="W5" s="52"/>
      <c r="X5" s="121"/>
      <c r="Y5" s="121"/>
      <c r="Z5"/>
      <c r="AA5" t="s">
        <v>630</v>
      </c>
      <c r="AB5" t="s">
        <v>225</v>
      </c>
      <c r="AC5"/>
      <c r="AD5" t="s">
        <v>634</v>
      </c>
      <c r="AE5" t="s">
        <v>218</v>
      </c>
    </row>
    <row r="6" spans="1:31">
      <c r="A6" s="9" t="str">
        <f>Plantilla!A6</f>
        <v>#40</v>
      </c>
      <c r="B6" s="268" t="str">
        <f>Plantilla!D6</f>
        <v>E. Toney</v>
      </c>
      <c r="C6" s="9">
        <f>Plantilla!E6</f>
        <v>39</v>
      </c>
      <c r="D6" s="469">
        <f>Plantilla!F6</f>
        <v>73</v>
      </c>
      <c r="E6" s="53">
        <f>Plantilla!X6</f>
        <v>0</v>
      </c>
      <c r="F6" s="53">
        <f>Plantilla!Y6</f>
        <v>8.94999999999999929</v>
      </c>
      <c r="G6" s="53">
        <f>Plantilla!Z6</f>
        <v>8.94999999999999929</v>
      </c>
      <c r="H6" s="53">
        <f>Plantilla!AA6</f>
        <v>4.95000000000000018</v>
      </c>
      <c r="I6" s="53">
        <f>Plantilla!AB6</f>
        <v>4.95000000000000018</v>
      </c>
      <c r="J6" s="53">
        <f>Plantilla!AC6</f>
        <v>0</v>
      </c>
      <c r="K6" s="53">
        <f>Plantilla!AD6</f>
        <v>15</v>
      </c>
      <c r="L6" s="101"/>
      <c r="M6" s="101"/>
      <c r="N6" s="53"/>
      <c r="O6" s="52"/>
      <c r="P6" s="52"/>
      <c r="Q6" s="52"/>
      <c r="R6" s="52"/>
      <c r="S6" s="52"/>
      <c r="T6" s="52"/>
      <c r="U6" s="52"/>
      <c r="V6" s="52"/>
      <c r="W6" s="52"/>
      <c r="X6" s="121"/>
      <c r="Y6" s="121"/>
      <c r="Z6"/>
      <c r="AA6" t="s">
        <v>629</v>
      </c>
      <c r="AB6" t="s">
        <v>148</v>
      </c>
      <c r="AC6"/>
      <c r="AD6" t="s">
        <v>132</v>
      </c>
      <c r="AE6" t="s">
        <v>148</v>
      </c>
    </row>
    <row r="7" spans="1:31">
      <c r="A7" s="9" t="str">
        <f>Plantilla!A7</f>
        <v>#36</v>
      </c>
      <c r="B7" s="268" t="str">
        <f>Plantilla!D7</f>
        <v>F. Lasprilla</v>
      </c>
      <c r="C7" s="9">
        <f>Plantilla!E7</f>
        <v>35</v>
      </c>
      <c r="D7" s="469">
        <f>Plantilla!F7</f>
        <v>81</v>
      </c>
      <c r="E7" s="53">
        <f>Plantilla!X7</f>
        <v>0</v>
      </c>
      <c r="F7" s="53">
        <f>Plantilla!Y7</f>
        <v>8.94999999999999929</v>
      </c>
      <c r="G7" s="53">
        <f>Plantilla!Z7</f>
        <v>7.95000000000000018</v>
      </c>
      <c r="H7" s="53">
        <f>Plantilla!AA7</f>
        <v>4.95000000000000018</v>
      </c>
      <c r="I7" s="53">
        <f>Plantilla!AB7</f>
        <v>7.95000000000000018</v>
      </c>
      <c r="J7" s="53">
        <f>Plantilla!AC7</f>
        <v>0.95</v>
      </c>
      <c r="K7" s="53">
        <f>Plantilla!AD7</f>
        <v>14</v>
      </c>
      <c r="L7" s="101"/>
      <c r="M7" s="101"/>
      <c r="N7" s="53"/>
      <c r="O7" s="52"/>
      <c r="P7" s="52"/>
      <c r="Q7" s="52"/>
      <c r="R7" s="52"/>
      <c r="S7" s="52"/>
      <c r="T7" s="52"/>
      <c r="U7" s="52"/>
      <c r="V7" s="52"/>
      <c r="W7" s="52"/>
      <c r="X7" s="121"/>
      <c r="Y7" s="121"/>
      <c r="Z7"/>
      <c r="AA7" t="s">
        <v>473</v>
      </c>
      <c r="AB7" t="s">
        <v>155</v>
      </c>
      <c r="AC7"/>
      <c r="AD7" t="s">
        <v>634</v>
      </c>
      <c r="AE7" t="s">
        <v>214</v>
      </c>
    </row>
    <row r="8" spans="1:31">
      <c r="A8" s="9" t="str">
        <f>Plantilla!A8</f>
        <v>#31</v>
      </c>
      <c r="B8" s="268" t="str">
        <f>Plantilla!D8</f>
        <v>E. Romweber</v>
      </c>
      <c r="C8" s="9">
        <f>Plantilla!E8</f>
        <v>39</v>
      </c>
      <c r="D8" s="469">
        <f>Plantilla!F8</f>
        <v>35</v>
      </c>
      <c r="E8" s="53">
        <f>Plantilla!X8</f>
        <v>0</v>
      </c>
      <c r="F8" s="53">
        <f>Plantilla!Y8</f>
        <v>8.94999999999999929</v>
      </c>
      <c r="G8" s="53">
        <f>Plantilla!Z8</f>
        <v>8.94999999999999929</v>
      </c>
      <c r="H8" s="53">
        <f>Plantilla!AA8</f>
        <v>8.94999999999999929</v>
      </c>
      <c r="I8" s="53">
        <f>Plantilla!AB8</f>
        <v>6.95000000000000018</v>
      </c>
      <c r="J8" s="53">
        <f>Plantilla!AC8</f>
        <v>0.95</v>
      </c>
      <c r="K8" s="53">
        <f>Plantilla!AD8</f>
        <v>16</v>
      </c>
      <c r="L8" s="101"/>
      <c r="M8" s="101"/>
      <c r="N8" s="53"/>
      <c r="O8" s="52"/>
      <c r="P8" s="52"/>
      <c r="Q8" s="52"/>
      <c r="R8" s="52"/>
      <c r="S8" s="52"/>
      <c r="T8" s="52"/>
      <c r="U8" s="52"/>
      <c r="V8" s="52"/>
      <c r="W8" s="52"/>
      <c r="X8" s="121"/>
      <c r="Y8" s="121"/>
      <c r="Z8"/>
      <c r="AA8" t="s">
        <v>135</v>
      </c>
      <c r="AB8" t="s">
        <v>237</v>
      </c>
      <c r="AC8"/>
      <c r="AD8" t="s">
        <v>629</v>
      </c>
      <c r="AE8" t="s">
        <v>153</v>
      </c>
    </row>
    <row r="9" spans="1:31">
      <c r="A9" s="9" t="str">
        <f>Plantilla!A9</f>
        <v>#35</v>
      </c>
      <c r="B9" s="268" t="str">
        <f>Plantilla!D9</f>
        <v>S. Buschelman</v>
      </c>
      <c r="C9" s="9">
        <f>Plantilla!E9</f>
        <v>37</v>
      </c>
      <c r="D9" s="469">
        <f>Plantilla!F9</f>
        <v>106</v>
      </c>
      <c r="E9" s="53">
        <f>Plantilla!X9</f>
        <v>0</v>
      </c>
      <c r="F9" s="53">
        <f>Plantilla!Y9</f>
        <v>7.95000000000000018</v>
      </c>
      <c r="G9" s="53">
        <f>Plantilla!Z9</f>
        <v>11.9499999999999993</v>
      </c>
      <c r="H9" s="53">
        <f>Plantilla!AA9</f>
        <v>9.94999999999999929</v>
      </c>
      <c r="I9" s="53">
        <f>Plantilla!AB9</f>
        <v>6.95000000000000018</v>
      </c>
      <c r="J9" s="53">
        <f>Plantilla!AC9</f>
        <v>0.95</v>
      </c>
      <c r="K9" s="53">
        <f>Plantilla!AD9</f>
        <v>16</v>
      </c>
      <c r="L9" s="101"/>
      <c r="M9" s="101"/>
      <c r="N9" s="53"/>
      <c r="O9" s="52"/>
      <c r="P9" s="52"/>
      <c r="Q9" s="52"/>
      <c r="R9" s="52"/>
      <c r="S9" s="52"/>
      <c r="T9" s="52"/>
      <c r="U9" s="52"/>
      <c r="V9" s="52"/>
      <c r="W9" s="52"/>
      <c r="X9" s="121"/>
      <c r="Y9" s="121"/>
      <c r="Z9"/>
      <c r="AA9" t="s">
        <v>473</v>
      </c>
      <c r="AB9" t="s">
        <v>231</v>
      </c>
      <c r="AC9"/>
      <c r="AD9" t="s">
        <v>473</v>
      </c>
      <c r="AE9" t="s">
        <v>231</v>
      </c>
    </row>
    <row r="10" spans="1:31">
      <c r="A10" s="9" t="str">
        <f>Plantilla!A10</f>
        <v>#2</v>
      </c>
      <c r="B10" s="268" t="str">
        <f>Plantilla!D10</f>
        <v>L. Tutorić</v>
      </c>
      <c r="C10" s="9">
        <f>Plantilla!E10</f>
        <v>29</v>
      </c>
      <c r="D10" s="469">
        <f>Plantilla!F10</f>
        <v>16</v>
      </c>
      <c r="E10" s="53">
        <f>Plantilla!X10</f>
        <v>0</v>
      </c>
      <c r="F10" s="53">
        <f>Plantilla!Y10</f>
        <v>13</v>
      </c>
      <c r="G10" s="53">
        <f>Plantilla!Z10</f>
        <v>6</v>
      </c>
      <c r="H10" s="53">
        <f>Plantilla!AA10</f>
        <v>2</v>
      </c>
      <c r="I10" s="53">
        <f>Plantilla!AB10</f>
        <v>1</v>
      </c>
      <c r="J10" s="53">
        <f>Plantilla!AC10</f>
        <v>7</v>
      </c>
      <c r="K10" s="53">
        <f>Plantilla!AD10</f>
        <v>15.3333333333333002</v>
      </c>
      <c r="L10" s="101"/>
      <c r="M10" s="101"/>
      <c r="N10" s="53"/>
      <c r="O10" s="52"/>
      <c r="P10" s="52"/>
      <c r="Q10" s="52"/>
      <c r="R10" s="52"/>
      <c r="S10" s="52"/>
      <c r="T10" s="52"/>
      <c r="U10" s="52"/>
      <c r="V10" s="52"/>
      <c r="W10" s="52"/>
      <c r="X10" s="121"/>
      <c r="Y10" s="121"/>
      <c r="Z10"/>
      <c r="AA10" t="s">
        <v>476</v>
      </c>
      <c r="AB10" t="s">
        <v>153</v>
      </c>
      <c r="AC10"/>
      <c r="AD10" t="s">
        <v>473</v>
      </c>
      <c r="AE10" t="s">
        <v>155</v>
      </c>
    </row>
    <row r="11" spans="1:31">
      <c r="A11" s="9" t="str">
        <f>Plantilla!A11</f>
        <v>#2</v>
      </c>
      <c r="B11" s="268" t="str">
        <f>Plantilla!D11</f>
        <v>S. Swärdborn</v>
      </c>
      <c r="C11" s="9">
        <f>Plantilla!E11</f>
        <v>22</v>
      </c>
      <c r="D11" s="469">
        <f>Plantilla!F11</f>
        <v>18</v>
      </c>
      <c r="E11" s="53">
        <f>Plantilla!X11</f>
        <v>0</v>
      </c>
      <c r="F11" s="53">
        <f>Plantilla!Y11</f>
        <v>12</v>
      </c>
      <c r="G11" s="53">
        <f>Plantilla!Z11</f>
        <v>7</v>
      </c>
      <c r="H11" s="53">
        <f>Plantilla!AA11</f>
        <v>1</v>
      </c>
      <c r="I11" s="53">
        <f>Plantilla!AB11</f>
        <v>3</v>
      </c>
      <c r="J11" s="53">
        <f>Plantilla!AC11</f>
        <v>6</v>
      </c>
      <c r="K11" s="53">
        <f>Plantilla!AD11</f>
        <v>15.3333333333333002</v>
      </c>
      <c r="L11" s="101">
        <f>1/9.5</f>
        <v>0.105263157894736992</v>
      </c>
      <c r="M11" s="101">
        <f>1/35</f>
        <v>0.0285714285714290028</v>
      </c>
      <c r="N11" s="53" t="n">
        <v>0</v>
      </c>
      <c r="O11" s="52" t="n">
        <v>0</v>
      </c>
      <c r="P11" s="52" t="n">
        <v>0</v>
      </c>
      <c r="Q11" s="52" t="n">
        <v>0</v>
      </c>
      <c r="R11" s="52" t="n">
        <v>0</v>
      </c>
      <c r="S11" s="52"/>
      <c r="T11" s="52"/>
      <c r="U11" s="52"/>
      <c r="V11" s="52"/>
      <c r="W11" s="52"/>
      <c r="X11" s="121">
        <f>MAX(N11:W11)</f>
        <v>0</v>
      </c>
      <c r="Y11" s="121">
        <f>(1.66*(J11+L11)+0.55*(K11+M11)-7.6)-(1.66*(J11)+0.55*(K11)-7.6)</f>
        <v>0.190451127819601993</v>
      </c>
      <c r="Z11"/>
      <c r="AA11" t="s">
        <v>476</v>
      </c>
      <c r="AB11" t="s">
        <v>238</v>
      </c>
      <c r="AC11"/>
      <c r="AD11" t="s">
        <v>476</v>
      </c>
      <c r="AE11" t="s">
        <v>238</v>
      </c>
    </row>
    <row r="12" spans="1:31">
      <c r="A12" s="9" t="str">
        <f>Plantilla!A12</f>
        <v>#19</v>
      </c>
      <c r="B12" s="268" t="str">
        <f>Plantilla!D12</f>
        <v>A. Grimaud</v>
      </c>
      <c r="C12" s="9">
        <f>Plantilla!E12</f>
        <v>22</v>
      </c>
      <c r="D12" s="469">
        <f>Plantilla!F12</f>
        <v>41</v>
      </c>
      <c r="E12" s="53">
        <f>Plantilla!X12</f>
        <v>0</v>
      </c>
      <c r="F12" s="53">
        <f>Plantilla!Y12</f>
        <v>12</v>
      </c>
      <c r="G12" s="53">
        <f>Plantilla!Z12</f>
        <v>7</v>
      </c>
      <c r="H12" s="53">
        <f>Plantilla!AA12</f>
        <v>3</v>
      </c>
      <c r="I12" s="53">
        <f>Plantilla!AB12</f>
        <v>3</v>
      </c>
      <c r="J12" s="53">
        <f>Plantilla!AC12</f>
        <v>5</v>
      </c>
      <c r="K12" s="53">
        <f>Plantilla!AD12</f>
        <v>14.3333333333333002</v>
      </c>
      <c r="L12" s="101">
        <f>1/8</f>
        <v>0.125</v>
      </c>
      <c r="M12" s="101">
        <f>1/27</f>
        <v>0.0370370370370370017</v>
      </c>
      <c r="N12" s="53" t="n">
        <v>0</v>
      </c>
      <c r="O12" s="52" t="n">
        <v>0</v>
      </c>
      <c r="P12" s="52" t="n">
        <v>0</v>
      </c>
      <c r="Q12" s="52" t="n">
        <v>0</v>
      </c>
      <c r="R12" s="52" t="n">
        <v>0</v>
      </c>
      <c r="S12" s="52"/>
      <c r="T12" s="52"/>
      <c r="U12" s="52"/>
      <c r="V12" s="52"/>
      <c r="W12" s="52"/>
      <c r="X12" s="121">
        <f>MAX(N12:W12)</f>
        <v>0</v>
      </c>
      <c r="Y12" s="121">
        <f>(1.66*(J12+L12)+0.55*(K12+M12)-7.6)-(1.66*(J12)+0.55*(K12)-7.6)</f>
        <v>0.227870370370400011</v>
      </c>
      <c r="Z12"/>
      <c r="AA12" t="s">
        <v>21</v>
      </c>
      <c r="AB12" t="s">
        <v>234</v>
      </c>
      <c r="AC12"/>
      <c r="AD12" t="s">
        <v>476</v>
      </c>
      <c r="AE12" t="s">
        <v>186</v>
      </c>
    </row>
    <row r="13" spans="1:31">
      <c r="A13" s="9" t="str">
        <f>Plantilla!A13</f>
        <v>#22</v>
      </c>
      <c r="B13" s="268" t="str">
        <f>Plantilla!D13</f>
        <v>V. Gardner</v>
      </c>
      <c r="C13" s="9">
        <f>Plantilla!E13</f>
        <v>22</v>
      </c>
      <c r="D13" s="469">
        <f>Plantilla!F13</f>
        <v>30</v>
      </c>
      <c r="E13" s="53">
        <f>Plantilla!X13</f>
        <v>0</v>
      </c>
      <c r="F13" s="53">
        <f>Plantilla!Y13</f>
        <v>12</v>
      </c>
      <c r="G13" s="53">
        <f>Plantilla!Z13</f>
        <v>5</v>
      </c>
      <c r="H13" s="53">
        <f>Plantilla!AA13</f>
        <v>3</v>
      </c>
      <c r="I13" s="53">
        <f>Plantilla!AB13</f>
        <v>5</v>
      </c>
      <c r="J13" s="53">
        <f>Plantilla!AC13</f>
        <v>6</v>
      </c>
      <c r="K13" s="53">
        <f>Plantilla!AD13</f>
        <v>16</v>
      </c>
      <c r="L13" s="101">
        <f>1/9.5</f>
        <v>0.105263157894736992</v>
      </c>
      <c r="M13" s="101">
        <f>1/35</f>
        <v>0.0285714285714290028</v>
      </c>
      <c r="N13" s="53" t="n">
        <v>0</v>
      </c>
      <c r="O13" s="52" t="n">
        <v>0</v>
      </c>
      <c r="P13" s="52" t="n">
        <v>0</v>
      </c>
      <c r="Q13" s="52" t="n">
        <v>0</v>
      </c>
      <c r="R13" s="52" t="n">
        <v>0</v>
      </c>
      <c r="S13" s="52"/>
      <c r="T13" s="52"/>
      <c r="U13" s="52"/>
      <c r="V13" s="52"/>
      <c r="W13" s="52"/>
      <c r="X13" s="121">
        <f>MAX(N13:W13)</f>
        <v>0</v>
      </c>
      <c r="Y13" s="121">
        <f>(1.66*(J13+L13)+0.55*(K13+M13)-7.6)-(1.66*(J13)+0.55*(K13)-7.6)</f>
        <v>0.190451127819599986</v>
      </c>
      <c r="Z13"/>
      <c r="AA13" t="s">
        <v>21</v>
      </c>
      <c r="AB13" t="s">
        <v>186</v>
      </c>
      <c r="AC13"/>
      <c r="AD13" t="s">
        <v>21</v>
      </c>
      <c r="AE13" t="s">
        <v>234</v>
      </c>
    </row>
    <row r="14" spans="1:31">
      <c r="A14" s="9" t="str">
        <f>Plantilla!A14</f>
        <v>#3</v>
      </c>
      <c r="B14" s="268" t="str">
        <f>Plantilla!D14</f>
        <v>S. Embe</v>
      </c>
      <c r="C14" s="9">
        <f>Plantilla!E14</f>
        <v>22</v>
      </c>
      <c r="D14" s="469">
        <f>Plantilla!F14</f>
        <v>86</v>
      </c>
      <c r="E14" s="53">
        <f>Plantilla!X14</f>
        <v>0</v>
      </c>
      <c r="F14" s="53">
        <f>Plantilla!Y14</f>
        <v>11</v>
      </c>
      <c r="G14" s="53">
        <f>Plantilla!Z14</f>
        <v>4</v>
      </c>
      <c r="H14" s="53">
        <f>Plantilla!AA14</f>
        <v>1</v>
      </c>
      <c r="I14" s="53">
        <f>Plantilla!AB14</f>
        <v>5</v>
      </c>
      <c r="J14" s="53">
        <f>Plantilla!AC14</f>
        <v>6</v>
      </c>
      <c r="K14" s="53">
        <f>Plantilla!AD14</f>
        <v>17.3333333333333002</v>
      </c>
      <c r="L14" s="101">
        <f>1/9.5</f>
        <v>0.105263157894736992</v>
      </c>
      <c r="M14" s="101">
        <f>1/80</f>
        <v>0.0125</v>
      </c>
      <c r="N14" s="53" t="n">
        <v>0</v>
      </c>
      <c r="O14" s="52" t="n">
        <v>0</v>
      </c>
      <c r="P14" s="52" t="n">
        <v>0</v>
      </c>
      <c r="Q14" s="52" t="n">
        <v>0</v>
      </c>
      <c r="R14" s="52" t="n">
        <v>0</v>
      </c>
      <c r="S14" s="52"/>
      <c r="T14" s="52"/>
      <c r="U14" s="52"/>
      <c r="V14" s="52"/>
      <c r="W14" s="52"/>
      <c r="X14" s="121">
        <f>MAX(N14:W14)</f>
        <v>0</v>
      </c>
      <c r="Y14" s="121">
        <f>(1.66*(J14+L14)+0.55*(K14+M14)-7.6)-(1.66*(J14)+0.55*(K14)-7.6)</f>
        <v>0.181611842105298997</v>
      </c>
      <c r="Z14"/>
      <c r="AA14"/>
      <c r="AB14"/>
      <c r="AC14"/>
      <c r="AD14"/>
      <c r="AE14"/>
    </row>
    <row r="15" spans="1:31">
      <c r="A15" s="9" t="str">
        <f>Plantilla!A15</f>
        <v>#4</v>
      </c>
      <c r="B15" s="268" t="str">
        <f>Plantilla!D15</f>
        <v>E. Deus</v>
      </c>
      <c r="C15" s="9">
        <f>Plantilla!E15</f>
        <v>21</v>
      </c>
      <c r="D15" s="469">
        <f>Plantilla!F15</f>
        <v>69</v>
      </c>
      <c r="E15" s="53">
        <f>Plantilla!X15</f>
        <v>0</v>
      </c>
      <c r="F15" s="53">
        <f>Plantilla!Y15</f>
        <v>11</v>
      </c>
      <c r="G15" s="53">
        <f>Plantilla!Z15</f>
        <v>7</v>
      </c>
      <c r="H15" s="53">
        <f>Plantilla!AA15</f>
        <v>1</v>
      </c>
      <c r="I15" s="53">
        <f>Plantilla!AB15</f>
        <v>6</v>
      </c>
      <c r="J15" s="53">
        <f>Plantilla!AC15</f>
        <v>5</v>
      </c>
      <c r="K15" s="53">
        <f>Plantilla!AD15</f>
        <v>15.3333333333333002</v>
      </c>
      <c r="L15" s="101">
        <f>1/8</f>
        <v>0.125</v>
      </c>
      <c r="M15" s="101">
        <f>1/35</f>
        <v>0.0285714285714290028</v>
      </c>
      <c r="N15" s="53" t="n">
        <v>0</v>
      </c>
      <c r="O15" s="52" t="n">
        <v>0</v>
      </c>
      <c r="P15" s="52" t="n">
        <v>0</v>
      </c>
      <c r="Q15" s="52" t="n">
        <v>0</v>
      </c>
      <c r="R15" s="52" t="n">
        <v>0</v>
      </c>
      <c r="S15" s="52"/>
      <c r="T15" s="52"/>
      <c r="U15" s="52"/>
      <c r="V15" s="52"/>
      <c r="W15" s="52"/>
      <c r="X15" s="121">
        <f>MAX(N15:W15)</f>
        <v>0</v>
      </c>
      <c r="Y15" s="121">
        <f>(1.66*(J15+L15)+0.55*(K15+M15)-7.6)-(1.66*(J15)+0.55*(K15)-7.6)</f>
        <v>0.223214285714298999</v>
      </c>
      <c r="Z15"/>
      <c r="AA15"/>
      <c r="AB15"/>
      <c r="AC15"/>
      <c r="AD15"/>
      <c r="AE15"/>
    </row>
    <row r="16" spans="1:31">
      <c r="A16" s="9" t="str">
        <f>Plantilla!A16</f>
        <v>#16</v>
      </c>
      <c r="B16" s="268" t="str">
        <f>Plantilla!D16</f>
        <v>I. Vanags</v>
      </c>
      <c r="C16" s="9">
        <f>Plantilla!E16</f>
        <v>22</v>
      </c>
      <c r="D16" s="469">
        <f>Plantilla!F16</f>
        <v>17</v>
      </c>
      <c r="E16" s="53">
        <f>Plantilla!X16</f>
        <v>0</v>
      </c>
      <c r="F16" s="53">
        <f>Plantilla!Y16</f>
        <v>4</v>
      </c>
      <c r="G16" s="53">
        <f>Plantilla!Z16</f>
        <v>13</v>
      </c>
      <c r="H16" s="53">
        <f>Plantilla!AA16</f>
        <v>3</v>
      </c>
      <c r="I16" s="53">
        <f>Plantilla!AB16</f>
        <v>4</v>
      </c>
      <c r="J16" s="53">
        <f>Plantilla!AC16</f>
        <v>7</v>
      </c>
      <c r="K16" s="53">
        <f>Plantilla!AD16</f>
        <v>16.3333333333333002</v>
      </c>
      <c r="L16" s="101">
        <f>1/10</f>
        <v>0.1</v>
      </c>
      <c r="M16" s="101">
        <f>1/45</f>
        <v>0.0222222222222220012</v>
      </c>
      <c r="N16" s="53"/>
      <c r="O16" s="52"/>
      <c r="P16" s="52"/>
      <c r="Q16" s="52"/>
      <c r="R16" s="52"/>
      <c r="S16" s="52">
        <f>L16*(0.19*0.341+0.25*0.253+0.25*0.127)/(0.19+0.25)</f>
        <v>0.0363159090909090043</v>
      </c>
      <c r="T16" s="52">
        <f>L16*(0.19*0.241+0.25*0.315)/(0.19+0.25)</f>
        <v>0.0283045454545449982</v>
      </c>
      <c r="U16" s="52">
        <f>L16*(0.19*0.121+0.25*0.244)/(0.19+0.25)</f>
        <v>0.0190886363636360006</v>
      </c>
      <c r="V16" s="52">
        <f>L16*(0.19*0.543+0.25*0.324)/(0.19+0.25)</f>
        <v>0.041856818181818003</v>
      </c>
      <c r="W16" s="52">
        <f>L16*(0.19*0.369+0.25*0.142)/(0.19+0.25)</f>
        <v>0.0240022727272729997</v>
      </c>
      <c r="X16" s="121">
        <f>MAX(N16:W16)</f>
        <v>0.041856818181818003</v>
      </c>
      <c r="Y16" s="121">
        <f>(1.66*(J16+L16)+0.55*(K16+M16)-7.6)-(1.66*(J16)+0.55*(K16)-7.6)</f>
        <v>0.178222222222199989</v>
      </c>
      <c r="Z16"/>
      <c r="AA16"/>
      <c r="AB16"/>
      <c r="AC16"/>
      <c r="AD16"/>
      <c r="AE16"/>
    </row>
    <row r="17" spans="1:31">
      <c r="A17" s="9" t="str">
        <f>Plantilla!A17</f>
        <v>#8</v>
      </c>
      <c r="B17" s="268" t="str">
        <f>Plantilla!D17</f>
        <v>I. Stone</v>
      </c>
      <c r="C17" s="9">
        <f>Plantilla!E17</f>
        <v>21</v>
      </c>
      <c r="D17" s="469">
        <f>Plantilla!F17</f>
        <v>72</v>
      </c>
      <c r="E17" s="53">
        <f>Plantilla!X17</f>
        <v>0</v>
      </c>
      <c r="F17" s="53">
        <f>Plantilla!Y17</f>
        <v>3</v>
      </c>
      <c r="G17" s="53">
        <f>Plantilla!Z17</f>
        <v>12</v>
      </c>
      <c r="H17" s="53">
        <f>Plantilla!AA17</f>
        <v>2</v>
      </c>
      <c r="I17" s="53">
        <f>Plantilla!AB17</f>
        <v>6</v>
      </c>
      <c r="J17" s="53">
        <f>Plantilla!AC17</f>
        <v>9</v>
      </c>
      <c r="K17" s="53">
        <f>Plantilla!AD17</f>
        <v>15.3333333333333002</v>
      </c>
      <c r="L17" s="101">
        <f>1/14</f>
        <v>0.0714285714285709972</v>
      </c>
      <c r="M17" s="101">
        <f>1/35</f>
        <v>0.0285714285714290028</v>
      </c>
      <c r="N17" s="53"/>
      <c r="O17" s="52"/>
      <c r="P17" s="52"/>
      <c r="Q17" s="52"/>
      <c r="R17" s="52"/>
      <c r="S17" s="52">
        <f>L17*(0.19*0.341+0.25*0.253+0.25*0.127)/(0.19+0.25)</f>
        <v>0.0259399350649339988</v>
      </c>
      <c r="T17" s="52">
        <f>L17*(0.19*0.241+0.25*0.315)/(0.19+0.25)</f>
        <v>0.0202175324675320001</v>
      </c>
      <c r="U17" s="52">
        <f>L17*(0.19*0.121+0.25*0.244)/(0.19+0.25)</f>
        <v>0.0136347402597410028</v>
      </c>
      <c r="V17" s="52">
        <f>L17*(0.19*0.543+0.25*0.324)/(0.19+0.25)</f>
        <v>0.0298977272727269963</v>
      </c>
      <c r="W17" s="52">
        <f>L17*(0.19*0.369+0.25*0.142)/(0.19+0.25)</f>
        <v>0.017144480519480001</v>
      </c>
      <c r="X17" s="121">
        <f>MAX(N17:W17)</f>
        <v>0.0298977272727269963</v>
      </c>
      <c r="Y17" s="121">
        <f>(1.66*(J17+L17)+0.55*(K17+M17)-7.6)-(1.66*(J17)+0.55*(K17)-7.6)</f>
        <v>0.134285714285700997</v>
      </c>
      <c r="Z17"/>
      <c r="AA17"/>
      <c r="AB17"/>
      <c r="AC17"/>
      <c r="AD17"/>
      <c r="AE17"/>
    </row>
    <row r="18" spans="1:31">
      <c r="A18" s="9" t="str">
        <f>Plantilla!A18</f>
        <v>#14</v>
      </c>
      <c r="B18" s="268" t="str">
        <f>Plantilla!D18</f>
        <v>G. Piscaer</v>
      </c>
      <c r="C18" s="9">
        <f>Plantilla!E18</f>
        <v>22</v>
      </c>
      <c r="D18" s="469">
        <f>Plantilla!F18</f>
        <v>33</v>
      </c>
      <c r="E18" s="53">
        <f>Plantilla!X18</f>
        <v>0</v>
      </c>
      <c r="F18" s="53">
        <f>Plantilla!Y18</f>
        <v>4</v>
      </c>
      <c r="G18" s="53">
        <f>Plantilla!Z18</f>
        <v>13</v>
      </c>
      <c r="H18" s="53">
        <f>Plantilla!AA18</f>
        <v>3</v>
      </c>
      <c r="I18" s="53">
        <f>Plantilla!AB18</f>
        <v>2</v>
      </c>
      <c r="J18" s="53">
        <f>Plantilla!AC18</f>
        <v>8</v>
      </c>
      <c r="K18" s="53">
        <f>Plantilla!AD18</f>
        <v>14.3333333333333002</v>
      </c>
      <c r="L18" s="101">
        <f>1/12</f>
        <v>0.0833333333333330017</v>
      </c>
      <c r="M18" s="101">
        <f>1/27</f>
        <v>0.0370370370370370017</v>
      </c>
      <c r="N18" s="53"/>
      <c r="O18" s="52"/>
      <c r="P18" s="52"/>
      <c r="Q18" s="52"/>
      <c r="R18" s="52"/>
      <c r="S18" s="52">
        <f>L18*(0.19*0.341+0.25*0.253+0.25*0.127)/(0.19+0.25)</f>
        <v>0.0302632575757569988</v>
      </c>
      <c r="T18" s="52">
        <f>L18*(0.19*0.241+0.25*0.315)/(0.19+0.25)</f>
        <v>0.0235871212121200013</v>
      </c>
      <c r="U18" s="52">
        <f>L18*(0.19*0.121+0.25*0.244)/(0.19+0.25)</f>
        <v>0.0159071969696980009</v>
      </c>
      <c r="V18" s="52">
        <f>L18*(0.19*0.543+0.25*0.25)/(0.19+0.25)</f>
        <v>0.031376893939392998</v>
      </c>
      <c r="W18" s="52">
        <f>L18*(0.19*0.369+0.25*0.142)/(0.19+0.25)</f>
        <v>0.0200018939393930006</v>
      </c>
      <c r="X18" s="121">
        <f>MAX(N18:W18)</f>
        <v>0.031376893939392998</v>
      </c>
      <c r="Y18" s="121">
        <f>(1.66*(J18+L18)+0.55*(K18+M18)-7.6)-(1.66*(J18)+0.55*(K18)-7.6)</f>
        <v>0.158703703703698995</v>
      </c>
      <c r="Z18"/>
      <c r="AA18"/>
      <c r="AB18"/>
      <c r="AC18"/>
      <c r="AD18"/>
      <c r="AE18"/>
    </row>
    <row r="19" spans="1:31">
      <c r="A19" s="9" t="str">
        <f>Plantilla!A19</f>
        <v>#9</v>
      </c>
      <c r="B19" s="268" t="str">
        <f>Plantilla!D19</f>
        <v>M. Bondarewski</v>
      </c>
      <c r="C19" s="9">
        <f>Plantilla!E19</f>
        <v>22</v>
      </c>
      <c r="D19" s="469">
        <f>Plantilla!F19</f>
        <v>33</v>
      </c>
      <c r="E19" s="53">
        <f>Plantilla!X19</f>
        <v>0</v>
      </c>
      <c r="F19" s="53">
        <f>Plantilla!Y19</f>
        <v>2</v>
      </c>
      <c r="G19" s="53">
        <f>Plantilla!Z19</f>
        <v>13</v>
      </c>
      <c r="H19" s="53">
        <f>Plantilla!AA19</f>
        <v>5</v>
      </c>
      <c r="I19" s="53">
        <f>Plantilla!AB19</f>
        <v>4</v>
      </c>
      <c r="J19" s="53">
        <f>Plantilla!AC19</f>
        <v>8</v>
      </c>
      <c r="K19" s="53">
        <f>Plantilla!AD19</f>
        <v>17</v>
      </c>
      <c r="L19" s="101">
        <f>1/12</f>
        <v>0.0833333333333330017</v>
      </c>
      <c r="M19" s="101">
        <f>1/45</f>
        <v>0.0222222222222220012</v>
      </c>
      <c r="N19" s="53"/>
      <c r="O19" s="52"/>
      <c r="P19" s="52"/>
      <c r="Q19" s="52"/>
      <c r="R19" s="52"/>
      <c r="S19" s="52">
        <f>L19*(0.19*0.341+0.25*0.253+0.25*0.127)/(0.19+0.25)</f>
        <v>0.0302632575757569988</v>
      </c>
      <c r="T19" s="52">
        <f>L19*(0.19*0.241+0.25*0.315)/(0.19+0.25)</f>
        <v>0.0235871212121200013</v>
      </c>
      <c r="U19" s="52">
        <f>L19*(0.19*0.121+0.25*0.244)/(0.19+0.25)</f>
        <v>0.0159071969696980009</v>
      </c>
      <c r="V19" s="52">
        <f>L19*(0.19*0.543+0.25*0.324)/(0.19+0.25)</f>
        <v>0.0348806818181819978</v>
      </c>
      <c r="W19" s="52">
        <f>L19*(0.19*0.369+0.25*0.142)/(0.19+0.25)</f>
        <v>0.0200018939393930006</v>
      </c>
      <c r="X19" s="121">
        <f>MAX(N19:W19)</f>
        <v>0.0348806818181819978</v>
      </c>
      <c r="Y19" s="121">
        <f>(1.66*(J19+L19)+0.55*(K19+M19)-7.6)-(1.66*(J19)+0.55*(K19)-7.6)</f>
        <v>0.150555555555501019</v>
      </c>
      <c r="Z19"/>
      <c r="AA19"/>
      <c r="AB19"/>
      <c r="AC19"/>
      <c r="AD19"/>
      <c r="AE19"/>
    </row>
    <row r="20" spans="1:31">
      <c r="A20" s="9" t="str">
        <f>Plantilla!A20</f>
        <v>#12</v>
      </c>
      <c r="B20" s="268" t="str">
        <f>Plantilla!D20</f>
        <v>P. Tuderek</v>
      </c>
      <c r="C20" s="9">
        <f>Plantilla!E20</f>
        <v>22</v>
      </c>
      <c r="D20" s="469">
        <f>Plantilla!F20</f>
        <v>19</v>
      </c>
      <c r="E20" s="53">
        <f>Plantilla!X20</f>
        <v>0</v>
      </c>
      <c r="F20" s="53">
        <f>Plantilla!Y20</f>
        <v>6</v>
      </c>
      <c r="G20" s="53">
        <f>Plantilla!Z20</f>
        <v>12</v>
      </c>
      <c r="H20" s="53">
        <f>Plantilla!AA20</f>
        <v>2</v>
      </c>
      <c r="I20" s="53">
        <f>Plantilla!AB20</f>
        <v>3</v>
      </c>
      <c r="J20" s="53">
        <f>Plantilla!AC20</f>
        <v>6</v>
      </c>
      <c r="K20" s="53">
        <f>Plantilla!AD20</f>
        <v>17.25</v>
      </c>
      <c r="L20" s="101">
        <f>1/9.5</f>
        <v>0.105263157894736992</v>
      </c>
      <c r="M20" s="101">
        <f>1/80</f>
        <v>0.0125</v>
      </c>
      <c r="N20" s="53"/>
      <c r="O20" s="52"/>
      <c r="P20" s="52"/>
      <c r="Q20" s="52"/>
      <c r="R20" s="52"/>
      <c r="S20" s="52">
        <f>L20*(0.19*0.341+0.25*0.253+0.25*0.127)/(0.19+0.25)</f>
        <v>0.0382272727272729984</v>
      </c>
      <c r="T20" s="52">
        <f>L20*(0.19*0.241+0.25*0.315)/(0.19+0.25)</f>
        <v>0.0297942583732069988</v>
      </c>
      <c r="U20" s="52">
        <f>L20*(0.19*0.121+0.25*0.244)/(0.19+0.25)</f>
        <v>0.0200933014354070005</v>
      </c>
      <c r="V20" s="52">
        <f>L20*(0.19*0.543+0.25*0.25)/(0.19+0.25)</f>
        <v>0.039633971291865997</v>
      </c>
      <c r="W20" s="52">
        <f>L20*(0.19*0.369+0.25*0.142)/(0.19+0.25)</f>
        <v>0.0252655502392339981</v>
      </c>
      <c r="X20" s="121">
        <f>MAX(N20:W20)</f>
        <v>0.039633971291865997</v>
      </c>
      <c r="Y20" s="121">
        <f>(1.66*(J20+L20)+0.55*(K20+M20)-7.6)-(1.66*(J20)+0.55*(K20)-7.6)</f>
        <v>0.181611842105298997</v>
      </c>
      <c r="Z20"/>
      <c r="AA20"/>
      <c r="AB20"/>
      <c r="AC20"/>
      <c r="AD20"/>
      <c r="AE20"/>
    </row>
    <row r="21" spans="1:31">
      <c r="A21" s="9" t="str">
        <f>Plantilla!A21</f>
        <v>#10</v>
      </c>
      <c r="B21" s="268" t="str">
        <f>Plantilla!D21</f>
        <v>R. Forsyth</v>
      </c>
      <c r="C21" s="9">
        <f>Plantilla!E21</f>
        <v>22</v>
      </c>
      <c r="D21" s="469">
        <f>Plantilla!F21</f>
        <v>74</v>
      </c>
      <c r="E21" s="53">
        <f>Plantilla!X21</f>
        <v>0</v>
      </c>
      <c r="F21" s="53">
        <f>Plantilla!Y21</f>
        <v>7</v>
      </c>
      <c r="G21" s="53">
        <f>Plantilla!Z21</f>
        <v>13</v>
      </c>
      <c r="H21" s="53">
        <f>Plantilla!AA21</f>
        <v>3</v>
      </c>
      <c r="I21" s="53">
        <f>Plantilla!AB21</f>
        <v>4</v>
      </c>
      <c r="J21" s="53">
        <f>Plantilla!AC21</f>
        <v>6</v>
      </c>
      <c r="K21" s="53">
        <f>Plantilla!AD21</f>
        <v>15</v>
      </c>
      <c r="L21" s="101">
        <f>1/10</f>
        <v>0.1</v>
      </c>
      <c r="M21" s="101">
        <f>1/27</f>
        <v>0.0370370370370370017</v>
      </c>
      <c r="N21" s="53"/>
      <c r="O21" s="52"/>
      <c r="P21" s="52"/>
      <c r="Q21" s="52"/>
      <c r="R21" s="52"/>
      <c r="S21" s="52">
        <f>L21*(0.19*0.341+0.25*0.253+0.25*0.127)/(0.19+0.25)</f>
        <v>0.0363159090909090043</v>
      </c>
      <c r="T21" s="52">
        <f>L21*(0.19*0.241+0.25*0.315)/(0.19+0.25)</f>
        <v>0.0283045454545449982</v>
      </c>
      <c r="U21" s="52">
        <f>L21*(0.19*0.121+0.25*0.244)/(0.19+0.25)</f>
        <v>0.0190886363636360006</v>
      </c>
      <c r="V21" s="52">
        <f>L21*(0.19*0.543+0.25*0.25)/(0.19+0.25)</f>
        <v>0.0376522727272730018</v>
      </c>
      <c r="W21" s="52">
        <f>L21*(0.19*0.369+0.25*0.142)/(0.19+0.25)</f>
        <v>0.0240022727272729997</v>
      </c>
      <c r="X21" s="121">
        <f>MAX(N21:W21)</f>
        <v>0.0376522727272730018</v>
      </c>
      <c r="Y21" s="121">
        <f>(1.66*(J21+L21)+0.55*(K21+M21)-7.6)-(1.66*(J21)+0.55*(K21)-7.6)</f>
        <v>0.186370370370400984</v>
      </c>
      <c r="Z21"/>
      <c r="AA21"/>
      <c r="AB21"/>
      <c r="AC21"/>
      <c r="AD21"/>
      <c r="AE21"/>
    </row>
    <row r="22" spans="1:31">
      <c r="A22" s="9" t="str">
        <f>Plantilla!A22</f>
        <v>#11</v>
      </c>
      <c r="B22" s="268" t="str">
        <f>Plantilla!D22</f>
        <v>J-P. Kechele</v>
      </c>
      <c r="C22" s="9">
        <f>Plantilla!E22</f>
        <v>29</v>
      </c>
      <c r="D22" s="469">
        <f>Plantilla!F22</f>
        <v>107</v>
      </c>
      <c r="E22" s="53">
        <f>Plantilla!X22</f>
        <v>0</v>
      </c>
      <c r="F22" s="53">
        <f>Plantilla!Y22</f>
        <v>4</v>
      </c>
      <c r="G22" s="53">
        <f>Plantilla!Z22</f>
        <v>14</v>
      </c>
      <c r="H22" s="53">
        <f>Plantilla!AA22</f>
        <v>4</v>
      </c>
      <c r="I22" s="53">
        <f>Plantilla!AB22</f>
        <v>9</v>
      </c>
      <c r="J22" s="53">
        <f>Plantilla!AC22</f>
        <v>8</v>
      </c>
      <c r="K22" s="53">
        <f>Plantilla!AD22</f>
        <v>19.25</v>
      </c>
      <c r="L22" s="101"/>
      <c r="M22" s="101"/>
      <c r="N22" s="53"/>
      <c r="O22" s="52"/>
      <c r="P22" s="52"/>
      <c r="Q22" s="52"/>
      <c r="R22" s="52"/>
      <c r="S22" s="52"/>
      <c r="T22" s="52"/>
      <c r="U22" s="52"/>
      <c r="V22" s="52"/>
      <c r="W22" s="52"/>
      <c r="X22" s="121"/>
      <c r="Y22" s="121"/>
      <c r="Z22"/>
      <c r="AA22"/>
      <c r="AB22"/>
      <c r="AC22"/>
      <c r="AD22"/>
      <c r="AE22"/>
    </row>
    <row r="23" spans="1:31">
      <c r="A23" s="9" t="str">
        <f>Plantilla!A23</f>
        <v>#29</v>
      </c>
      <c r="B23" s="268" t="str">
        <f>Plantilla!D23</f>
        <v>S. Zobbe</v>
      </c>
      <c r="C23" s="9">
        <f>Plantilla!E23</f>
        <v>35</v>
      </c>
      <c r="D23" s="469">
        <f>Plantilla!F23</f>
        <v>109</v>
      </c>
      <c r="E23" s="53">
        <f>Plantilla!X23</f>
        <v>0</v>
      </c>
      <c r="F23" s="53">
        <f>Plantilla!Y23</f>
        <v>7.95000000000000018</v>
      </c>
      <c r="G23" s="53">
        <f>Plantilla!Z23</f>
        <v>11.9499999999999993</v>
      </c>
      <c r="H23" s="53">
        <f>Plantilla!AA23</f>
        <v>11.9499999999999993</v>
      </c>
      <c r="I23" s="53">
        <f>Plantilla!AB23</f>
        <v>9.94999999999999929</v>
      </c>
      <c r="J23" s="53">
        <f>Plantilla!AC23</f>
        <v>4.95000000000000018</v>
      </c>
      <c r="K23" s="53">
        <f>Plantilla!AD23</f>
        <v>18</v>
      </c>
      <c r="L23" s="101"/>
      <c r="M23" s="101"/>
      <c r="N23" s="53"/>
      <c r="O23" s="52"/>
      <c r="P23" s="52"/>
      <c r="Q23" s="52"/>
      <c r="R23" s="52"/>
      <c r="S23" s="52"/>
      <c r="T23" s="52"/>
      <c r="U23" s="52"/>
      <c r="V23" s="52"/>
      <c r="W23" s="52"/>
      <c r="X23" s="121"/>
      <c r="Y23" s="121"/>
      <c r="Z23"/>
      <c r="AA23"/>
      <c r="AB23"/>
      <c r="AC23"/>
      <c r="AD23"/>
      <c r="AE23"/>
    </row>
    <row r="24" spans="1:31">
      <c r="A24" s="9" t="str">
        <f>Plantilla!A24</f>
        <v>#28</v>
      </c>
      <c r="B24" s="268" t="str">
        <f>Plantilla!D24</f>
        <v>P .Trivadi</v>
      </c>
      <c r="C24" s="9">
        <f>Plantilla!E24</f>
        <v>35</v>
      </c>
      <c r="D24" s="469">
        <f>Plantilla!F24</f>
        <v>65</v>
      </c>
      <c r="E24" s="53">
        <f>Plantilla!X24</f>
        <v>0</v>
      </c>
      <c r="F24" s="53">
        <f>Plantilla!Y24</f>
        <v>3.95000000000000018</v>
      </c>
      <c r="G24" s="53">
        <f>Plantilla!Z24</f>
        <v>5.95000000000000018</v>
      </c>
      <c r="H24" s="53">
        <f>Plantilla!AA24</f>
        <v>4.95000000000000018</v>
      </c>
      <c r="I24" s="53">
        <f>Plantilla!AB24</f>
        <v>9.94999999999999929</v>
      </c>
      <c r="J24" s="53">
        <f>Plantilla!AC24</f>
        <v>6.95000000000000018</v>
      </c>
      <c r="K24" s="53">
        <f>Plantilla!AD24</f>
        <v>15</v>
      </c>
      <c r="O24"/>
      <c r="P24"/>
      <c r="Q24"/>
      <c r="R24"/>
      <c r="S24" s="52"/>
      <c r="T24" s="52"/>
      <c r="U24" s="52"/>
      <c r="V24" s="52"/>
      <c r="W24" s="52"/>
      <c r="X24"/>
      <c r="Y24"/>
      <c r="Z24"/>
      <c r="AA24"/>
      <c r="AB24"/>
      <c r="AC24"/>
      <c r="AD24"/>
      <c r="AE24"/>
    </row>
    <row r="25" spans="1:31">
      <c r="A25" s="9">
        <f>Plantilla!A25</f>
        <v>0</v>
      </c>
      <c r="B25" s="268">
        <f>Plantilla!D25</f>
        <v>0</v>
      </c>
      <c r="C25" s="9">
        <f>Plantilla!E25</f>
        <v>0</v>
      </c>
      <c r="D25" s="469">
        <f>Plantilla!F25</f>
        <v>0</v>
      </c>
      <c r="E25" s="53">
        <f>Plantilla!X25</f>
        <v>0</v>
      </c>
      <c r="F25" s="53">
        <f>Plantilla!Y25</f>
        <v>0</v>
      </c>
      <c r="G25" s="53">
        <f>Plantilla!Z25</f>
        <v>0</v>
      </c>
      <c r="H25" s="53">
        <f>Plantilla!AA25</f>
        <v>0</v>
      </c>
      <c r="I25" s="53">
        <f>Plantilla!AB25</f>
        <v>0</v>
      </c>
      <c r="J25" s="53">
        <f>Plantilla!AC25</f>
        <v>0</v>
      </c>
      <c r="K25" s="53">
        <f>Plantilla!AD25</f>
        <v>0</v>
      </c>
      <c r="O25"/>
      <c r="P25"/>
      <c r="Q25"/>
      <c r="R25"/>
      <c r="S25" s="52"/>
      <c r="T25" s="52"/>
      <c r="U25" s="52"/>
      <c r="V25" s="52"/>
      <c r="W25" s="52"/>
      <c r="X25"/>
      <c r="Y25"/>
      <c r="Z25"/>
      <c r="AA25"/>
      <c r="AB25"/>
      <c r="AC25"/>
      <c r="AD25"/>
      <c r="AE25"/>
    </row>
    <row r="26" spans="1:31">
      <c r="A26" s="9">
        <f>Plantilla!A26</f>
        <v>0</v>
      </c>
      <c r="B26" s="268">
        <f>Plantilla!D26</f>
        <v>0</v>
      </c>
      <c r="C26" s="9">
        <f>Plantilla!E26</f>
        <v>0</v>
      </c>
      <c r="D26" s="469">
        <f>Plantilla!F26</f>
        <v>0</v>
      </c>
      <c r="E26" s="53">
        <f>Plantilla!X26</f>
        <v>0</v>
      </c>
      <c r="F26" s="53">
        <f>Plantilla!Y26</f>
        <v>0</v>
      </c>
      <c r="G26" s="53">
        <f>Plantilla!Z26</f>
        <v>0</v>
      </c>
      <c r="H26" s="53">
        <f>Plantilla!AA26</f>
        <v>0</v>
      </c>
      <c r="I26" s="53">
        <f>Plantilla!AB26</f>
        <v>0</v>
      </c>
      <c r="J26" s="53">
        <f>Plantilla!AC26</f>
        <v>0</v>
      </c>
      <c r="K26" s="53">
        <f>Plantilla!AD26</f>
        <v>0</v>
      </c>
      <c r="O26"/>
      <c r="P26"/>
      <c r="Q26"/>
      <c r="R26"/>
      <c r="S26" s="52"/>
      <c r="T26" s="52"/>
      <c r="U26" s="52"/>
      <c r="V26" s="52"/>
      <c r="W26" s="52"/>
      <c r="X26"/>
      <c r="Y26"/>
      <c r="Z26"/>
      <c r="AA26"/>
      <c r="AB26"/>
      <c r="AC26"/>
      <c r="AD26"/>
      <c r="AE26"/>
    </row>
    <row r="27" spans="1:31">
      <c r="A27" s="9">
        <f>Plantilla!A27</f>
        <v>0</v>
      </c>
      <c r="B27" s="268">
        <f>Plantilla!D27</f>
        <v>0</v>
      </c>
      <c r="C27" s="9">
        <f>Plantilla!E27</f>
        <v>0</v>
      </c>
      <c r="D27" s="469">
        <f>Plantilla!F27</f>
        <v>0</v>
      </c>
      <c r="E27" s="53">
        <f>Plantilla!X27</f>
        <v>0</v>
      </c>
      <c r="F27" s="53">
        <f>Plantilla!Y27</f>
        <v>0</v>
      </c>
      <c r="G27" s="53">
        <f>Plantilla!Z27</f>
        <v>0</v>
      </c>
      <c r="H27" s="53">
        <f>Plantilla!AA27</f>
        <v>0</v>
      </c>
      <c r="I27" s="53">
        <f>Plantilla!AB27</f>
        <v>0</v>
      </c>
      <c r="J27" s="53">
        <f>Plantilla!AC27</f>
        <v>0</v>
      </c>
      <c r="K27" s="53">
        <f>Plantilla!AD27</f>
        <v>0</v>
      </c>
      <c r="O27"/>
      <c r="P27"/>
      <c r="Q27"/>
      <c r="R27"/>
      <c r="S27" s="52"/>
      <c r="T27" s="52"/>
      <c r="U27" s="52"/>
      <c r="V27" s="52"/>
      <c r="W27" s="52"/>
      <c r="X27"/>
      <c r="Y27"/>
      <c r="Z27"/>
      <c r="AA27"/>
      <c r="AB27"/>
      <c r="AC27"/>
      <c r="AD27"/>
      <c r="AE27"/>
    </row>
  </sheetData>
  <conditionalFormatting sqref="L4:W23 S24:W27">
    <cfRule type="colorScale" priority="1">
      <colorScale>
        <cfvo type="min"/>
        <cfvo type="max"/>
        <color rgb="FFFFEF9C"/>
        <color rgb="FF63BE7B"/>
      </colorScale>
    </cfRule>
  </conditionalFormatting>
  <conditionalFormatting sqref="X4:X23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{22E096D1-1E42-5B4C-36C4-7A2EAE8ACE4C}</x14:id>
        </ext>
      </extLst>
    </cfRule>
  </conditionalFormatting>
  <conditionalFormatting sqref="E4:K27">
    <cfRule type="colorScale" priority="3">
      <colorScale>
        <cfvo type="min"/>
        <cfvo type="max"/>
        <color rgb="FFFCFCFF"/>
        <color rgb="FFF8696B"/>
      </colorScale>
    </cfRule>
  </conditionalFormatting>
  <conditionalFormatting sqref="Y4:Y2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{5DE23468-900E-898F-EF1C-B12AD4A53903}</x14:id>
        </ext>
      </extLst>
    </cfRule>
  </conditionalFormatting>
  <printOptions>
    <extLst>
      <ext uri="smNativeData">
        <pm:pageFlags xmlns:pm="smNativeData" id="1595601780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601780" l="56" r="56" t="56" b="56" borderId="0" fillId="0" vertical="0"/>
        <pm:footer xmlns:pm="smNativeData" id="1595601780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2E096D1-1E42-5B4C-36C4-7A2EAE8ACE4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X4:X23</xm:sqref>
        </x14:conditionalFormatting>
        <x14:conditionalFormatting xmlns:xm="http://schemas.microsoft.com/office/excel/2006/main">
          <x14:cfRule type="dataBar" id="{5DE23468-900E-898F-EF1C-B12AD4A539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Y4:Y27</xm:sqref>
        </x14:conditionalFormatting>
      </x14:conditionalFormattings>
    </ext>
    <ext uri="smNativeData">
      <pm:sheetPrefs xmlns:pm="smNativeData" day="1595601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DA9694"/>
  </sheetPr>
  <dimension ref="A1:AD27"/>
  <sheetViews>
    <sheetView view="normal" workbookViewId="0">
      <selection activeCell="X2" sqref="X2"/>
    </sheetView>
  </sheetViews>
  <sheetFormatPr baseColWidth="10" defaultColWidth="11.428571" defaultRowHeight="15.40"/>
  <cols>
    <col min="1" max="1" width="4.000000" customWidth="1"/>
    <col min="2" max="2" width="23.571429" customWidth="1"/>
    <col min="3" max="3" width="5.571429" customWidth="1"/>
    <col min="4" max="4" width="5.000000" customWidth="1"/>
    <col min="5" max="11" width="5.571429" customWidth="1"/>
    <col min="12" max="13" width="6.571429" customWidth="1" style="62"/>
    <col min="14" max="14" width="5.285714" customWidth="1" style="62"/>
    <col min="15" max="15" width="5.857143" customWidth="1" style="62"/>
    <col min="16" max="16" width="6.000000" customWidth="1"/>
    <col min="17" max="18" width="5.428571" customWidth="1"/>
    <col min="19" max="19" width="5.142857" customWidth="1"/>
    <col min="20" max="21" width="4.571429" customWidth="1"/>
    <col min="22" max="22" width="4.857143" customWidth="1"/>
    <col min="23" max="23" width="4.571429" customWidth="1"/>
    <col min="24" max="24" width="8.285714" customWidth="1"/>
    <col min="25" max="25" width="7.714286" customWidth="1"/>
    <col min="28" max="28" width="6.000000" customWidth="1"/>
    <col min="29" max="29" width="13.714286" customWidth="1"/>
  </cols>
  <sheetData>
    <row r="1" spans="2:29">
      <c r="B1" t="s">
        <v>635</v>
      </c>
      <c r="O1"/>
      <c r="Z1" t="s">
        <v>636</v>
      </c>
      <c r="AC1" t="s">
        <v>637</v>
      </c>
    </row>
    <row r="2" spans="2:30">
      <c r="B2" s="211" t="n">
        <v>44035</v>
      </c>
      <c r="O2"/>
      <c r="X2" s="210">
        <f>SUM(X4:X22)</f>
        <v>2.19999999999979989</v>
      </c>
      <c r="Z2" s="153" t="s">
        <v>85</v>
      </c>
      <c r="AA2" s="153" t="s">
        <v>87</v>
      </c>
      <c r="AC2" s="153" t="s">
        <v>85</v>
      </c>
      <c r="AD2" s="153" t="s">
        <v>87</v>
      </c>
    </row>
    <row r="3" spans="1:30">
      <c r="A3" s="85" t="s">
        <v>638</v>
      </c>
      <c r="B3" s="85" t="str">
        <f>Plantilla!D3</f>
        <v>Jugador</v>
      </c>
      <c r="C3" s="85" t="str">
        <f>Plantilla!E3</f>
        <v>Anys</v>
      </c>
      <c r="D3" s="85" t="str">
        <f>Plantilla!F3</f>
        <v>Dias</v>
      </c>
      <c r="E3" s="85" t="str">
        <f>Plantilla!X3</f>
        <v>Po</v>
      </c>
      <c r="F3" s="85" t="str">
        <f>Plantilla!Y3</f>
        <v>De</v>
      </c>
      <c r="G3" s="85" t="str">
        <f>Plantilla!Z3</f>
        <v>Cr</v>
      </c>
      <c r="H3" s="85" t="str">
        <f>Plantilla!AA3</f>
        <v>Ex</v>
      </c>
      <c r="I3" s="85" t="str">
        <f>Plantilla!AB3</f>
        <v>Ps</v>
      </c>
      <c r="J3" s="85" t="str">
        <f>Plantilla!AC3</f>
        <v>An</v>
      </c>
      <c r="K3" s="85" t="str">
        <f>Plantilla!AD3</f>
        <v>PA</v>
      </c>
      <c r="L3" s="205" t="n">
        <v>1</v>
      </c>
      <c r="M3" s="205" t="n">
        <v>1.25</v>
      </c>
      <c r="N3" s="207" t="s">
        <v>14</v>
      </c>
      <c r="O3" s="207" t="s">
        <v>630</v>
      </c>
      <c r="P3" s="206" t="s">
        <v>640</v>
      </c>
      <c r="Q3" s="206" t="s">
        <v>641</v>
      </c>
      <c r="R3" s="206" t="s">
        <v>642</v>
      </c>
      <c r="S3" s="206" t="s">
        <v>135</v>
      </c>
      <c r="T3" s="206" t="s">
        <v>473</v>
      </c>
      <c r="U3" s="206" t="s">
        <v>643</v>
      </c>
      <c r="V3" s="207" t="s">
        <v>140</v>
      </c>
      <c r="W3" s="207" t="s">
        <v>21</v>
      </c>
      <c r="X3" s="208" t="s">
        <v>648</v>
      </c>
      <c r="Z3" t="s">
        <v>14</v>
      </c>
      <c r="AA3" t="s">
        <v>144</v>
      </c>
      <c r="AC3" t="s">
        <v>14</v>
      </c>
      <c r="AD3" t="s">
        <v>144</v>
      </c>
    </row>
    <row r="4" spans="1:30">
      <c r="A4" s="9" t="str">
        <f>Plantilla!A4</f>
        <v>#30</v>
      </c>
      <c r="B4" s="268" t="str">
        <f>Plantilla!D4</f>
        <v>D. Gehmacher</v>
      </c>
      <c r="C4" s="9">
        <f>Plantilla!E4</f>
        <v>38</v>
      </c>
      <c r="D4" s="469">
        <f>Plantilla!F4</f>
        <v>62</v>
      </c>
      <c r="E4" s="53">
        <f>Plantilla!X4</f>
        <v>14.9499999999999993</v>
      </c>
      <c r="F4" s="53">
        <f>Plantilla!Y4</f>
        <v>9.94999999999999929</v>
      </c>
      <c r="G4" s="53">
        <f>Plantilla!Z4</f>
        <v>0.95</v>
      </c>
      <c r="H4" s="53">
        <f>Plantilla!AA4</f>
        <v>0</v>
      </c>
      <c r="I4" s="53">
        <f>Plantilla!AB4</f>
        <v>0</v>
      </c>
      <c r="J4" s="53">
        <f>Plantilla!AC4</f>
        <v>0</v>
      </c>
      <c r="K4" s="53">
        <f>Plantilla!AD4</f>
        <v>17.9499999999999993</v>
      </c>
      <c r="L4" s="101"/>
      <c r="M4" s="101"/>
      <c r="N4" s="53"/>
      <c r="O4" s="52"/>
      <c r="P4" s="52"/>
      <c r="Q4" s="52"/>
      <c r="R4" s="52"/>
      <c r="S4" s="52"/>
      <c r="T4" s="52"/>
      <c r="U4" s="52"/>
      <c r="V4" s="52"/>
      <c r="W4" s="52"/>
      <c r="X4" s="121"/>
      <c r="Z4" t="s">
        <v>629</v>
      </c>
      <c r="AA4" t="s">
        <v>645</v>
      </c>
      <c r="AC4" t="s">
        <v>629</v>
      </c>
      <c r="AD4" t="str">
        <f>AA4</f>
        <v>B. Pinczehelyi</v>
      </c>
    </row>
    <row r="5" spans="1:30">
      <c r="A5" s="9" t="str">
        <f>Plantilla!A5</f>
        <v>#1</v>
      </c>
      <c r="B5" s="268" t="str">
        <f>Plantilla!D5</f>
        <v>林 (Lin) 光维 (Guangwei)</v>
      </c>
      <c r="C5" s="9">
        <f>Plantilla!E5</f>
        <v>22</v>
      </c>
      <c r="D5" s="469">
        <f>Plantilla!F5</f>
        <v>101</v>
      </c>
      <c r="E5" s="53">
        <f>Plantilla!X5</f>
        <v>15</v>
      </c>
      <c r="F5" s="53">
        <f>Plantilla!Y5</f>
        <v>5</v>
      </c>
      <c r="G5" s="53">
        <f>Plantilla!Z5</f>
        <v>2</v>
      </c>
      <c r="H5" s="53">
        <f>Plantilla!AA5</f>
        <v>1</v>
      </c>
      <c r="I5" s="53">
        <f>Plantilla!AB5</f>
        <v>5</v>
      </c>
      <c r="J5" s="53">
        <f>Plantilla!AC5</f>
        <v>3</v>
      </c>
      <c r="K5" s="53">
        <f>Plantilla!AD5</f>
        <v>19.25</v>
      </c>
      <c r="L5" s="101"/>
      <c r="M5" s="101"/>
      <c r="N5" s="53"/>
      <c r="O5" s="52"/>
      <c r="P5" s="52"/>
      <c r="Q5" s="52"/>
      <c r="R5" s="52"/>
      <c r="S5" s="52"/>
      <c r="T5" s="52"/>
      <c r="U5" s="52"/>
      <c r="V5" s="52"/>
      <c r="W5" s="52"/>
      <c r="X5" s="121"/>
      <c r="Z5" t="s">
        <v>630</v>
      </c>
      <c r="AA5" t="s">
        <v>225</v>
      </c>
      <c r="AC5" t="s">
        <v>634</v>
      </c>
      <c r="AD5" t="s">
        <v>218</v>
      </c>
    </row>
    <row r="6" spans="1:30">
      <c r="A6" s="9" t="str">
        <f>Plantilla!A6</f>
        <v>#40</v>
      </c>
      <c r="B6" s="268" t="str">
        <f>Plantilla!D6</f>
        <v>E. Toney</v>
      </c>
      <c r="C6" s="9">
        <f>Plantilla!E6</f>
        <v>39</v>
      </c>
      <c r="D6" s="469">
        <f>Plantilla!F6</f>
        <v>73</v>
      </c>
      <c r="E6" s="53">
        <f>Plantilla!X6</f>
        <v>0</v>
      </c>
      <c r="F6" s="53">
        <f>Plantilla!Y6</f>
        <v>8.94999999999999929</v>
      </c>
      <c r="G6" s="53">
        <f>Plantilla!Z6</f>
        <v>8.94999999999999929</v>
      </c>
      <c r="H6" s="53">
        <f>Plantilla!AA6</f>
        <v>4.95000000000000018</v>
      </c>
      <c r="I6" s="53">
        <f>Plantilla!AB6</f>
        <v>4.95000000000000018</v>
      </c>
      <c r="J6" s="53">
        <f>Plantilla!AC6</f>
        <v>0</v>
      </c>
      <c r="K6" s="53">
        <f>Plantilla!AD6</f>
        <v>15</v>
      </c>
      <c r="L6" s="101"/>
      <c r="M6" s="101"/>
      <c r="N6" s="53"/>
      <c r="O6" s="52"/>
      <c r="P6" s="52"/>
      <c r="Q6" s="52"/>
      <c r="R6" s="52"/>
      <c r="S6" s="52"/>
      <c r="T6" s="52"/>
      <c r="U6" s="52"/>
      <c r="V6" s="52"/>
      <c r="W6" s="52"/>
      <c r="X6" s="121"/>
      <c r="Z6" t="s">
        <v>629</v>
      </c>
      <c r="AA6" t="s">
        <v>148</v>
      </c>
      <c r="AC6" t="s">
        <v>132</v>
      </c>
      <c r="AD6" t="s">
        <v>148</v>
      </c>
    </row>
    <row r="7" spans="1:30">
      <c r="A7" s="9" t="str">
        <f>Plantilla!A7</f>
        <v>#36</v>
      </c>
      <c r="B7" s="268" t="str">
        <f>Plantilla!D7</f>
        <v>F. Lasprilla</v>
      </c>
      <c r="C7" s="9">
        <f>Plantilla!E7</f>
        <v>35</v>
      </c>
      <c r="D7" s="469">
        <f>Plantilla!F7</f>
        <v>81</v>
      </c>
      <c r="E7" s="53">
        <f>Plantilla!X7</f>
        <v>0</v>
      </c>
      <c r="F7" s="53">
        <f>Plantilla!Y7</f>
        <v>8.94999999999999929</v>
      </c>
      <c r="G7" s="53">
        <f>Plantilla!Z7</f>
        <v>7.95000000000000018</v>
      </c>
      <c r="H7" s="53">
        <f>Plantilla!AA7</f>
        <v>4.95000000000000018</v>
      </c>
      <c r="I7" s="53">
        <f>Plantilla!AB7</f>
        <v>7.95000000000000018</v>
      </c>
      <c r="J7" s="53">
        <f>Plantilla!AC7</f>
        <v>0.95</v>
      </c>
      <c r="K7" s="53">
        <f>Plantilla!AD7</f>
        <v>14</v>
      </c>
      <c r="L7" s="101"/>
      <c r="M7" s="101"/>
      <c r="N7" s="53"/>
      <c r="O7" s="52"/>
      <c r="P7" s="52"/>
      <c r="Q7" s="52"/>
      <c r="R7" s="52"/>
      <c r="S7" s="52"/>
      <c r="T7" s="52"/>
      <c r="U7" s="52"/>
      <c r="V7" s="52"/>
      <c r="W7" s="52"/>
      <c r="X7" s="121"/>
      <c r="Z7" t="s">
        <v>473</v>
      </c>
      <c r="AA7" t="s">
        <v>155</v>
      </c>
      <c r="AC7" t="s">
        <v>634</v>
      </c>
      <c r="AD7" t="s">
        <v>214</v>
      </c>
    </row>
    <row r="8" spans="1:30">
      <c r="A8" s="9" t="str">
        <f>Plantilla!A8</f>
        <v>#31</v>
      </c>
      <c r="B8" s="268" t="str">
        <f>Plantilla!D8</f>
        <v>E. Romweber</v>
      </c>
      <c r="C8" s="9">
        <f>Plantilla!E8</f>
        <v>39</v>
      </c>
      <c r="D8" s="469">
        <f>Plantilla!F8</f>
        <v>35</v>
      </c>
      <c r="E8" s="53">
        <f>Plantilla!X8</f>
        <v>0</v>
      </c>
      <c r="F8" s="53">
        <f>Plantilla!Y8</f>
        <v>8.94999999999999929</v>
      </c>
      <c r="G8" s="53">
        <f>Plantilla!Z8</f>
        <v>8.94999999999999929</v>
      </c>
      <c r="H8" s="53">
        <f>Plantilla!AA8</f>
        <v>8.94999999999999929</v>
      </c>
      <c r="I8" s="53">
        <f>Plantilla!AB8</f>
        <v>6.95000000000000018</v>
      </c>
      <c r="J8" s="53">
        <f>Plantilla!AC8</f>
        <v>0.95</v>
      </c>
      <c r="K8" s="53">
        <f>Plantilla!AD8</f>
        <v>16</v>
      </c>
      <c r="L8" s="101"/>
      <c r="M8" s="101"/>
      <c r="N8" s="53"/>
      <c r="O8" s="52"/>
      <c r="P8" s="52"/>
      <c r="Q8" s="52"/>
      <c r="R8" s="52"/>
      <c r="S8" s="52"/>
      <c r="T8" s="52"/>
      <c r="U8" s="52"/>
      <c r="V8" s="52"/>
      <c r="W8" s="52"/>
      <c r="X8" s="121"/>
      <c r="Z8" t="s">
        <v>135</v>
      </c>
      <c r="AA8" t="s">
        <v>237</v>
      </c>
      <c r="AC8" t="s">
        <v>629</v>
      </c>
      <c r="AD8" t="s">
        <v>153</v>
      </c>
    </row>
    <row r="9" spans="1:30">
      <c r="A9" s="9" t="str">
        <f>Plantilla!A9</f>
        <v>#35</v>
      </c>
      <c r="B9" s="268" t="str">
        <f>Plantilla!D9</f>
        <v>S. Buschelman</v>
      </c>
      <c r="C9" s="9">
        <f>Plantilla!E9</f>
        <v>37</v>
      </c>
      <c r="D9" s="469">
        <f>Plantilla!F9</f>
        <v>106</v>
      </c>
      <c r="E9" s="53">
        <f>Plantilla!X9</f>
        <v>0</v>
      </c>
      <c r="F9" s="53">
        <f>Plantilla!Y9</f>
        <v>7.95000000000000018</v>
      </c>
      <c r="G9" s="53">
        <f>Plantilla!Z9</f>
        <v>11.9499999999999993</v>
      </c>
      <c r="H9" s="53">
        <f>Plantilla!AA9</f>
        <v>9.94999999999999929</v>
      </c>
      <c r="I9" s="53">
        <f>Plantilla!AB9</f>
        <v>6.95000000000000018</v>
      </c>
      <c r="J9" s="53">
        <f>Plantilla!AC9</f>
        <v>0.95</v>
      </c>
      <c r="K9" s="53">
        <f>Plantilla!AD9</f>
        <v>16</v>
      </c>
      <c r="L9" s="101"/>
      <c r="M9" s="101"/>
      <c r="N9" s="53"/>
      <c r="O9" s="52"/>
      <c r="P9" s="52"/>
      <c r="Q9" s="52"/>
      <c r="R9" s="52"/>
      <c r="S9" s="52"/>
      <c r="T9" s="52"/>
      <c r="U9" s="52"/>
      <c r="V9" s="52"/>
      <c r="W9" s="52"/>
      <c r="X9" s="121"/>
      <c r="Z9" t="s">
        <v>473</v>
      </c>
      <c r="AA9" t="s">
        <v>231</v>
      </c>
      <c r="AC9" t="s">
        <v>473</v>
      </c>
      <c r="AD9" t="s">
        <v>231</v>
      </c>
    </row>
    <row r="10" spans="1:30">
      <c r="A10" s="9" t="str">
        <f>Plantilla!A10</f>
        <v>#2</v>
      </c>
      <c r="B10" s="268" t="str">
        <f>Plantilla!D10</f>
        <v>L. Tutorić</v>
      </c>
      <c r="C10" s="9">
        <f>Plantilla!E10</f>
        <v>29</v>
      </c>
      <c r="D10" s="469">
        <f>Plantilla!F10</f>
        <v>16</v>
      </c>
      <c r="E10" s="53">
        <f>Plantilla!X10</f>
        <v>0</v>
      </c>
      <c r="F10" s="53">
        <f>Plantilla!Y10</f>
        <v>13</v>
      </c>
      <c r="G10" s="53">
        <f>Plantilla!Z10</f>
        <v>6</v>
      </c>
      <c r="H10" s="53">
        <f>Plantilla!AA10</f>
        <v>2</v>
      </c>
      <c r="I10" s="53">
        <f>Plantilla!AB10</f>
        <v>1</v>
      </c>
      <c r="J10" s="53">
        <f>Plantilla!AC10</f>
        <v>7</v>
      </c>
      <c r="K10" s="53">
        <f>Plantilla!AD10</f>
        <v>15.3333333333333002</v>
      </c>
      <c r="L10" s="101"/>
      <c r="M10" s="101"/>
      <c r="N10" s="53"/>
      <c r="O10" s="52"/>
      <c r="P10" s="52"/>
      <c r="Q10" s="52"/>
      <c r="R10" s="52"/>
      <c r="S10" s="52"/>
      <c r="T10" s="52"/>
      <c r="U10" s="52"/>
      <c r="V10" s="52"/>
      <c r="W10" s="52"/>
      <c r="X10" s="121"/>
      <c r="Z10" t="s">
        <v>476</v>
      </c>
      <c r="AA10" t="s">
        <v>153</v>
      </c>
      <c r="AC10" t="s">
        <v>473</v>
      </c>
      <c r="AD10" t="s">
        <v>155</v>
      </c>
    </row>
    <row r="11" spans="1:30">
      <c r="A11" s="9" t="str">
        <f>Plantilla!A11</f>
        <v>#2</v>
      </c>
      <c r="B11" s="268" t="str">
        <f>Plantilla!D11</f>
        <v>S. Swärdborn</v>
      </c>
      <c r="C11" s="9">
        <f>Plantilla!E11</f>
        <v>22</v>
      </c>
      <c r="D11" s="469">
        <f>Plantilla!F11</f>
        <v>18</v>
      </c>
      <c r="E11" s="53">
        <f>Plantilla!X11</f>
        <v>0</v>
      </c>
      <c r="F11" s="53">
        <f>Plantilla!Y11</f>
        <v>12</v>
      </c>
      <c r="G11" s="53">
        <f>Plantilla!Z11</f>
        <v>7</v>
      </c>
      <c r="H11" s="53">
        <f>Plantilla!AA11</f>
        <v>1</v>
      </c>
      <c r="I11" s="53">
        <f>Plantilla!AB11</f>
        <v>3</v>
      </c>
      <c r="J11" s="53">
        <f>Plantilla!AC11</f>
        <v>6</v>
      </c>
      <c r="K11" s="53">
        <f>Plantilla!AD11</f>
        <v>15.3333333333333002</v>
      </c>
      <c r="L11" s="101">
        <f>1/3</f>
        <v>0.333333333333332993</v>
      </c>
      <c r="M11" s="101">
        <f>L11*1.25</f>
        <v>0.416666666666665986</v>
      </c>
      <c r="N11" s="53"/>
      <c r="O11" s="52"/>
      <c r="P11" s="52"/>
      <c r="Q11" s="52"/>
      <c r="R11" s="52"/>
      <c r="S11" s="52"/>
      <c r="T11" s="52"/>
      <c r="U11" s="52"/>
      <c r="V11" s="52"/>
      <c r="W11" s="52"/>
      <c r="X11" s="121">
        <f>(1.66*(J11)+0.55*(K11+L11)-7.6)-(1.66*(J11)+0.55*(K11)-7.6)</f>
        <v>0.183333333333302022</v>
      </c>
      <c r="Z11" t="s">
        <v>476</v>
      </c>
      <c r="AA11" t="s">
        <v>238</v>
      </c>
      <c r="AC11" t="s">
        <v>476</v>
      </c>
      <c r="AD11" t="s">
        <v>238</v>
      </c>
    </row>
    <row r="12" spans="1:30">
      <c r="A12" s="9" t="str">
        <f>Plantilla!A12</f>
        <v>#19</v>
      </c>
      <c r="B12" s="268" t="str">
        <f>Plantilla!D12</f>
        <v>A. Grimaud</v>
      </c>
      <c r="C12" s="9">
        <f>Plantilla!E12</f>
        <v>22</v>
      </c>
      <c r="D12" s="469">
        <f>Plantilla!F12</f>
        <v>41</v>
      </c>
      <c r="E12" s="53">
        <f>Plantilla!X12</f>
        <v>0</v>
      </c>
      <c r="F12" s="53">
        <f>Plantilla!Y12</f>
        <v>12</v>
      </c>
      <c r="G12" s="53">
        <f>Plantilla!Z12</f>
        <v>7</v>
      </c>
      <c r="H12" s="53">
        <f>Plantilla!AA12</f>
        <v>3</v>
      </c>
      <c r="I12" s="53">
        <f>Plantilla!AB12</f>
        <v>3</v>
      </c>
      <c r="J12" s="53">
        <f>Plantilla!AC12</f>
        <v>5</v>
      </c>
      <c r="K12" s="53">
        <f>Plantilla!AD12</f>
        <v>14.3333333333333002</v>
      </c>
      <c r="L12" s="101">
        <f>1/2</f>
        <v>0.5</v>
      </c>
      <c r="M12" s="101">
        <f>L12*1.25</f>
        <v>0.625</v>
      </c>
      <c r="N12" s="53"/>
      <c r="O12" s="52"/>
      <c r="P12" s="52"/>
      <c r="Q12" s="52"/>
      <c r="R12" s="52"/>
      <c r="S12" s="52"/>
      <c r="T12" s="52"/>
      <c r="U12" s="52"/>
      <c r="V12" s="52"/>
      <c r="W12" s="52"/>
      <c r="X12" s="121">
        <f>(1.66*(J12)+0.55*(K12+L12)-7.6)-(1.66*(J12)+0.55*(K12)-7.6)</f>
        <v>0.275</v>
      </c>
      <c r="Z12" t="s">
        <v>21</v>
      </c>
      <c r="AA12" t="s">
        <v>234</v>
      </c>
      <c r="AC12" t="s">
        <v>476</v>
      </c>
      <c r="AD12" t="s">
        <v>186</v>
      </c>
    </row>
    <row r="13" spans="1:30">
      <c r="A13" s="9" t="str">
        <f>Plantilla!A13</f>
        <v>#22</v>
      </c>
      <c r="B13" s="268" t="str">
        <f>Plantilla!D13</f>
        <v>V. Gardner</v>
      </c>
      <c r="C13" s="9">
        <f>Plantilla!E13</f>
        <v>22</v>
      </c>
      <c r="D13" s="469">
        <f>Plantilla!F13</f>
        <v>30</v>
      </c>
      <c r="E13" s="53">
        <f>Plantilla!X13</f>
        <v>0</v>
      </c>
      <c r="F13" s="53">
        <f>Plantilla!Y13</f>
        <v>12</v>
      </c>
      <c r="G13" s="53">
        <f>Plantilla!Z13</f>
        <v>5</v>
      </c>
      <c r="H13" s="53">
        <f>Plantilla!AA13</f>
        <v>3</v>
      </c>
      <c r="I13" s="53">
        <f>Plantilla!AB13</f>
        <v>5</v>
      </c>
      <c r="J13" s="53">
        <f>Plantilla!AC13</f>
        <v>6</v>
      </c>
      <c r="K13" s="53">
        <f>Plantilla!AD13</f>
        <v>16</v>
      </c>
      <c r="L13" s="101">
        <f>1/3</f>
        <v>0.333333333333332993</v>
      </c>
      <c r="M13" s="101">
        <f>L13*1.25</f>
        <v>0.416666666666665986</v>
      </c>
      <c r="N13" s="53"/>
      <c r="O13" s="52"/>
      <c r="P13" s="52"/>
      <c r="Q13" s="52"/>
      <c r="R13" s="52"/>
      <c r="S13" s="52"/>
      <c r="T13" s="52"/>
      <c r="U13" s="52"/>
      <c r="V13" s="52"/>
      <c r="W13" s="52"/>
      <c r="X13" s="121">
        <f>(1.66*(J13)+0.55*(K13+L13)-7.6)-(1.66*(J13)+0.55*(K13)-7.6)</f>
        <v>0.183333333333300015</v>
      </c>
      <c r="Z13" t="s">
        <v>21</v>
      </c>
      <c r="AA13" t="s">
        <v>186</v>
      </c>
      <c r="AC13" t="s">
        <v>21</v>
      </c>
      <c r="AD13" t="s">
        <v>234</v>
      </c>
    </row>
    <row r="14" spans="1:24">
      <c r="A14" s="9" t="str">
        <f>Plantilla!A14</f>
        <v>#3</v>
      </c>
      <c r="B14" s="268" t="str">
        <f>Plantilla!D14</f>
        <v>S. Embe</v>
      </c>
      <c r="C14" s="9">
        <f>Plantilla!E14</f>
        <v>22</v>
      </c>
      <c r="D14" s="469">
        <f>Plantilla!F14</f>
        <v>86</v>
      </c>
      <c r="E14" s="53">
        <f>Plantilla!X14</f>
        <v>0</v>
      </c>
      <c r="F14" s="53">
        <f>Plantilla!Y14</f>
        <v>11</v>
      </c>
      <c r="G14" s="53">
        <f>Plantilla!Z14</f>
        <v>4</v>
      </c>
      <c r="H14" s="53">
        <f>Plantilla!AA14</f>
        <v>1</v>
      </c>
      <c r="I14" s="53">
        <f>Plantilla!AB14</f>
        <v>5</v>
      </c>
      <c r="J14" s="53">
        <f>Plantilla!AC14</f>
        <v>6</v>
      </c>
      <c r="K14" s="53">
        <f>Plantilla!AD14</f>
        <v>17.3333333333333002</v>
      </c>
      <c r="L14" s="101">
        <f>1/4</f>
        <v>0.25</v>
      </c>
      <c r="M14" s="101">
        <f>L14*1.25</f>
        <v>0.3125</v>
      </c>
      <c r="N14" s="53"/>
      <c r="O14" s="52"/>
      <c r="P14" s="52"/>
      <c r="Q14" s="52"/>
      <c r="R14" s="52"/>
      <c r="S14" s="52"/>
      <c r="T14" s="52"/>
      <c r="U14" s="52"/>
      <c r="V14" s="52"/>
      <c r="W14" s="52"/>
      <c r="X14" s="121">
        <f>(1.66*(J14)+0.55*(K14+L14)-7.6)-(1.66*(J14)+0.55*(K14)-7.6)</f>
        <v>0.137499999999999023</v>
      </c>
    </row>
    <row r="15" spans="1:24">
      <c r="A15" s="9" t="str">
        <f>Plantilla!A15</f>
        <v>#4</v>
      </c>
      <c r="B15" s="268" t="str">
        <f>Plantilla!D15</f>
        <v>E. Deus</v>
      </c>
      <c r="C15" s="9">
        <f>Plantilla!E15</f>
        <v>21</v>
      </c>
      <c r="D15" s="469">
        <f>Plantilla!F15</f>
        <v>69</v>
      </c>
      <c r="E15" s="53">
        <f>Plantilla!X15</f>
        <v>0</v>
      </c>
      <c r="F15" s="53">
        <f>Plantilla!Y15</f>
        <v>11</v>
      </c>
      <c r="G15" s="53">
        <f>Plantilla!Z15</f>
        <v>7</v>
      </c>
      <c r="H15" s="53">
        <f>Plantilla!AA15</f>
        <v>1</v>
      </c>
      <c r="I15" s="53">
        <f>Plantilla!AB15</f>
        <v>6</v>
      </c>
      <c r="J15" s="53">
        <f>Plantilla!AC15</f>
        <v>5</v>
      </c>
      <c r="K15" s="53">
        <f>Plantilla!AD15</f>
        <v>15.3333333333333002</v>
      </c>
      <c r="L15" s="101">
        <f>1/3</f>
        <v>0.333333333333332993</v>
      </c>
      <c r="M15" s="101">
        <f>L15*1.25</f>
        <v>0.416666666666665986</v>
      </c>
      <c r="N15" s="53"/>
      <c r="O15" s="52"/>
      <c r="P15" s="52"/>
      <c r="Q15" s="52"/>
      <c r="R15" s="52"/>
      <c r="S15" s="52"/>
      <c r="T15" s="52"/>
      <c r="U15" s="52"/>
      <c r="V15" s="52"/>
      <c r="W15" s="52"/>
      <c r="X15" s="121">
        <f>(1.66*(J15)+0.55*(K15+L15)-7.6)-(1.66*(J15)+0.55*(K15)-7.6)</f>
        <v>0.183333333333300015</v>
      </c>
    </row>
    <row r="16" spans="1:24">
      <c r="A16" s="9" t="str">
        <f>Plantilla!A16</f>
        <v>#16</v>
      </c>
      <c r="B16" s="268" t="str">
        <f>Plantilla!D16</f>
        <v>I. Vanags</v>
      </c>
      <c r="C16" s="9">
        <f>Plantilla!E16</f>
        <v>22</v>
      </c>
      <c r="D16" s="469">
        <f>Plantilla!F16</f>
        <v>17</v>
      </c>
      <c r="E16" s="53">
        <f>Plantilla!X16</f>
        <v>0</v>
      </c>
      <c r="F16" s="53">
        <f>Plantilla!Y16</f>
        <v>4</v>
      </c>
      <c r="G16" s="53">
        <f>Plantilla!Z16</f>
        <v>13</v>
      </c>
      <c r="H16" s="53">
        <f>Plantilla!AA16</f>
        <v>3</v>
      </c>
      <c r="I16" s="53">
        <f>Plantilla!AB16</f>
        <v>4</v>
      </c>
      <c r="J16" s="53">
        <f>Plantilla!AC16</f>
        <v>7</v>
      </c>
      <c r="K16" s="53">
        <f>Plantilla!AD16</f>
        <v>16.3333333333333002</v>
      </c>
      <c r="L16" s="101">
        <f>1/3</f>
        <v>0.333333333333332993</v>
      </c>
      <c r="M16" s="101">
        <f>L16*1.25</f>
        <v>0.416666666666665986</v>
      </c>
      <c r="N16" s="53"/>
      <c r="O16" s="52"/>
      <c r="P16" s="52"/>
      <c r="Q16" s="52"/>
      <c r="R16" s="52"/>
      <c r="S16" s="52"/>
      <c r="T16" s="52"/>
      <c r="U16" s="52"/>
      <c r="V16" s="52"/>
      <c r="W16" s="52"/>
      <c r="X16" s="121">
        <f>(1.66*(J16)+0.55*(K16+L16)-7.6)-(1.66*(J16)+0.55*(K16)-7.6)</f>
        <v>0.183333333333300015</v>
      </c>
    </row>
    <row r="17" spans="1:24">
      <c r="A17" s="9" t="str">
        <f>Plantilla!A17</f>
        <v>#8</v>
      </c>
      <c r="B17" s="268" t="str">
        <f>Plantilla!D17</f>
        <v>I. Stone</v>
      </c>
      <c r="C17" s="9">
        <f>Plantilla!E17</f>
        <v>21</v>
      </c>
      <c r="D17" s="469">
        <f>Plantilla!F17</f>
        <v>72</v>
      </c>
      <c r="E17" s="53">
        <f>Plantilla!X17</f>
        <v>0</v>
      </c>
      <c r="F17" s="53">
        <f>Plantilla!Y17</f>
        <v>3</v>
      </c>
      <c r="G17" s="53">
        <f>Plantilla!Z17</f>
        <v>12</v>
      </c>
      <c r="H17" s="53">
        <f>Plantilla!AA17</f>
        <v>2</v>
      </c>
      <c r="I17" s="53">
        <f>Plantilla!AB17</f>
        <v>6</v>
      </c>
      <c r="J17" s="53">
        <f>Plantilla!AC17</f>
        <v>9</v>
      </c>
      <c r="K17" s="53">
        <f>Plantilla!AD17</f>
        <v>15.3333333333333002</v>
      </c>
      <c r="L17" s="101">
        <f>1/3</f>
        <v>0.333333333333332993</v>
      </c>
      <c r="M17" s="101">
        <f>L17*1.25</f>
        <v>0.416666666666665986</v>
      </c>
      <c r="N17" s="53"/>
      <c r="O17" s="52"/>
      <c r="P17" s="52"/>
      <c r="Q17" s="52"/>
      <c r="R17" s="52"/>
      <c r="S17" s="52"/>
      <c r="T17" s="52"/>
      <c r="U17" s="52"/>
      <c r="V17" s="52"/>
      <c r="W17" s="52"/>
      <c r="X17" s="121">
        <f>(1.66*(J17)+0.55*(K17+L17)-7.6)-(1.66*(J17)+0.55*(K17)-7.6)</f>
        <v>0.183333333333300015</v>
      </c>
    </row>
    <row r="18" spans="1:24">
      <c r="A18" s="9" t="str">
        <f>Plantilla!A18</f>
        <v>#14</v>
      </c>
      <c r="B18" s="268" t="str">
        <f>Plantilla!D18</f>
        <v>G. Piscaer</v>
      </c>
      <c r="C18" s="9">
        <f>Plantilla!E18</f>
        <v>22</v>
      </c>
      <c r="D18" s="469">
        <f>Plantilla!F18</f>
        <v>33</v>
      </c>
      <c r="E18" s="53">
        <f>Plantilla!X18</f>
        <v>0</v>
      </c>
      <c r="F18" s="53">
        <f>Plantilla!Y18</f>
        <v>4</v>
      </c>
      <c r="G18" s="53">
        <f>Plantilla!Z18</f>
        <v>13</v>
      </c>
      <c r="H18" s="53">
        <f>Plantilla!AA18</f>
        <v>3</v>
      </c>
      <c r="I18" s="53">
        <f>Plantilla!AB18</f>
        <v>2</v>
      </c>
      <c r="J18" s="53">
        <f>Plantilla!AC18</f>
        <v>8</v>
      </c>
      <c r="K18" s="53">
        <f>Plantilla!AD18</f>
        <v>14.3333333333333002</v>
      </c>
      <c r="L18" s="101">
        <f>1/2</f>
        <v>0.5</v>
      </c>
      <c r="M18" s="101">
        <f>L18*1.25</f>
        <v>0.625</v>
      </c>
      <c r="N18" s="53"/>
      <c r="O18" s="52"/>
      <c r="P18" s="52"/>
      <c r="Q18" s="52"/>
      <c r="R18" s="52"/>
      <c r="S18" s="52"/>
      <c r="T18" s="52"/>
      <c r="U18" s="52"/>
      <c r="V18" s="52"/>
      <c r="W18" s="52"/>
      <c r="X18" s="121">
        <f>(1.66*(J18)+0.55*(K18+L18)-7.6)-(1.66*(J18)+0.55*(K18)-7.6)</f>
        <v>0.274999999999999023</v>
      </c>
    </row>
    <row r="19" spans="1:24">
      <c r="A19" s="9" t="str">
        <f>Plantilla!A19</f>
        <v>#9</v>
      </c>
      <c r="B19" s="268" t="str">
        <f>Plantilla!D19</f>
        <v>M. Bondarewski</v>
      </c>
      <c r="C19" s="9">
        <f>Plantilla!E19</f>
        <v>22</v>
      </c>
      <c r="D19" s="469">
        <f>Plantilla!F19</f>
        <v>33</v>
      </c>
      <c r="E19" s="53">
        <f>Plantilla!X19</f>
        <v>0</v>
      </c>
      <c r="F19" s="53">
        <f>Plantilla!Y19</f>
        <v>2</v>
      </c>
      <c r="G19" s="53">
        <f>Plantilla!Z19</f>
        <v>13</v>
      </c>
      <c r="H19" s="53">
        <f>Plantilla!AA19</f>
        <v>5</v>
      </c>
      <c r="I19" s="53">
        <f>Plantilla!AB19</f>
        <v>4</v>
      </c>
      <c r="J19" s="53">
        <f>Plantilla!AC19</f>
        <v>8</v>
      </c>
      <c r="K19" s="53">
        <f>Plantilla!AD19</f>
        <v>17</v>
      </c>
      <c r="L19" s="101">
        <f>1/3</f>
        <v>0.333333333333332993</v>
      </c>
      <c r="M19" s="101">
        <f>L19*1.25</f>
        <v>0.416666666666665986</v>
      </c>
      <c r="N19" s="53"/>
      <c r="O19" s="52"/>
      <c r="P19" s="52"/>
      <c r="Q19" s="52"/>
      <c r="R19" s="52"/>
      <c r="S19" s="52"/>
      <c r="T19" s="52"/>
      <c r="U19" s="52"/>
      <c r="V19" s="52"/>
      <c r="W19" s="52"/>
      <c r="X19" s="121">
        <f>(1.66*(J19)+0.55*(K19+L19)-7.6)-(1.66*(J19)+0.55*(K19)-7.6)</f>
        <v>0.183333333333300015</v>
      </c>
    </row>
    <row r="20" spans="1:24">
      <c r="A20" s="9" t="str">
        <f>Plantilla!A20</f>
        <v>#12</v>
      </c>
      <c r="B20" s="268" t="str">
        <f>Plantilla!D20</f>
        <v>P. Tuderek</v>
      </c>
      <c r="C20" s="9">
        <f>Plantilla!E20</f>
        <v>22</v>
      </c>
      <c r="D20" s="469">
        <f>Plantilla!F20</f>
        <v>19</v>
      </c>
      <c r="E20" s="53">
        <f>Plantilla!X20</f>
        <v>0</v>
      </c>
      <c r="F20" s="53">
        <f>Plantilla!Y20</f>
        <v>6</v>
      </c>
      <c r="G20" s="53">
        <f>Plantilla!Z20</f>
        <v>12</v>
      </c>
      <c r="H20" s="53">
        <f>Plantilla!AA20</f>
        <v>2</v>
      </c>
      <c r="I20" s="53">
        <f>Plantilla!AB20</f>
        <v>3</v>
      </c>
      <c r="J20" s="53">
        <f>Plantilla!AC20</f>
        <v>6</v>
      </c>
      <c r="K20" s="53">
        <f>Plantilla!AD20</f>
        <v>17.25</v>
      </c>
      <c r="L20" s="101">
        <f>1/4</f>
        <v>0.25</v>
      </c>
      <c r="M20" s="101">
        <f>L20*1.25</f>
        <v>0.3125</v>
      </c>
      <c r="N20" s="53"/>
      <c r="O20" s="52"/>
      <c r="P20" s="52"/>
      <c r="Q20" s="52"/>
      <c r="R20" s="52"/>
      <c r="S20" s="52"/>
      <c r="T20" s="52"/>
      <c r="U20" s="52"/>
      <c r="V20" s="52"/>
      <c r="W20" s="52"/>
      <c r="X20" s="121">
        <f>(1.66*(J20)+0.55*(K20+L20)-7.6)-(1.66*(J20)+0.55*(K20)-7.6)</f>
        <v>0.137499999999999023</v>
      </c>
    </row>
    <row r="21" spans="1:24">
      <c r="A21" s="9" t="str">
        <f>Plantilla!A21</f>
        <v>#10</v>
      </c>
      <c r="B21" s="268" t="str">
        <f>Plantilla!D21</f>
        <v>R. Forsyth</v>
      </c>
      <c r="C21" s="9">
        <f>Plantilla!E21</f>
        <v>22</v>
      </c>
      <c r="D21" s="469">
        <f>Plantilla!F21</f>
        <v>74</v>
      </c>
      <c r="E21" s="53">
        <f>Plantilla!X21</f>
        <v>0</v>
      </c>
      <c r="F21" s="53">
        <f>Plantilla!Y21</f>
        <v>7</v>
      </c>
      <c r="G21" s="53">
        <f>Plantilla!Z21</f>
        <v>13</v>
      </c>
      <c r="H21" s="53">
        <f>Plantilla!AA21</f>
        <v>3</v>
      </c>
      <c r="I21" s="53">
        <f>Plantilla!AB21</f>
        <v>4</v>
      </c>
      <c r="J21" s="53">
        <f>Plantilla!AC21</f>
        <v>6</v>
      </c>
      <c r="K21" s="53">
        <f>Plantilla!AD21</f>
        <v>15</v>
      </c>
      <c r="L21" s="101">
        <f>1/2</f>
        <v>0.5</v>
      </c>
      <c r="M21" s="101">
        <f>L21*1.25</f>
        <v>0.625</v>
      </c>
      <c r="N21" s="53"/>
      <c r="O21" s="52"/>
      <c r="P21" s="52"/>
      <c r="Q21" s="52"/>
      <c r="R21" s="52"/>
      <c r="S21" s="52"/>
      <c r="T21" s="52"/>
      <c r="U21" s="52"/>
      <c r="V21" s="52"/>
      <c r="W21" s="52"/>
      <c r="X21" s="121">
        <f>(1.66*(J21)+0.55*(K21+L21)-7.6)-(1.66*(J21)+0.55*(K21)-7.6)</f>
        <v>0.275</v>
      </c>
    </row>
    <row r="22" spans="1:24">
      <c r="A22" s="9" t="str">
        <f>Plantilla!A22</f>
        <v>#11</v>
      </c>
      <c r="B22" s="268" t="str">
        <f>Plantilla!D22</f>
        <v>J-P. Kechele</v>
      </c>
      <c r="C22" s="9">
        <f>Plantilla!E22</f>
        <v>29</v>
      </c>
      <c r="D22" s="469">
        <f>Plantilla!F22</f>
        <v>107</v>
      </c>
      <c r="E22" s="53">
        <f>Plantilla!X22</f>
        <v>0</v>
      </c>
      <c r="F22" s="53">
        <f>Plantilla!Y22</f>
        <v>4</v>
      </c>
      <c r="G22" s="53">
        <f>Plantilla!Z22</f>
        <v>14</v>
      </c>
      <c r="H22" s="53">
        <f>Plantilla!AA22</f>
        <v>4</v>
      </c>
      <c r="I22" s="53">
        <f>Plantilla!AB22</f>
        <v>9</v>
      </c>
      <c r="J22" s="53">
        <f>Plantilla!AC22</f>
        <v>8</v>
      </c>
      <c r="K22" s="53">
        <f>Plantilla!AD22</f>
        <v>19.25</v>
      </c>
      <c r="L22" s="101"/>
      <c r="M22" s="101"/>
      <c r="N22" s="53"/>
      <c r="O22" s="52"/>
      <c r="P22" s="52"/>
      <c r="Q22" s="52"/>
      <c r="R22" s="52"/>
      <c r="S22" s="52"/>
      <c r="T22" s="52"/>
      <c r="U22" s="52"/>
      <c r="V22" s="52"/>
      <c r="W22" s="52"/>
      <c r="X22" s="121"/>
    </row>
    <row r="23" spans="1:24">
      <c r="A23" s="9" t="str">
        <f>Plantilla!A23</f>
        <v>#29</v>
      </c>
      <c r="B23" s="268" t="str">
        <f>Plantilla!D23</f>
        <v>S. Zobbe</v>
      </c>
      <c r="C23" s="9">
        <f>Plantilla!E23</f>
        <v>35</v>
      </c>
      <c r="D23" s="469">
        <f>Plantilla!F23</f>
        <v>109</v>
      </c>
      <c r="E23" s="53">
        <f>Plantilla!X23</f>
        <v>0</v>
      </c>
      <c r="F23" s="53">
        <f>Plantilla!Y23</f>
        <v>7.95000000000000018</v>
      </c>
      <c r="G23" s="53">
        <f>Plantilla!Z23</f>
        <v>11.9499999999999993</v>
      </c>
      <c r="H23" s="53">
        <f>Plantilla!AA23</f>
        <v>11.9499999999999993</v>
      </c>
      <c r="I23" s="53">
        <f>Plantilla!AB23</f>
        <v>9.94999999999999929</v>
      </c>
      <c r="J23" s="53">
        <f>Plantilla!AC23</f>
        <v>4.95000000000000018</v>
      </c>
      <c r="K23" s="53">
        <f>Plantilla!AD23</f>
        <v>18</v>
      </c>
      <c r="L23" s="101"/>
      <c r="M23" s="101"/>
      <c r="N23" s="53"/>
      <c r="O23" s="52"/>
      <c r="P23" s="52"/>
      <c r="Q23" s="52"/>
      <c r="R23" s="52"/>
      <c r="S23" s="52"/>
      <c r="T23" s="52"/>
      <c r="U23" s="52"/>
      <c r="V23" s="52"/>
      <c r="W23" s="52"/>
      <c r="X23" s="121"/>
    </row>
    <row r="24" spans="1:23">
      <c r="A24" s="9" t="str">
        <f>Plantilla!A24</f>
        <v>#28</v>
      </c>
      <c r="B24" s="268" t="str">
        <f>Plantilla!D24</f>
        <v>P .Trivadi</v>
      </c>
      <c r="C24" s="9">
        <f>Plantilla!E24</f>
        <v>35</v>
      </c>
      <c r="D24" s="469">
        <f>Plantilla!F24</f>
        <v>65</v>
      </c>
      <c r="E24" s="53">
        <f>Plantilla!X24</f>
        <v>0</v>
      </c>
      <c r="F24" s="53">
        <f>Plantilla!Y24</f>
        <v>3.95000000000000018</v>
      </c>
      <c r="G24" s="53">
        <f>Plantilla!Z24</f>
        <v>5.95000000000000018</v>
      </c>
      <c r="H24" s="53">
        <f>Plantilla!AA24</f>
        <v>4.95000000000000018</v>
      </c>
      <c r="I24" s="53">
        <f>Plantilla!AB24</f>
        <v>9.94999999999999929</v>
      </c>
      <c r="J24" s="53">
        <f>Plantilla!AC24</f>
        <v>6.95000000000000018</v>
      </c>
      <c r="K24" s="53">
        <f>Plantilla!AD24</f>
        <v>15</v>
      </c>
      <c r="O24"/>
      <c r="S24" s="52"/>
      <c r="T24" s="52"/>
      <c r="U24" s="52"/>
      <c r="V24" s="52"/>
      <c r="W24" s="52"/>
    </row>
    <row r="25" spans="1:23">
      <c r="A25" s="9">
        <f>Plantilla!A25</f>
        <v>0</v>
      </c>
      <c r="B25" s="268">
        <f>Plantilla!D25</f>
        <v>0</v>
      </c>
      <c r="C25" s="9">
        <f>Plantilla!E25</f>
        <v>0</v>
      </c>
      <c r="D25" s="469">
        <f>Plantilla!F25</f>
        <v>0</v>
      </c>
      <c r="E25" s="53">
        <f>Plantilla!X25</f>
        <v>0</v>
      </c>
      <c r="F25" s="53">
        <f>Plantilla!Y25</f>
        <v>0</v>
      </c>
      <c r="G25" s="53">
        <f>Plantilla!Z25</f>
        <v>0</v>
      </c>
      <c r="H25" s="53">
        <f>Plantilla!AA25</f>
        <v>0</v>
      </c>
      <c r="I25" s="53">
        <f>Plantilla!AB25</f>
        <v>0</v>
      </c>
      <c r="J25" s="53">
        <f>Plantilla!AC25</f>
        <v>0</v>
      </c>
      <c r="K25" s="53">
        <f>Plantilla!AD25</f>
        <v>0</v>
      </c>
      <c r="O25"/>
      <c r="S25" s="52"/>
      <c r="T25" s="52"/>
      <c r="U25" s="52"/>
      <c r="V25" s="52"/>
      <c r="W25" s="52"/>
    </row>
    <row r="26" spans="1:23">
      <c r="A26" s="9">
        <f>Plantilla!A26</f>
        <v>0</v>
      </c>
      <c r="B26" s="268">
        <f>Plantilla!D26</f>
        <v>0</v>
      </c>
      <c r="C26" s="9">
        <f>Plantilla!E26</f>
        <v>0</v>
      </c>
      <c r="D26" s="469">
        <f>Plantilla!F26</f>
        <v>0</v>
      </c>
      <c r="E26" s="53">
        <f>Plantilla!X26</f>
        <v>0</v>
      </c>
      <c r="F26" s="53">
        <f>Plantilla!Y26</f>
        <v>0</v>
      </c>
      <c r="G26" s="53">
        <f>Plantilla!Z26</f>
        <v>0</v>
      </c>
      <c r="H26" s="53">
        <f>Plantilla!AA26</f>
        <v>0</v>
      </c>
      <c r="I26" s="53">
        <f>Plantilla!AB26</f>
        <v>0</v>
      </c>
      <c r="J26" s="53">
        <f>Plantilla!AC26</f>
        <v>0</v>
      </c>
      <c r="K26" s="53">
        <f>Plantilla!AD26</f>
        <v>0</v>
      </c>
      <c r="O26"/>
      <c r="S26" s="52"/>
      <c r="T26" s="52"/>
      <c r="U26" s="52"/>
      <c r="V26" s="52"/>
      <c r="W26" s="52"/>
    </row>
    <row r="27" spans="1:23">
      <c r="A27" s="9">
        <f>Plantilla!A27</f>
        <v>0</v>
      </c>
      <c r="B27" s="268">
        <f>Plantilla!D27</f>
        <v>0</v>
      </c>
      <c r="C27" s="9">
        <f>Plantilla!E27</f>
        <v>0</v>
      </c>
      <c r="D27" s="469">
        <f>Plantilla!F27</f>
        <v>0</v>
      </c>
      <c r="E27" s="53">
        <f>Plantilla!X27</f>
        <v>0</v>
      </c>
      <c r="F27" s="53">
        <f>Plantilla!Y27</f>
        <v>0</v>
      </c>
      <c r="G27" s="53">
        <f>Plantilla!Z27</f>
        <v>0</v>
      </c>
      <c r="H27" s="53">
        <f>Plantilla!AA27</f>
        <v>0</v>
      </c>
      <c r="I27" s="53">
        <f>Plantilla!AB27</f>
        <v>0</v>
      </c>
      <c r="J27" s="53">
        <f>Plantilla!AC27</f>
        <v>0</v>
      </c>
      <c r="K27" s="53">
        <f>Plantilla!AD27</f>
        <v>0</v>
      </c>
      <c r="O27"/>
      <c r="S27" s="52"/>
      <c r="T27" s="52"/>
      <c r="U27" s="52"/>
      <c r="V27" s="52"/>
      <c r="W27" s="52"/>
    </row>
  </sheetData>
  <conditionalFormatting sqref="L14">
    <cfRule type="colorScale" priority="1">
      <colorScale>
        <cfvo type="min"/>
        <cfvo type="max"/>
        <color rgb="FFFFEF9C"/>
        <color rgb="FF63BE7B"/>
      </colorScale>
    </cfRule>
  </conditionalFormatting>
  <conditionalFormatting sqref="L19">
    <cfRule type="colorScale" priority="2">
      <colorScale>
        <cfvo type="min"/>
        <cfvo type="max"/>
        <color rgb="FFFFEF9C"/>
        <color rgb="FF63BE7B"/>
      </colorScale>
    </cfRule>
  </conditionalFormatting>
  <conditionalFormatting sqref="L16">
    <cfRule type="colorScale" priority="3">
      <colorScale>
        <cfvo type="min"/>
        <cfvo type="max"/>
        <color rgb="FFFFEF9C"/>
        <color rgb="FF63BE7B"/>
      </colorScale>
    </cfRule>
  </conditionalFormatting>
  <conditionalFormatting sqref="L12">
    <cfRule type="colorScale" priority="4">
      <colorScale>
        <cfvo type="min"/>
        <cfvo type="max"/>
        <color rgb="FFFFEF9C"/>
        <color rgb="FF63BE7B"/>
      </colorScale>
    </cfRule>
  </conditionalFormatting>
  <conditionalFormatting sqref="L21">
    <cfRule type="colorScale" priority="5">
      <colorScale>
        <cfvo type="min"/>
        <cfvo type="max"/>
        <color rgb="FFFFEF9C"/>
        <color rgb="FF63BE7B"/>
      </colorScale>
    </cfRule>
  </conditionalFormatting>
  <conditionalFormatting sqref="L11">
    <cfRule type="colorScale" priority="6">
      <colorScale>
        <cfvo type="min"/>
        <cfvo type="max"/>
        <color rgb="FFFFEF9C"/>
        <color rgb="FF63BE7B"/>
      </colorScale>
    </cfRule>
  </conditionalFormatting>
  <conditionalFormatting sqref="L13">
    <cfRule type="colorScale" priority="7">
      <colorScale>
        <cfvo type="min"/>
        <cfvo type="max"/>
        <color rgb="FFFFEF9C"/>
        <color rgb="FF63BE7B"/>
      </colorScale>
    </cfRule>
  </conditionalFormatting>
  <conditionalFormatting sqref="L15">
    <cfRule type="colorScale" priority="8">
      <colorScale>
        <cfvo type="min"/>
        <cfvo type="max"/>
        <color rgb="FFFFEF9C"/>
        <color rgb="FF63BE7B"/>
      </colorScale>
    </cfRule>
  </conditionalFormatting>
  <conditionalFormatting sqref="L4:L10 M4:W23 L17:L18 L20 L22:L23 S24:W27">
    <cfRule type="colorScale" priority="9">
      <colorScale>
        <cfvo type="min"/>
        <cfvo type="max"/>
        <color rgb="FFFFEF9C"/>
        <color rgb="FF63BE7B"/>
      </colorScale>
    </cfRule>
  </conditionalFormatting>
  <conditionalFormatting sqref="E4:K27">
    <cfRule type="colorScale" priority="10">
      <colorScale>
        <cfvo type="min"/>
        <cfvo type="max"/>
        <color rgb="FFFCFCFF"/>
        <color rgb="FFF8696B"/>
      </colorScale>
    </cfRule>
  </conditionalFormatting>
  <conditionalFormatting sqref="X4:X27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{27D1F968-9F83-CDA8-15FF-2A5E9FC55819}</x14:id>
        </ext>
      </extLst>
    </cfRule>
  </conditionalFormatting>
  <printOptions>
    <extLst>
      <ext uri="smNativeData">
        <pm:pageFlags xmlns:pm="smNativeData" id="1595601780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601780" l="56" r="56" t="56" b="56" borderId="0" fillId="0" vertical="0"/>
        <pm:footer xmlns:pm="smNativeData" id="1595601780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7D1F968-9F83-CDA8-15FF-2A5E9FC5581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X4:X27</xm:sqref>
        </x14:conditionalFormatting>
      </x14:conditionalFormattings>
    </ext>
    <ext uri="smNativeData">
      <pm:sheetPrefs xmlns:pm="smNativeData" day="1595601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C2D69A"/>
  </sheetPr>
  <dimension ref="A1:AD47"/>
  <sheetViews>
    <sheetView view="normal" zoomScale="80" workbookViewId="0">
      <selection activeCell="F24" sqref="F24"/>
    </sheetView>
  </sheetViews>
  <sheetFormatPr baseColWidth="10" defaultColWidth="11.428571" defaultRowHeight="15.40"/>
  <cols>
    <col min="1" max="1" width="31.000000" customWidth="1"/>
    <col min="2" max="2" width="15.571429" customWidth="1"/>
    <col min="3" max="6" width="13.857143" customWidth="1"/>
    <col min="7" max="7" width="15.142857" customWidth="1"/>
    <col min="8" max="12" width="13.857143" customWidth="1"/>
    <col min="13" max="13" width="17.285714" customWidth="1"/>
    <col min="14" max="16" width="13.857143" customWidth="1"/>
    <col min="17" max="17" width="12.857143" customWidth="1"/>
    <col min="18" max="19" width="13.857143" customWidth="1"/>
    <col min="20" max="30" width="12.857143" customWidth="1"/>
  </cols>
  <sheetData>
    <row r="1" spans="13:30">
      <c r="M1" s="12" t="s">
        <v>651</v>
      </c>
      <c r="N1" s="12" t="s">
        <v>652</v>
      </c>
      <c r="O1" s="12" t="s">
        <v>653</v>
      </c>
      <c r="P1" s="12" t="s">
        <v>654</v>
      </c>
      <c r="Q1" s="12" t="s">
        <v>655</v>
      </c>
      <c r="R1" s="12" t="s">
        <v>656</v>
      </c>
      <c r="S1" s="12" t="s">
        <v>657</v>
      </c>
      <c r="T1"/>
      <c r="U1"/>
      <c r="V1"/>
      <c r="W1"/>
      <c r="X1"/>
      <c r="Y1"/>
      <c r="Z1"/>
      <c r="AA1"/>
      <c r="AB1"/>
      <c r="AC1"/>
      <c r="AD1"/>
    </row>
    <row r="2" spans="3:30">
      <c r="C2" s="13" t="s">
        <v>658</v>
      </c>
      <c r="D2" s="504" t="s">
        <v>659</v>
      </c>
      <c r="E2" s="504"/>
      <c r="F2" s="505" t="s">
        <v>660</v>
      </c>
      <c r="G2" s="505"/>
      <c r="H2" s="506" t="s">
        <v>661</v>
      </c>
      <c r="I2" s="506"/>
      <c r="K2" t="s">
        <v>662</v>
      </c>
      <c r="M2" s="14" t="n">
        <v>11</v>
      </c>
      <c r="N2" s="15" t="n">
        <v>14.9800000000000004</v>
      </c>
      <c r="O2" s="15" t="n">
        <v>5.95000000000000018</v>
      </c>
      <c r="P2" s="15" t="n">
        <v>5.49000000000000021</v>
      </c>
      <c r="Q2" s="15" t="n">
        <v>0.68000000000000016</v>
      </c>
      <c r="R2" s="16" t="n">
        <v>27.0899999999999999</v>
      </c>
      <c r="S2"/>
      <c r="T2"/>
      <c r="U2"/>
      <c r="V2"/>
      <c r="W2"/>
      <c r="X2"/>
      <c r="Y2"/>
      <c r="Z2"/>
      <c r="AA2"/>
      <c r="AB2"/>
      <c r="AC2"/>
      <c r="AD2"/>
    </row>
    <row r="3" spans="1:30">
      <c r="A3" s="17" t="s">
        <v>663</v>
      </c>
      <c r="B3" s="18">
        <f>B4+B5+B6+B7</f>
        <v>71304</v>
      </c>
      <c r="C3" s="19">
        <f>C4+C5+C6+C7</f>
        <v>71472.679999999993</v>
      </c>
      <c r="D3" s="9" t="s">
        <v>664</v>
      </c>
      <c r="E3" s="9" t="s">
        <v>665</v>
      </c>
      <c r="F3" s="9" t="s">
        <v>664</v>
      </c>
      <c r="G3" s="9" t="s">
        <v>666</v>
      </c>
      <c r="H3" s="9" t="s">
        <v>664</v>
      </c>
      <c r="I3" s="10" t="s">
        <v>667</v>
      </c>
      <c r="J3" s="9" t="s">
        <v>668</v>
      </c>
      <c r="K3" s="11" t="n">
        <v>14480</v>
      </c>
      <c r="M3" s="14" t="n">
        <v>10</v>
      </c>
      <c r="N3" s="20" t="n">
        <v>14.2300000000000004</v>
      </c>
      <c r="O3" s="20" t="n">
        <v>5.58999999999999986</v>
      </c>
      <c r="P3" s="20" t="n">
        <v>5.07000000000000028</v>
      </c>
      <c r="Q3" s="20" t="n">
        <v>0.620000000000000018</v>
      </c>
      <c r="R3" s="21" t="n">
        <v>25.5199999999999996</v>
      </c>
      <c r="S3"/>
      <c r="T3"/>
      <c r="U3"/>
      <c r="V3"/>
      <c r="W3"/>
      <c r="X3"/>
      <c r="Y3"/>
      <c r="Z3"/>
      <c r="AA3"/>
      <c r="AB3"/>
      <c r="AC3"/>
      <c r="AD3"/>
    </row>
    <row r="4" spans="1:30">
      <c r="A4" s="17" t="s">
        <v>669</v>
      </c>
      <c r="B4" s="18" t="n">
        <v>40146</v>
      </c>
      <c r="C4" s="73" t="n">
        <v>40240.6699999999983</v>
      </c>
      <c r="D4" s="22" t="n">
        <v>45</v>
      </c>
      <c r="E4" s="9">
        <f>D4*(C4-B4)</f>
        <v>4260.1499999999196</v>
      </c>
      <c r="F4" s="23" t="n">
        <v>0.5</v>
      </c>
      <c r="G4" s="9">
        <f>(C4-B4)*F4</f>
        <v>47.3349999999991979</v>
      </c>
      <c r="H4" s="23" t="n">
        <v>7</v>
      </c>
      <c r="I4" s="10">
        <f>(C4-B4)*H4</f>
        <v>662.689999999988004</v>
      </c>
      <c r="J4" s="9">
        <f>H4*C4</f>
        <v>281684.690000000002</v>
      </c>
      <c r="K4">
        <f>K3*0.59</f>
        <v>8543.20000000000073</v>
      </c>
      <c r="M4" s="14" t="n">
        <v>9</v>
      </c>
      <c r="N4" s="15" t="n">
        <v>13.4900000000000002</v>
      </c>
      <c r="O4" s="15" t="n">
        <v>5.24000000000000021</v>
      </c>
      <c r="P4" s="15" t="n">
        <v>4.66000000000000014</v>
      </c>
      <c r="Q4" s="15" t="n">
        <v>0.569999999999999929</v>
      </c>
      <c r="R4" s="16" t="n">
        <v>23.9499999999999993</v>
      </c>
      <c r="S4"/>
      <c r="T4"/>
      <c r="U4"/>
      <c r="V4"/>
      <c r="W4"/>
      <c r="X4"/>
      <c r="Y4"/>
      <c r="Z4"/>
      <c r="AA4"/>
      <c r="AB4"/>
      <c r="AC4"/>
      <c r="AD4"/>
    </row>
    <row r="5" spans="1:30">
      <c r="A5" s="17" t="s">
        <v>670</v>
      </c>
      <c r="B5" s="18" t="n">
        <v>15594</v>
      </c>
      <c r="C5" s="26" t="n">
        <v>15630.9200000000001</v>
      </c>
      <c r="D5" s="24" t="n">
        <v>75</v>
      </c>
      <c r="E5" s="9">
        <f>D5*(C5-B5)</f>
        <v>2769.00000000001</v>
      </c>
      <c r="F5" s="25" t="n">
        <v>0.7</v>
      </c>
      <c r="G5" s="9">
        <f>(C5-B5)*F5</f>
        <v>25.8440000000001007</v>
      </c>
      <c r="H5" s="25" t="n">
        <v>10</v>
      </c>
      <c r="I5" s="10">
        <f>(C5-B5)*H5</f>
        <v>369.200000000001012</v>
      </c>
      <c r="J5" s="9">
        <f>H5*C5</f>
        <v>156309.200000000012</v>
      </c>
      <c r="K5">
        <f>K3*0.21</f>
        <v>3040.80000000000018</v>
      </c>
      <c r="M5" s="14" t="n">
        <v>8</v>
      </c>
      <c r="N5" s="20" t="n">
        <v>12.7400000000000002</v>
      </c>
      <c r="O5" s="20" t="n">
        <v>4.88999999999999968</v>
      </c>
      <c r="P5" s="20" t="n">
        <v>4.25</v>
      </c>
      <c r="Q5" s="20" t="n">
        <v>0.509999999999999964</v>
      </c>
      <c r="R5" s="21" t="n">
        <v>22.3900000000000006</v>
      </c>
      <c r="S5"/>
      <c r="T5"/>
      <c r="U5"/>
      <c r="V5"/>
      <c r="W5"/>
      <c r="X5"/>
      <c r="Y5"/>
      <c r="Z5"/>
      <c r="AA5"/>
      <c r="AB5"/>
      <c r="AC5"/>
      <c r="AD5"/>
    </row>
    <row r="6" spans="1:30">
      <c r="A6" s="17" t="s">
        <v>671</v>
      </c>
      <c r="B6" s="18" t="n">
        <v>13868</v>
      </c>
      <c r="C6" s="26" t="n">
        <v>13900.7800000000007</v>
      </c>
      <c r="D6" s="22" t="n">
        <v>90</v>
      </c>
      <c r="E6" s="9">
        <f>D6*(C6-B6)</f>
        <v>2950.20000000005984</v>
      </c>
      <c r="F6" s="23" t="n">
        <v>1</v>
      </c>
      <c r="G6" s="9">
        <f>(C6-B6)*F6</f>
        <v>32.7800000000006975</v>
      </c>
      <c r="H6" s="23" t="n">
        <v>19</v>
      </c>
      <c r="I6" s="10">
        <f>(C6-B6)*H6</f>
        <v>622.82000000001301</v>
      </c>
      <c r="J6" s="9">
        <f>H6*C6</f>
        <v>264114.820000000007</v>
      </c>
      <c r="K6">
        <f>K3*0.18</f>
        <v>2606.40000000000009</v>
      </c>
      <c r="M6" s="14" t="n">
        <v>7</v>
      </c>
      <c r="N6" s="15" t="n">
        <v>12</v>
      </c>
      <c r="O6" s="15" t="n">
        <v>4.53000000000000025</v>
      </c>
      <c r="P6" s="15" t="n">
        <v>3.83999999999999986</v>
      </c>
      <c r="Q6" s="15" t="n">
        <v>0.460000000000000053</v>
      </c>
      <c r="R6" s="16" t="n">
        <v>20.8299999999999983</v>
      </c>
      <c r="S6"/>
      <c r="T6"/>
      <c r="U6"/>
      <c r="V6"/>
      <c r="W6"/>
      <c r="X6"/>
      <c r="Y6"/>
      <c r="Z6"/>
      <c r="AA6"/>
      <c r="AB6"/>
      <c r="AC6"/>
      <c r="AD6"/>
    </row>
    <row r="7" spans="1:30">
      <c r="A7" s="17" t="s">
        <v>672</v>
      </c>
      <c r="B7" s="18" t="n">
        <v>1696</v>
      </c>
      <c r="C7" s="27" t="n">
        <v>1700.30999999999995</v>
      </c>
      <c r="D7" s="24" t="n">
        <v>300</v>
      </c>
      <c r="E7" s="9">
        <f>D7*(C7-B7)</f>
        <v>1292.99999999999</v>
      </c>
      <c r="F7" s="25" t="n">
        <v>2.5</v>
      </c>
      <c r="G7" s="9">
        <f>(C7-B7)*F7</f>
        <v>10.7749999999999009</v>
      </c>
      <c r="H7" s="25" t="n">
        <v>35</v>
      </c>
      <c r="I7" s="10">
        <f>(C7-B7)*H7</f>
        <v>150.849999999998005</v>
      </c>
      <c r="J7" s="9">
        <f>H7*C7</f>
        <v>59510.8499999999985</v>
      </c>
      <c r="K7">
        <f>K3*0.02</f>
        <v>289.600000000000023</v>
      </c>
      <c r="M7" s="14" t="n">
        <v>6</v>
      </c>
      <c r="N7" s="20" t="n">
        <v>11.2599999999999998</v>
      </c>
      <c r="O7" s="20" t="n">
        <v>4.16999999999999993</v>
      </c>
      <c r="P7" s="20" t="n">
        <v>3.43999999999999995</v>
      </c>
      <c r="Q7" s="20" t="n">
        <v>0.409999999999999964</v>
      </c>
      <c r="R7" s="21" t="n">
        <v>19.2699999999999996</v>
      </c>
      <c r="S7"/>
      <c r="T7"/>
      <c r="U7"/>
      <c r="V7"/>
      <c r="W7"/>
      <c r="X7"/>
      <c r="Y7"/>
      <c r="Z7"/>
      <c r="AA7"/>
      <c r="AB7"/>
      <c r="AC7"/>
      <c r="AD7"/>
    </row>
    <row r="8" spans="3:30">
      <c r="C8" s="28">
        <f>C4/$C$3</f>
        <v>0.563021702838064009</v>
      </c>
      <c r="J8" s="29">
        <f>J7+J6+J5+J4</f>
        <v>761619.560000000056</v>
      </c>
      <c r="M8" s="14" t="n">
        <v>5</v>
      </c>
      <c r="N8" s="15" t="n">
        <v>10.5199999999999996</v>
      </c>
      <c r="O8" s="15" t="n">
        <v>3.81000000000000014</v>
      </c>
      <c r="P8" s="15" t="n">
        <v>3.0299999999999998</v>
      </c>
      <c r="Q8" s="15" t="n">
        <v>0.35</v>
      </c>
      <c r="R8" s="16" t="n">
        <v>17.7199999999999953</v>
      </c>
      <c r="S8"/>
      <c r="T8"/>
      <c r="U8"/>
      <c r="V8"/>
      <c r="W8"/>
      <c r="X8"/>
      <c r="Y8"/>
      <c r="Z8"/>
      <c r="AA8"/>
      <c r="AB8"/>
      <c r="AC8"/>
      <c r="AD8"/>
    </row>
    <row r="9" spans="3:30">
      <c r="C9" s="30">
        <f>C5/$C$3</f>
        <v>0.218697829716194025</v>
      </c>
      <c r="E9" s="54">
        <f>C4-B4</f>
        <v>94.6699999999982964</v>
      </c>
      <c r="G9">
        <f>45*(24422-8000)</f>
        <v>738990</v>
      </c>
      <c r="M9" s="14" t="n">
        <v>4</v>
      </c>
      <c r="N9" s="20" t="n">
        <v>9.80000000000000071</v>
      </c>
      <c r="O9" s="20" t="n">
        <v>3.45999999999999996</v>
      </c>
      <c r="P9" s="20" t="n">
        <v>2.62999999999999989</v>
      </c>
      <c r="Q9" s="20" t="n">
        <v>0.3</v>
      </c>
      <c r="R9" s="21" t="n">
        <v>16.1700000000000017</v>
      </c>
      <c r="S9"/>
      <c r="T9"/>
      <c r="U9"/>
      <c r="V9"/>
      <c r="W9"/>
      <c r="X9"/>
      <c r="Y9"/>
      <c r="Z9"/>
      <c r="AA9"/>
      <c r="AB9"/>
      <c r="AC9"/>
      <c r="AD9"/>
    </row>
    <row r="10" spans="2:30">
      <c r="B10" s="31">
        <f>B11/B13</f>
        <v>0.470093807219230975</v>
      </c>
      <c r="C10" s="30">
        <f>C6/$C$3</f>
        <v>0.19449081803004999</v>
      </c>
      <c r="E10" s="54">
        <f>C5-B5</f>
        <v>36.9200000000001012</v>
      </c>
      <c r="G10">
        <f>75*(9374-3000)</f>
        <v>478050</v>
      </c>
      <c r="M10" s="14" t="n">
        <v>3</v>
      </c>
      <c r="N10" s="15" t="n">
        <v>9.08999999999999986</v>
      </c>
      <c r="O10" s="15" t="n">
        <v>3.10000000000000009</v>
      </c>
      <c r="P10" s="15" t="n">
        <v>2.20999999999999996</v>
      </c>
      <c r="Q10" s="15" t="n">
        <v>0.239999999999999991</v>
      </c>
      <c r="R10" s="16" t="n">
        <v>14.6300000000000008</v>
      </c>
      <c r="S10"/>
      <c r="T10"/>
      <c r="U10"/>
      <c r="V10"/>
      <c r="W10"/>
      <c r="X10"/>
      <c r="Y10"/>
      <c r="Z10"/>
      <c r="AA10"/>
      <c r="AB10"/>
      <c r="AC10"/>
      <c r="AD10"/>
    </row>
    <row r="11" spans="1:30">
      <c r="A11" s="32" t="s">
        <v>673</v>
      </c>
      <c r="B11" s="33" t="n">
        <v>10000</v>
      </c>
      <c r="C11" s="30">
        <f>C7/$C$3</f>
        <v>0.0237896494156930016</v>
      </c>
      <c r="E11" s="54">
        <f>C6-B6</f>
        <v>32.7800000000006975</v>
      </c>
      <c r="G11">
        <f>90*(7902-1000)</f>
        <v>621180</v>
      </c>
      <c r="M11" s="14" t="n">
        <v>2</v>
      </c>
      <c r="N11" s="20" t="n">
        <v>8.41999999999999993</v>
      </c>
      <c r="O11" s="20" t="n">
        <v>2.72999999999999998</v>
      </c>
      <c r="P11" s="20" t="n">
        <v>1.77000000000000002</v>
      </c>
      <c r="Q11" s="20" t="n">
        <v>0.179999999999999964</v>
      </c>
      <c r="R11" s="21" t="n">
        <v>13.0900000000000016</v>
      </c>
      <c r="S11"/>
      <c r="T11"/>
      <c r="U11"/>
      <c r="V11"/>
      <c r="W11"/>
      <c r="X11"/>
      <c r="Y11"/>
      <c r="Z11"/>
      <c r="AA11"/>
      <c r="AB11"/>
      <c r="AC11"/>
      <c r="AD11"/>
    </row>
    <row r="12" spans="1:30">
      <c r="A12" s="32" t="s">
        <v>674</v>
      </c>
      <c r="B12" s="34">
        <f>E7+E6+E5+E4</f>
        <v>11272.3500000000004</v>
      </c>
      <c r="E12" s="54">
        <f>C7-B7</f>
        <v>4.30999999999994987</v>
      </c>
      <c r="G12">
        <f>300*978</f>
        <v>293400</v>
      </c>
      <c r="M12" s="14" t="n">
        <v>1</v>
      </c>
      <c r="N12" s="15" t="n">
        <v>7.84999999999999876</v>
      </c>
      <c r="O12" s="15" t="n">
        <v>2.33999999999999986</v>
      </c>
      <c r="P12" s="15" t="n">
        <v>1.22999999999999998</v>
      </c>
      <c r="Q12" s="15" t="n">
        <v>0.1</v>
      </c>
      <c r="R12" s="16" t="n">
        <v>11.5299999999999994</v>
      </c>
      <c r="S12"/>
      <c r="T12"/>
      <c r="U12"/>
      <c r="V12"/>
      <c r="W12"/>
      <c r="X12"/>
      <c r="Y12"/>
      <c r="Z12"/>
      <c r="AA12"/>
      <c r="AB12"/>
      <c r="AC12"/>
      <c r="AD12"/>
    </row>
    <row r="13" spans="1:30">
      <c r="A13" s="35" t="s">
        <v>461</v>
      </c>
      <c r="B13" s="36">
        <f>B11+B12</f>
        <v>21272.3499999999985</v>
      </c>
      <c r="G13">
        <f>10000*10</f>
        <v>100000</v>
      </c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</row>
    <row r="14" spans="16:30"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</row>
    <row r="15" spans="1:30">
      <c r="A15" s="7"/>
      <c r="B15" s="37" t="s">
        <v>380</v>
      </c>
      <c r="C15" s="37" t="s">
        <v>381</v>
      </c>
      <c r="D15" s="37" t="s">
        <v>382</v>
      </c>
      <c r="E15" s="37" t="s">
        <v>383</v>
      </c>
      <c r="F15" s="37" t="s">
        <v>384</v>
      </c>
      <c r="G15" s="37" t="s">
        <v>385</v>
      </c>
      <c r="H15" s="37" t="s">
        <v>386</v>
      </c>
      <c r="I15" s="37" t="s">
        <v>387</v>
      </c>
      <c r="J15" s="37" t="s">
        <v>388</v>
      </c>
      <c r="K15" s="37" t="s">
        <v>389</v>
      </c>
      <c r="L15" s="37" t="s">
        <v>390</v>
      </c>
      <c r="M15" s="37" t="s">
        <v>391</v>
      </c>
      <c r="N15" s="37" t="s">
        <v>392</v>
      </c>
      <c r="O15" s="37" t="s">
        <v>393</v>
      </c>
      <c r="P15" s="37" t="s">
        <v>394</v>
      </c>
      <c r="Q15" s="37" t="s">
        <v>379</v>
      </c>
      <c r="R15" s="37" t="s">
        <v>380</v>
      </c>
      <c r="S15" s="37" t="s">
        <v>381</v>
      </c>
      <c r="T15" s="37" t="s">
        <v>382</v>
      </c>
      <c r="U15" s="37" t="s">
        <v>383</v>
      </c>
      <c r="V15" s="37" t="s">
        <v>384</v>
      </c>
      <c r="W15" s="37" t="s">
        <v>385</v>
      </c>
      <c r="X15" s="37" t="s">
        <v>386</v>
      </c>
      <c r="Y15" s="37" t="s">
        <v>387</v>
      </c>
      <c r="Z15" s="37" t="s">
        <v>388</v>
      </c>
      <c r="AA15" s="37" t="s">
        <v>389</v>
      </c>
      <c r="AB15" s="37" t="s">
        <v>390</v>
      </c>
      <c r="AC15" s="37" t="s">
        <v>391</v>
      </c>
      <c r="AD15" s="37" t="s">
        <v>392</v>
      </c>
    </row>
    <row r="16" spans="1:30">
      <c r="A16" s="38" t="s">
        <v>675</v>
      </c>
      <c r="B16" s="38" t="n">
        <v>3396</v>
      </c>
      <c r="C16" s="38">
        <f>B16+1</f>
        <v>3397</v>
      </c>
      <c r="D16" s="38">
        <f>C16+1</f>
        <v>3398</v>
      </c>
      <c r="E16" s="38">
        <f>D16+1</f>
        <v>3399</v>
      </c>
      <c r="F16" s="38">
        <f>E16+1</f>
        <v>3400</v>
      </c>
      <c r="G16" s="38">
        <f>F16+1</f>
        <v>3401</v>
      </c>
      <c r="H16" s="38">
        <f>G16+1</f>
        <v>3402</v>
      </c>
      <c r="I16" s="38">
        <f>H16+1</f>
        <v>3403</v>
      </c>
      <c r="J16" s="38">
        <f>I16+1</f>
        <v>3404</v>
      </c>
      <c r="K16" s="38">
        <f>J16+1</f>
        <v>3405</v>
      </c>
      <c r="L16" s="38">
        <f>K16+1</f>
        <v>3406</v>
      </c>
      <c r="M16" s="38">
        <f>L16+1</f>
        <v>3407</v>
      </c>
      <c r="N16" s="38">
        <f>M16+1</f>
        <v>3408</v>
      </c>
      <c r="O16" s="38">
        <f>N16+1</f>
        <v>3409</v>
      </c>
      <c r="P16" s="38">
        <f>O16+1</f>
        <v>3410</v>
      </c>
      <c r="Q16" s="38">
        <f>P16+1</f>
        <v>3411</v>
      </c>
      <c r="R16" s="38">
        <f>Q16+1</f>
        <v>3412</v>
      </c>
      <c r="S16" s="38">
        <f>R16+1</f>
        <v>3413</v>
      </c>
      <c r="T16" s="38">
        <f>S16+1</f>
        <v>3414</v>
      </c>
      <c r="U16" s="38">
        <f>T16+1</f>
        <v>3415</v>
      </c>
      <c r="V16" s="38">
        <f>U16+1</f>
        <v>3416</v>
      </c>
      <c r="W16" s="38">
        <f>V16+1</f>
        <v>3417</v>
      </c>
      <c r="X16" s="38">
        <f>W16+1</f>
        <v>3418</v>
      </c>
      <c r="Y16" s="38">
        <f>X16+1</f>
        <v>3419</v>
      </c>
      <c r="Z16" s="38">
        <f>Y16+1</f>
        <v>3420</v>
      </c>
      <c r="AA16" s="38">
        <f>Z16+1</f>
        <v>3421</v>
      </c>
      <c r="AB16" s="38">
        <f>AA16+1</f>
        <v>3422</v>
      </c>
      <c r="AC16" s="38">
        <f>AB16+1</f>
        <v>3423</v>
      </c>
      <c r="AD16" s="38">
        <f>AC16+1</f>
        <v>3424</v>
      </c>
    </row>
    <row r="17" spans="1:30">
      <c r="A17" s="38"/>
      <c r="B17" s="39">
        <f>B18+B19+B20+B21</f>
        <v>70738.679999999993</v>
      </c>
      <c r="C17" s="39">
        <f>C18+C19+C20+C21</f>
        <v>70759.5099999999948</v>
      </c>
      <c r="D17" s="39">
        <f>D18+D19+D20+D21</f>
        <v>70780.3399999999965</v>
      </c>
      <c r="E17" s="39">
        <f>E18+E19+E20+E21</f>
        <v>70801.1699999999983</v>
      </c>
      <c r="F17" s="39">
        <f>F18+F19+F20+F21</f>
        <v>70822</v>
      </c>
      <c r="G17" s="39">
        <f>G18+G19+G20+G21</f>
        <v>70842.8300000000017</v>
      </c>
      <c r="H17" s="39">
        <f>H18+H19+H20+H21</f>
        <v>70863.6600000000035</v>
      </c>
      <c r="I17" s="39">
        <f>I18+I19+I20+I21</f>
        <v>70884.4900000000052</v>
      </c>
      <c r="J17" s="39">
        <f>J18+J19+J20+J21</f>
        <v>70905.320000000007</v>
      </c>
      <c r="K17" s="39">
        <f>K18+K19+K20+K21</f>
        <v>70926.1499999999942</v>
      </c>
      <c r="L17" s="39">
        <f>L18+L19+L20+L21</f>
        <v>70946.9799999999959</v>
      </c>
      <c r="M17" s="39">
        <f>M18+M19+M20+M21</f>
        <v>70967.8099999999977</v>
      </c>
      <c r="N17" s="39">
        <f>N18+N19+N20+N21</f>
        <v>70988.6399999999994</v>
      </c>
      <c r="O17" s="39">
        <f>O18+O19+O20+O21</f>
        <v>71009.4700000000012</v>
      </c>
      <c r="P17" s="39">
        <f>P18+P19+P20+P21</f>
        <v>71030.3000000000029</v>
      </c>
      <c r="Q17" s="39">
        <f>Q18+Q19+Q20+Q21</f>
        <v>71051.1300000000047</v>
      </c>
      <c r="R17" s="39">
        <f>R18+R19+R20+R21</f>
        <v>71071.9600000000064</v>
      </c>
      <c r="S17" s="39">
        <f>S18+S19+S20+S21</f>
        <v>71092.7899999999936</v>
      </c>
      <c r="T17" s="39">
        <f>T18+T19+T20+T21</f>
        <v>71113.6199999999953</v>
      </c>
      <c r="U17" s="39">
        <f>U18+U19+U20+U21</f>
        <v>71134.4499999999971</v>
      </c>
      <c r="V17" s="39">
        <f>V18+V19+V20+V21</f>
        <v>71155.2799999999988</v>
      </c>
      <c r="W17" s="39">
        <f>W18+W19+W20+W21</f>
        <v>71176.1100000000006</v>
      </c>
      <c r="X17" s="39">
        <f>X18+X19+X20+X21</f>
        <v>71196.9400000000023</v>
      </c>
      <c r="Y17" s="39">
        <f>Y18+Y19+Y20+Y21</f>
        <v>71217.7700000000041</v>
      </c>
      <c r="Z17" s="39">
        <f>Z18+Z19+Z20+Z21</f>
        <v>71238.6000000000058</v>
      </c>
      <c r="AA17" s="39">
        <f>AA18+AA19+AA20+AA21</f>
        <v>71259.429999999993</v>
      </c>
      <c r="AB17" s="39">
        <f>AB18+AB19+AB20+AB21</f>
        <v>71280.2599999999948</v>
      </c>
      <c r="AC17" s="39">
        <f>AC18+AC19+AC20+AC21</f>
        <v>71301.0899999999965</v>
      </c>
      <c r="AD17" s="39">
        <f>AD18+AD19+AD20+AD21</f>
        <v>71321.9199999999983</v>
      </c>
    </row>
    <row r="18" spans="1:30">
      <c r="A18" s="40" t="s">
        <v>676</v>
      </c>
      <c r="B18" s="41">
        <f>B16*$N$6</f>
        <v>40752</v>
      </c>
      <c r="C18" s="41">
        <f>C16*$N$6</f>
        <v>40764</v>
      </c>
      <c r="D18" s="41">
        <f>D16*$N$6</f>
        <v>40776</v>
      </c>
      <c r="E18" s="41">
        <f>E16*$N$6</f>
        <v>40788</v>
      </c>
      <c r="F18" s="41">
        <f>F16*$N$6</f>
        <v>40800</v>
      </c>
      <c r="G18" s="41">
        <f>G16*$N$6</f>
        <v>40812</v>
      </c>
      <c r="H18" s="41">
        <f>H16*$N$6</f>
        <v>40824</v>
      </c>
      <c r="I18" s="41">
        <f>I16*$N$6</f>
        <v>40836</v>
      </c>
      <c r="J18" s="41">
        <f>J16*$N$6</f>
        <v>40848</v>
      </c>
      <c r="K18" s="41">
        <f>K16*$N$6</f>
        <v>40860</v>
      </c>
      <c r="L18" s="41">
        <f>L16*$N$6</f>
        <v>40872</v>
      </c>
      <c r="M18" s="41">
        <f>M16*$N$6</f>
        <v>40884</v>
      </c>
      <c r="N18" s="41">
        <f>N16*$N$6</f>
        <v>40896</v>
      </c>
      <c r="O18" s="41">
        <f>O16*$N$6</f>
        <v>40908</v>
      </c>
      <c r="P18" s="41">
        <f>P16*$N$6</f>
        <v>40920</v>
      </c>
      <c r="Q18" s="41">
        <f>Q16*$N$6</f>
        <v>40932</v>
      </c>
      <c r="R18" s="41">
        <f>R16*$N$6</f>
        <v>40944</v>
      </c>
      <c r="S18" s="41">
        <f>S16*$N$6</f>
        <v>40956</v>
      </c>
      <c r="T18" s="41">
        <f>T16*$N$6</f>
        <v>40968</v>
      </c>
      <c r="U18" s="41">
        <f>U16*$N$6</f>
        <v>40980</v>
      </c>
      <c r="V18" s="41">
        <f>V16*$N$6</f>
        <v>40992</v>
      </c>
      <c r="W18" s="41">
        <f>W16*$N$6</f>
        <v>41004</v>
      </c>
      <c r="X18" s="41">
        <f>X16*$N$6</f>
        <v>41016</v>
      </c>
      <c r="Y18" s="41">
        <f>Y16*$N$6</f>
        <v>41028</v>
      </c>
      <c r="Z18" s="41">
        <f>Z16*$N$6</f>
        <v>41040</v>
      </c>
      <c r="AA18" s="41">
        <f>AA16*$N$6</f>
        <v>41052</v>
      </c>
      <c r="AB18" s="41">
        <f>AB16*$N$6</f>
        <v>41064</v>
      </c>
      <c r="AC18" s="41">
        <f>AC16*$N$6</f>
        <v>41076</v>
      </c>
      <c r="AD18" s="41">
        <f>AD16*$N$6</f>
        <v>41088</v>
      </c>
    </row>
    <row r="19" spans="1:30">
      <c r="A19" s="40" t="s">
        <v>677</v>
      </c>
      <c r="B19" s="41">
        <f>B16*$O$6</f>
        <v>15383.8799999999992</v>
      </c>
      <c r="C19" s="41">
        <f>C16*$O$6</f>
        <v>15388.4099999999999</v>
      </c>
      <c r="D19" s="41">
        <f>D16*$O$6</f>
        <v>15392.9400000000005</v>
      </c>
      <c r="E19" s="41">
        <f>E16*$O$6</f>
        <v>15397.4699999999993</v>
      </c>
      <c r="F19" s="41">
        <f>F16*$O$6</f>
        <v>15402</v>
      </c>
      <c r="G19" s="41">
        <f>G16*$O$6</f>
        <v>15406.5300000000007</v>
      </c>
      <c r="H19" s="41">
        <f>H16*$O$6</f>
        <v>15411.0599999999995</v>
      </c>
      <c r="I19" s="41">
        <f>I16*$O$6</f>
        <v>15415.5900000000001</v>
      </c>
      <c r="J19" s="41">
        <f>J16*$O$6</f>
        <v>15420.1200000000008</v>
      </c>
      <c r="K19" s="41">
        <f>K16*$O$6</f>
        <v>15424.6499999999996</v>
      </c>
      <c r="L19" s="41">
        <f>L16*$O$6</f>
        <v>15429.1800000000003</v>
      </c>
      <c r="M19" s="41">
        <f>M16*$O$6</f>
        <v>15433.7099999999991</v>
      </c>
      <c r="N19" s="41">
        <f>N16*$O$6</f>
        <v>15438.2399999999998</v>
      </c>
      <c r="O19" s="41">
        <f>O16*$O$6</f>
        <v>15442.7700000000004</v>
      </c>
      <c r="P19" s="41">
        <f>P16*$O$6</f>
        <v>15447.2999999999993</v>
      </c>
      <c r="Q19" s="41">
        <f>Q16*$O$6</f>
        <v>15451.8299999999999</v>
      </c>
      <c r="R19" s="41">
        <f>R16*$O$6</f>
        <v>15456.3600000000006</v>
      </c>
      <c r="S19" s="41">
        <f>S16*$O$6</f>
        <v>15460.8899999999994</v>
      </c>
      <c r="T19" s="41">
        <f>T16*$O$6</f>
        <v>15465.4200000000001</v>
      </c>
      <c r="U19" s="41">
        <f>U16*$O$6</f>
        <v>15469.9500000000007</v>
      </c>
      <c r="V19" s="41">
        <f>V16*$O$6</f>
        <v>15474.4799999999996</v>
      </c>
      <c r="W19" s="41">
        <f>W16*$O$6</f>
        <v>15479.0100000000002</v>
      </c>
      <c r="X19" s="41">
        <f>X16*$O$6</f>
        <v>15483.5400000000009</v>
      </c>
      <c r="Y19" s="41">
        <f>Y16*$O$6</f>
        <v>15488.0699999999997</v>
      </c>
      <c r="Z19" s="41">
        <f>Z16*$O$6</f>
        <v>15492.6000000000004</v>
      </c>
      <c r="AA19" s="41">
        <f>AA16*$O$6</f>
        <v>15497.1299999999992</v>
      </c>
      <c r="AB19" s="41">
        <f>AB16*$O$6</f>
        <v>15501.6599999999999</v>
      </c>
      <c r="AC19" s="41">
        <f>AC16*$O$6</f>
        <v>15506.1900000000005</v>
      </c>
      <c r="AD19" s="41">
        <f>AD16*$O$6</f>
        <v>15510.7199999999993</v>
      </c>
    </row>
    <row r="20" spans="1:30">
      <c r="A20" s="40" t="s">
        <v>678</v>
      </c>
      <c r="B20" s="41">
        <f>B16*$P$6</f>
        <v>13040.6399999999994</v>
      </c>
      <c r="C20" s="41">
        <f>C16*$P$6</f>
        <v>13044.4799999999996</v>
      </c>
      <c r="D20" s="41">
        <f>D16*$P$6</f>
        <v>13048.3199999999997</v>
      </c>
      <c r="E20" s="41">
        <f>E16*$P$6</f>
        <v>13052.1599999999999</v>
      </c>
      <c r="F20" s="41">
        <f>F16*$P$6</f>
        <v>13056</v>
      </c>
      <c r="G20" s="41">
        <f>G16*$P$6</f>
        <v>13059.8400000000001</v>
      </c>
      <c r="H20" s="41">
        <f>H16*$P$6</f>
        <v>13063.6800000000003</v>
      </c>
      <c r="I20" s="41">
        <f>I16*$P$6</f>
        <v>13067.5200000000004</v>
      </c>
      <c r="J20" s="41">
        <f>J16*$P$6</f>
        <v>13071.3600000000006</v>
      </c>
      <c r="K20" s="41">
        <f>K16*$P$6</f>
        <v>13075.2000000000007</v>
      </c>
      <c r="L20" s="41">
        <f>L16*$P$6</f>
        <v>13079.0400000000009</v>
      </c>
      <c r="M20" s="41">
        <f>M16*$P$6</f>
        <v>13082.8799999999992</v>
      </c>
      <c r="N20" s="41">
        <f>N16*$P$6</f>
        <v>13086.7199999999993</v>
      </c>
      <c r="O20" s="41">
        <f>O16*$P$6</f>
        <v>13090.5599999999995</v>
      </c>
      <c r="P20" s="41">
        <f>P16*$P$6</f>
        <v>13094.3999999999996</v>
      </c>
      <c r="Q20" s="41">
        <f>Q16*$P$6</f>
        <v>13098.2399999999998</v>
      </c>
      <c r="R20" s="41">
        <f>R16*$P$6</f>
        <v>13102.0799999999999</v>
      </c>
      <c r="S20" s="41">
        <f>S16*$P$6</f>
        <v>13105.9200000000001</v>
      </c>
      <c r="T20" s="41">
        <f>T16*$P$6</f>
        <v>13109.7600000000002</v>
      </c>
      <c r="U20" s="41">
        <f>U16*$P$6</f>
        <v>13113.6000000000004</v>
      </c>
      <c r="V20" s="41">
        <f>V16*$P$6</f>
        <v>13117.4400000000005</v>
      </c>
      <c r="W20" s="41">
        <f>W16*$P$6</f>
        <v>13121.2800000000007</v>
      </c>
      <c r="X20" s="41">
        <f>X16*$P$6</f>
        <v>13125.1200000000008</v>
      </c>
      <c r="Y20" s="41">
        <f>Y16*$P$6</f>
        <v>13128.9599999999991</v>
      </c>
      <c r="Z20" s="41">
        <f>Z16*$P$6</f>
        <v>13132.7999999999993</v>
      </c>
      <c r="AA20" s="41">
        <f>AA16*$P$6</f>
        <v>13136.6399999999994</v>
      </c>
      <c r="AB20" s="41">
        <f>AB16*$P$6</f>
        <v>13140.4799999999996</v>
      </c>
      <c r="AC20" s="41">
        <f>AC16*$P$6</f>
        <v>13144.3199999999997</v>
      </c>
      <c r="AD20" s="41">
        <f>AD16*$P$6</f>
        <v>13148.1599999999999</v>
      </c>
    </row>
    <row r="21" spans="1:30">
      <c r="A21" s="40" t="s">
        <v>679</v>
      </c>
      <c r="B21" s="41">
        <f>B16*$Q$6</f>
        <v>1562.16000000000008</v>
      </c>
      <c r="C21" s="41">
        <f>C16*$Q$6</f>
        <v>1562.61999999999989</v>
      </c>
      <c r="D21" s="41">
        <f>D16*$Q$6</f>
        <v>1563.07999999999993</v>
      </c>
      <c r="E21" s="41">
        <f>E16*$Q$6</f>
        <v>1563.53999999999996</v>
      </c>
      <c r="F21" s="41">
        <f>F16*$Q$6</f>
        <v>1564</v>
      </c>
      <c r="G21" s="41">
        <f>G16*$Q$6</f>
        <v>1564.46000000000004</v>
      </c>
      <c r="H21" s="41">
        <f>H16*$Q$6</f>
        <v>1564.92000000000007</v>
      </c>
      <c r="I21" s="41">
        <f>I16*$Q$6</f>
        <v>1565.38000000000011</v>
      </c>
      <c r="J21" s="41">
        <f>J16*$Q$6</f>
        <v>1565.83999999999992</v>
      </c>
      <c r="K21" s="41">
        <f>K16*$Q$6</f>
        <v>1566.29999999999995</v>
      </c>
      <c r="L21" s="41">
        <f>L16*$Q$6</f>
        <v>1566.75999999999999</v>
      </c>
      <c r="M21" s="41">
        <f>M16*$Q$6</f>
        <v>1567.22000000000003</v>
      </c>
      <c r="N21" s="41">
        <f>N16*$Q$6</f>
        <v>1567.68000000000006</v>
      </c>
      <c r="O21" s="41">
        <f>O16*$Q$6</f>
        <v>1568.1400000000001</v>
      </c>
      <c r="P21" s="41">
        <f>P16*$Q$6</f>
        <v>1568.59999999999991</v>
      </c>
      <c r="Q21" s="41">
        <f>Q16*$Q$6</f>
        <v>1569.05999999999995</v>
      </c>
      <c r="R21" s="41">
        <f>R16*$Q$6</f>
        <v>1569.51999999999998</v>
      </c>
      <c r="S21" s="41">
        <f>S16*$Q$6</f>
        <v>1569.98000000000002</v>
      </c>
      <c r="T21" s="41">
        <f>T16*$Q$6</f>
        <v>1570.44000000000005</v>
      </c>
      <c r="U21" s="41">
        <f>U16*$Q$6</f>
        <v>1570.90000000000009</v>
      </c>
      <c r="V21" s="41">
        <f>V16*$Q$6</f>
        <v>1571.3599999999999</v>
      </c>
      <c r="W21" s="41">
        <f>W16*$Q$6</f>
        <v>1571.81999999999994</v>
      </c>
      <c r="X21" s="41">
        <f>X16*$Q$6</f>
        <v>1572.27999999999997</v>
      </c>
      <c r="Y21" s="41">
        <f>Y16*$Q$6</f>
        <v>1572.74000000000001</v>
      </c>
      <c r="Z21" s="41">
        <f>Z16*$Q$6</f>
        <v>1573.20000000000005</v>
      </c>
      <c r="AA21" s="41">
        <f>AA16*$Q$6</f>
        <v>1573.66000000000008</v>
      </c>
      <c r="AB21" s="41">
        <f>AB16*$Q$6</f>
        <v>1574.11999999999989</v>
      </c>
      <c r="AC21" s="41">
        <f>AC16*$Q$6</f>
        <v>1574.57999999999993</v>
      </c>
      <c r="AD21" s="41">
        <f>AD16*$Q$6</f>
        <v>1575.03999999999996</v>
      </c>
    </row>
    <row r="22" spans="1:30">
      <c r="A22" s="40" t="s">
        <v>680</v>
      </c>
      <c r="B22" s="41">
        <f>MIN(B$18,$C$4)</f>
        <v>40240.6699999999983</v>
      </c>
      <c r="C22" s="41">
        <f>MIN(C$18,$C$4)</f>
        <v>40240.6699999999983</v>
      </c>
      <c r="D22" s="41">
        <f>MIN(D$18,$C$4)</f>
        <v>40240.6699999999983</v>
      </c>
      <c r="E22" s="41">
        <f>MIN(E$18,$C$4)</f>
        <v>40240.6699999999983</v>
      </c>
      <c r="F22" s="41">
        <f>MIN(F$18,$C$4)</f>
        <v>40240.6699999999983</v>
      </c>
      <c r="G22" s="41">
        <f>MIN(G$18,$C$4)</f>
        <v>40240.6699999999983</v>
      </c>
      <c r="H22" s="41">
        <f>MIN(H$18,$C$4)</f>
        <v>40240.6699999999983</v>
      </c>
      <c r="I22" s="41">
        <f>MIN(I$18,$C$4)</f>
        <v>40240.6699999999983</v>
      </c>
      <c r="J22" s="41">
        <f>MIN(J$18,$C$4)</f>
        <v>40240.6699999999983</v>
      </c>
      <c r="K22" s="41">
        <f>MIN(K$18,$C$4)</f>
        <v>40240.6699999999983</v>
      </c>
      <c r="L22" s="41">
        <f>MIN(L$18,$C$4)</f>
        <v>40240.6699999999983</v>
      </c>
      <c r="M22" s="41">
        <f>MIN(M$18,$C$4)</f>
        <v>40240.6699999999983</v>
      </c>
      <c r="N22" s="41">
        <f>MIN(N$18,$C$4)</f>
        <v>40240.6699999999983</v>
      </c>
      <c r="O22" s="41">
        <f>MIN(O$18,$C$4)</f>
        <v>40240.6699999999983</v>
      </c>
      <c r="P22" s="41">
        <f>MIN(P$18,$C$4)</f>
        <v>40240.6699999999983</v>
      </c>
      <c r="Q22" s="41">
        <f>MIN(Q$18,$C$4)</f>
        <v>40240.6699999999983</v>
      </c>
      <c r="R22" s="41">
        <f>MIN(R$18,$C$4)</f>
        <v>40240.6699999999983</v>
      </c>
      <c r="S22" s="41">
        <f>MIN(S$18,$C$4)</f>
        <v>40240.6699999999983</v>
      </c>
      <c r="T22" s="41">
        <f>MIN(T$18,$C$4)</f>
        <v>40240.6699999999983</v>
      </c>
      <c r="U22" s="41">
        <f>MIN(U$18,$C$4)</f>
        <v>40240.6699999999983</v>
      </c>
      <c r="V22" s="41">
        <f>MIN(V$18,$C$4)</f>
        <v>40240.6699999999983</v>
      </c>
      <c r="W22" s="41">
        <f>MIN(W$18,$C$4)</f>
        <v>40240.6699999999983</v>
      </c>
      <c r="X22" s="41">
        <f>MIN(X$18,$C$4)</f>
        <v>40240.6699999999983</v>
      </c>
      <c r="Y22" s="41">
        <f>MIN(Y$18,$C$4)</f>
        <v>40240.6699999999983</v>
      </c>
      <c r="Z22" s="41">
        <f>MIN(Z$18,$C$4)</f>
        <v>40240.6699999999983</v>
      </c>
      <c r="AA22" s="41">
        <f>MIN(AA$18,$C$4)</f>
        <v>40240.6699999999983</v>
      </c>
      <c r="AB22" s="41">
        <f>MIN(AB$18,$C$4)</f>
        <v>40240.6699999999983</v>
      </c>
      <c r="AC22" s="41">
        <f>MIN(AC$18,$C$4)</f>
        <v>40240.6699999999983</v>
      </c>
      <c r="AD22" s="41">
        <f>MIN(AD$18,$C$4)</f>
        <v>40240.6699999999983</v>
      </c>
    </row>
    <row r="23" spans="1:30">
      <c r="A23" s="40" t="s">
        <v>681</v>
      </c>
      <c r="B23" s="41">
        <f>MIN(B$19,$C$5)</f>
        <v>15383.8799999999992</v>
      </c>
      <c r="C23" s="41">
        <f>MIN(C$19,$C$5)</f>
        <v>15388.4099999999999</v>
      </c>
      <c r="D23" s="41">
        <f>MIN(D$19,$C$5)</f>
        <v>15392.9400000000005</v>
      </c>
      <c r="E23" s="41">
        <f>MIN(E$19,$C$5)</f>
        <v>15397.4699999999993</v>
      </c>
      <c r="F23" s="41">
        <f>MIN(F$19,$C$5)</f>
        <v>15402</v>
      </c>
      <c r="G23" s="41">
        <f>MIN(G$19,$C$5)</f>
        <v>15406.5300000000007</v>
      </c>
      <c r="H23" s="41">
        <f>MIN(H$19,$C$5)</f>
        <v>15411.0599999999995</v>
      </c>
      <c r="I23" s="41">
        <f>MIN(I$19,$C$5)</f>
        <v>15415.5900000000001</v>
      </c>
      <c r="J23" s="41">
        <f>MIN(J$19,$C$5)</f>
        <v>15420.1200000000008</v>
      </c>
      <c r="K23" s="41">
        <f>MIN(K$19,$C$5)</f>
        <v>15424.6499999999996</v>
      </c>
      <c r="L23" s="41">
        <f>MIN(L$19,$C$5)</f>
        <v>15429.1800000000003</v>
      </c>
      <c r="M23" s="41">
        <f>MIN(M$19,$C$5)</f>
        <v>15433.7099999999991</v>
      </c>
      <c r="N23" s="41">
        <f>MIN(N$19,$C$5)</f>
        <v>15438.2399999999998</v>
      </c>
      <c r="O23" s="41">
        <f>MIN(O$19,$C$5)</f>
        <v>15442.7700000000004</v>
      </c>
      <c r="P23" s="41">
        <f>MIN(P$19,$C$5)</f>
        <v>15447.2999999999993</v>
      </c>
      <c r="Q23" s="41">
        <f>MIN(Q$19,$C$5)</f>
        <v>15451.8299999999999</v>
      </c>
      <c r="R23" s="41">
        <f>MIN(R$19,$C$5)</f>
        <v>15456.3600000000006</v>
      </c>
      <c r="S23" s="41">
        <f>MIN(S$19,$C$5)</f>
        <v>15460.8899999999994</v>
      </c>
      <c r="T23" s="41">
        <f>MIN(T$19,$C$5)</f>
        <v>15465.4200000000001</v>
      </c>
      <c r="U23" s="41">
        <f>MIN(U$19,$C$5)</f>
        <v>15469.9500000000007</v>
      </c>
      <c r="V23" s="41">
        <f>MIN(V$19,$C$5)</f>
        <v>15474.4799999999996</v>
      </c>
      <c r="W23" s="41">
        <f>MIN(W$19,$C$5)</f>
        <v>15479.0100000000002</v>
      </c>
      <c r="X23" s="41">
        <f>MIN(X$19,$C$5)</f>
        <v>15483.5400000000009</v>
      </c>
      <c r="Y23" s="41">
        <f>MIN(Y$19,$C$5)</f>
        <v>15488.0699999999997</v>
      </c>
      <c r="Z23" s="41">
        <f>MIN(Z$19,$C$5)</f>
        <v>15492.6000000000004</v>
      </c>
      <c r="AA23" s="41">
        <f>MIN(AA$19,$C$5)</f>
        <v>15497.1299999999992</v>
      </c>
      <c r="AB23" s="41">
        <f>MIN(AB$19,$C$5)</f>
        <v>15501.6599999999999</v>
      </c>
      <c r="AC23" s="41">
        <f>MIN(AC$19,$C$5)</f>
        <v>15506.1900000000005</v>
      </c>
      <c r="AD23" s="41">
        <f>MIN(AD$19,$C$5)</f>
        <v>15510.7199999999993</v>
      </c>
    </row>
    <row r="24" spans="1:30">
      <c r="A24" s="40" t="s">
        <v>682</v>
      </c>
      <c r="B24" s="41">
        <f>MIN(B$20,$C$6)</f>
        <v>13040.6399999999994</v>
      </c>
      <c r="C24" s="41">
        <f>MIN(C$20,$C$6)</f>
        <v>13044.4799999999996</v>
      </c>
      <c r="D24" s="41">
        <f>MIN(D$20,$C$6)</f>
        <v>13048.3199999999997</v>
      </c>
      <c r="E24" s="41">
        <f>MIN(E$20,$C$6)</f>
        <v>13052.1599999999999</v>
      </c>
      <c r="F24" s="41">
        <f>MIN(F$20,$C$6)</f>
        <v>13056</v>
      </c>
      <c r="G24" s="41">
        <f>MIN(G$20,$C$6)</f>
        <v>13059.8400000000001</v>
      </c>
      <c r="H24" s="41">
        <f>MIN(H$20,$C$6)</f>
        <v>13063.6800000000003</v>
      </c>
      <c r="I24" s="41">
        <f>MIN(I$20,$C$6)</f>
        <v>13067.5200000000004</v>
      </c>
      <c r="J24" s="41">
        <f>MIN(J$20,$C$6)</f>
        <v>13071.3600000000006</v>
      </c>
      <c r="K24" s="41">
        <f>MIN(K$20,$C$6)</f>
        <v>13075.2000000000007</v>
      </c>
      <c r="L24" s="41">
        <f>MIN(L$20,$C$6)</f>
        <v>13079.0400000000009</v>
      </c>
      <c r="M24" s="41">
        <f>MIN(M$20,$C$6)</f>
        <v>13082.8799999999992</v>
      </c>
      <c r="N24" s="41">
        <f>MIN(N$20,$C$6)</f>
        <v>13086.7199999999993</v>
      </c>
      <c r="O24" s="41">
        <f>MIN(O$20,$C$6)</f>
        <v>13090.5599999999995</v>
      </c>
      <c r="P24" s="41">
        <f>MIN(P$20,$C$6)</f>
        <v>13094.3999999999996</v>
      </c>
      <c r="Q24" s="41">
        <f>MIN(Q$20,$C$6)</f>
        <v>13098.2399999999998</v>
      </c>
      <c r="R24" s="41">
        <f>MIN(R$20,$C$6)</f>
        <v>13102.0799999999999</v>
      </c>
      <c r="S24" s="41">
        <f>MIN(S$20,$C$6)</f>
        <v>13105.9200000000001</v>
      </c>
      <c r="T24" s="41">
        <f>MIN(T$20,$C$6)</f>
        <v>13109.7600000000002</v>
      </c>
      <c r="U24" s="41">
        <f>MIN(U$20,$C$6)</f>
        <v>13113.6000000000004</v>
      </c>
      <c r="V24" s="41">
        <f>MIN(V$20,$C$6)</f>
        <v>13117.4400000000005</v>
      </c>
      <c r="W24" s="41">
        <f>MIN(W$20,$C$6)</f>
        <v>13121.2800000000007</v>
      </c>
      <c r="X24" s="41">
        <f>MIN(X$20,$C$6)</f>
        <v>13125.1200000000008</v>
      </c>
      <c r="Y24" s="41">
        <f>MIN(Y$20,$C$6)</f>
        <v>13128.9599999999991</v>
      </c>
      <c r="Z24" s="41">
        <f>MIN(Z$20,$C$6)</f>
        <v>13132.7999999999993</v>
      </c>
      <c r="AA24" s="41">
        <f>MIN(AA$20,$C$6)</f>
        <v>13136.6399999999994</v>
      </c>
      <c r="AB24" s="41">
        <f>MIN(AB$20,$C$6)</f>
        <v>13140.4799999999996</v>
      </c>
      <c r="AC24" s="41">
        <f>MIN(AC$20,$C$6)</f>
        <v>13144.3199999999997</v>
      </c>
      <c r="AD24" s="41">
        <f>MIN(AD$20,$C$6)</f>
        <v>13148.1599999999999</v>
      </c>
    </row>
    <row r="25" spans="1:30">
      <c r="A25" s="40" t="s">
        <v>683</v>
      </c>
      <c r="B25" s="41">
        <f>MIN(B$21,$C$7)</f>
        <v>1562.16000000000008</v>
      </c>
      <c r="C25" s="41">
        <f>MIN(C$21,$C$7)</f>
        <v>1562.61999999999989</v>
      </c>
      <c r="D25" s="41">
        <f>MIN(D$21,$C$7)</f>
        <v>1563.07999999999993</v>
      </c>
      <c r="E25" s="41">
        <f>MIN(E$21,$C$7)</f>
        <v>1563.53999999999996</v>
      </c>
      <c r="F25" s="41">
        <f>MIN(F$21,$C$7)</f>
        <v>1564</v>
      </c>
      <c r="G25" s="41">
        <f>MIN(G$21,$C$7)</f>
        <v>1564.46000000000004</v>
      </c>
      <c r="H25" s="41">
        <f>MIN(H$21,$C$7)</f>
        <v>1564.92000000000007</v>
      </c>
      <c r="I25" s="41">
        <f>MIN(I$21,$C$7)</f>
        <v>1565.38000000000011</v>
      </c>
      <c r="J25" s="41">
        <f>MIN(J$21,$C$7)</f>
        <v>1565.83999999999992</v>
      </c>
      <c r="K25" s="41">
        <f>MIN(K$21,$C$7)</f>
        <v>1566.29999999999995</v>
      </c>
      <c r="L25" s="41">
        <f>MIN(L$21,$C$7)</f>
        <v>1566.75999999999999</v>
      </c>
      <c r="M25" s="41">
        <f>MIN(M$21,$C$7)</f>
        <v>1567.22000000000003</v>
      </c>
      <c r="N25" s="41">
        <f>MIN(N$21,$C$7)</f>
        <v>1567.68000000000006</v>
      </c>
      <c r="O25" s="41">
        <f>MIN(O$21,$C$7)</f>
        <v>1568.1400000000001</v>
      </c>
      <c r="P25" s="41">
        <f>MIN(P$21,$C$7)</f>
        <v>1568.59999999999991</v>
      </c>
      <c r="Q25" s="41">
        <f>MIN(Q$21,$C$7)</f>
        <v>1569.05999999999995</v>
      </c>
      <c r="R25" s="41">
        <f>MIN(R$21,$C$7)</f>
        <v>1569.51999999999998</v>
      </c>
      <c r="S25" s="41">
        <f>MIN(S$21,$C$7)</f>
        <v>1569.98000000000002</v>
      </c>
      <c r="T25" s="41">
        <f>MIN(T$21,$C$7)</f>
        <v>1570.44000000000005</v>
      </c>
      <c r="U25" s="41">
        <f>MIN(U$21,$C$7)</f>
        <v>1570.90000000000009</v>
      </c>
      <c r="V25" s="41">
        <f>MIN(V$21,$C$7)</f>
        <v>1571.3599999999999</v>
      </c>
      <c r="W25" s="41">
        <f>MIN(W$21,$C$7)</f>
        <v>1571.81999999999994</v>
      </c>
      <c r="X25" s="41">
        <f>MIN(X$21,$C$7)</f>
        <v>1572.27999999999997</v>
      </c>
      <c r="Y25" s="41">
        <f>MIN(Y$21,$C$7)</f>
        <v>1572.74000000000001</v>
      </c>
      <c r="Z25" s="41">
        <f>MIN(Z$21,$C$7)</f>
        <v>1573.20000000000005</v>
      </c>
      <c r="AA25" s="41">
        <f>MIN(AA$21,$C$7)</f>
        <v>1573.66000000000008</v>
      </c>
      <c r="AB25" s="41">
        <f>MIN(AB$21,$C$7)</f>
        <v>1574.11999999999989</v>
      </c>
      <c r="AC25" s="41">
        <f>MIN(AC$21,$C$7)</f>
        <v>1574.57999999999993</v>
      </c>
      <c r="AD25" s="41">
        <f>MIN(AD$21,$C$7)</f>
        <v>1575.03999999999996</v>
      </c>
    </row>
    <row r="26" spans="1:30">
      <c r="A26" s="42" t="s">
        <v>684</v>
      </c>
      <c r="B26" s="43" t="n">
        <v>0</v>
      </c>
      <c r="C26" s="43">
        <f>IF(C22&gt;$B$4,(C22-$B$4)*$H$4,0)</f>
        <v>662.689999999988004</v>
      </c>
      <c r="D26" s="43" t="n">
        <v>0</v>
      </c>
      <c r="E26" s="43">
        <f>IF(E22&gt;$B$4,(E22-$B$4)*$H$4,0)</f>
        <v>662.689999999988004</v>
      </c>
      <c r="F26" s="43" t="n">
        <v>0</v>
      </c>
      <c r="G26" s="43">
        <f>IF(G22&gt;$B$4,(G22-$B$4)*$H$4,0)</f>
        <v>662.689999999988004</v>
      </c>
      <c r="H26" s="43" t="n">
        <v>0</v>
      </c>
      <c r="I26" s="43" t="n">
        <v>0</v>
      </c>
      <c r="J26" s="43">
        <f>IF(J22&gt;$B$4,(J22-$B$4)*$H$4,0)</f>
        <v>662.689999999988004</v>
      </c>
      <c r="K26" s="43" t="n">
        <v>0</v>
      </c>
      <c r="L26" s="43">
        <f>IF(L22&gt;$B$4,(L22-$B$4)*$H$4,0)</f>
        <v>662.689999999988004</v>
      </c>
      <c r="M26" s="43" t="n">
        <v>0</v>
      </c>
      <c r="N26" s="43">
        <f>IF(N22&gt;$B$4,(N22-$B$4)*$H$4,0)</f>
        <v>662.689999999988004</v>
      </c>
      <c r="O26" s="43" t="n">
        <v>0</v>
      </c>
      <c r="P26" s="43">
        <f>IF(P22&gt;$B$4,(P22-$B$4)*$H$4,0)</f>
        <v>662.689999999988004</v>
      </c>
      <c r="Q26" s="43" t="n">
        <v>0</v>
      </c>
      <c r="R26" s="43">
        <f>IF(R22&gt;$B$4,(R22-$B$4)*$H$4,0)</f>
        <v>662.689999999988004</v>
      </c>
      <c r="S26" s="43" t="n">
        <v>0</v>
      </c>
      <c r="T26" s="43">
        <f>IF(T22&gt;$B$4,(T22-$B$4)*$H$4,0)</f>
        <v>662.689999999988004</v>
      </c>
      <c r="U26" s="43" t="n">
        <v>0</v>
      </c>
      <c r="V26" s="43">
        <f>IF(V22&gt;$B$4,(V22-$B$4)*$H$4,0)</f>
        <v>662.689999999988004</v>
      </c>
      <c r="W26" s="43" t="n">
        <v>0</v>
      </c>
      <c r="X26" s="43">
        <f>IF(X22&gt;$B$4,(X22-$B$4)*$H$4,0)</f>
        <v>662.689999999988004</v>
      </c>
      <c r="Y26" s="43" t="n">
        <v>0</v>
      </c>
      <c r="Z26" s="43">
        <f>IF(Z22&gt;$B$4,(Z22-$B$4)*$H$4,0)</f>
        <v>662.689999999988004</v>
      </c>
      <c r="AA26" s="43" t="n">
        <v>0</v>
      </c>
      <c r="AB26" s="43">
        <f>IF(AB22&gt;$B$4,(AB22-$B$4)*$H$4,0)</f>
        <v>662.689999999988004</v>
      </c>
      <c r="AC26" s="43" t="n">
        <v>0</v>
      </c>
      <c r="AD26" s="43">
        <f>IF(AD22&gt;$B$4,(AD22-$B$4)*$H$4,0)</f>
        <v>662.689999999988004</v>
      </c>
    </row>
    <row r="27" spans="1:30">
      <c r="A27" s="42" t="s">
        <v>685</v>
      </c>
      <c r="B27" s="43" t="n">
        <v>0</v>
      </c>
      <c r="C27" s="43">
        <f>IF(C23&gt;$B$5,(C23-$B$5)*$H$5,0)</f>
        <v>0</v>
      </c>
      <c r="D27" s="43" t="n">
        <v>0</v>
      </c>
      <c r="E27" s="43">
        <f>IF(E23&gt;$B$5,(E23-$B$5)*$H$5,0)</f>
        <v>0</v>
      </c>
      <c r="F27" s="43" t="n">
        <v>0</v>
      </c>
      <c r="G27" s="43">
        <f>IF(G23&gt;$B$5,(G23-$B$5)*$H$5,0)</f>
        <v>0</v>
      </c>
      <c r="H27" s="43" t="n">
        <v>0</v>
      </c>
      <c r="I27" s="43" t="n">
        <v>0</v>
      </c>
      <c r="J27" s="43">
        <f>IF(J23&gt;$B$5,(J23-$B$5)*$H$5,0)</f>
        <v>0</v>
      </c>
      <c r="K27" s="43" t="n">
        <v>0</v>
      </c>
      <c r="L27" s="43">
        <f>IF(L23&gt;$B$5,(L23-$B$5)*$H$5,0)</f>
        <v>0</v>
      </c>
      <c r="M27" s="43" t="n">
        <v>0</v>
      </c>
      <c r="N27" s="43">
        <f>IF(N23&gt;$B$5,(N23-$B$5)*$H$5,0)</f>
        <v>0</v>
      </c>
      <c r="O27" s="43" t="n">
        <v>0</v>
      </c>
      <c r="P27" s="43">
        <f>IF(P23&gt;$B$5,(P23-$B$5)*$H$5,0)</f>
        <v>0</v>
      </c>
      <c r="Q27" s="43" t="n">
        <v>0</v>
      </c>
      <c r="R27" s="43">
        <f>IF(R23&gt;$B$5,(R23-$B$5)*$H$5,0)</f>
        <v>0</v>
      </c>
      <c r="S27" s="43" t="n">
        <v>0</v>
      </c>
      <c r="T27" s="43">
        <f>IF(T23&gt;$B$5,(T23-$B$5)*$H$5,0)</f>
        <v>0</v>
      </c>
      <c r="U27" s="43" t="n">
        <v>0</v>
      </c>
      <c r="V27" s="43">
        <f>IF(V23&gt;$B$5,(V23-$B$5)*$H$5,0)</f>
        <v>0</v>
      </c>
      <c r="W27" s="43" t="n">
        <v>0</v>
      </c>
      <c r="X27" s="43">
        <f>IF(X23&gt;$B$5,(X23-$B$5)*$H$5,0)</f>
        <v>0</v>
      </c>
      <c r="Y27" s="43" t="n">
        <v>0</v>
      </c>
      <c r="Z27" s="43">
        <f>IF(Z23&gt;$B$5,(Z23-$B$5)*$H$5,0)</f>
        <v>0</v>
      </c>
      <c r="AA27" s="43" t="n">
        <v>0</v>
      </c>
      <c r="AB27" s="43">
        <f>IF(AB23&gt;$B$5,(AB23-$B$5)*$H$5,0)</f>
        <v>0</v>
      </c>
      <c r="AC27" s="43" t="n">
        <v>0</v>
      </c>
      <c r="AD27" s="43">
        <f>IF(AD23&gt;$B$5,(AD23-$B$5)*$H$5,0)</f>
        <v>0</v>
      </c>
    </row>
    <row r="28" spans="1:30">
      <c r="A28" s="42" t="s">
        <v>686</v>
      </c>
      <c r="B28" s="43" t="n">
        <v>0</v>
      </c>
      <c r="C28" s="43">
        <f>IF(C24&gt;$B$6,(C24-$B$6)*$H$6,0)</f>
        <v>0</v>
      </c>
      <c r="D28" s="43" t="n">
        <v>0</v>
      </c>
      <c r="E28" s="43">
        <f>IF(E24&gt;$B$6,(E24-$B$6)*$H$6,0)</f>
        <v>0</v>
      </c>
      <c r="F28" s="43" t="n">
        <v>0</v>
      </c>
      <c r="G28" s="43">
        <f>IF(G24&gt;$B$6,(G24-$B$6)*$H$6,0)</f>
        <v>0</v>
      </c>
      <c r="H28" s="43" t="n">
        <v>0</v>
      </c>
      <c r="I28" s="43" t="n">
        <v>0</v>
      </c>
      <c r="J28" s="43">
        <f>IF(J24&gt;$B$6,(J24-$B$6)*$H$6,0)</f>
        <v>0</v>
      </c>
      <c r="K28" s="43" t="n">
        <v>0</v>
      </c>
      <c r="L28" s="43">
        <f>IF(L24&gt;$B$6,(L24-$B$6)*$H$6,0)</f>
        <v>0</v>
      </c>
      <c r="M28" s="43" t="n">
        <v>0</v>
      </c>
      <c r="N28" s="43">
        <f>IF(N24&gt;$B$6,(N24-$B$6)*$H$6,0)</f>
        <v>0</v>
      </c>
      <c r="O28" s="43" t="n">
        <v>0</v>
      </c>
      <c r="P28" s="43">
        <f>IF(P24&gt;$B$6,(P24-$B$6)*$H$6,0)</f>
        <v>0</v>
      </c>
      <c r="Q28" s="43" t="n">
        <v>0</v>
      </c>
      <c r="R28" s="43">
        <f>IF(R24&gt;$B$6,(R24-$B$6)*$H$6,0)</f>
        <v>0</v>
      </c>
      <c r="S28" s="43" t="n">
        <v>0</v>
      </c>
      <c r="T28" s="43">
        <f>IF(T24&gt;$B$6,(T24-$B$6)*$H$6,0)</f>
        <v>0</v>
      </c>
      <c r="U28" s="43" t="n">
        <v>0</v>
      </c>
      <c r="V28" s="43">
        <f>IF(V24&gt;$B$6,(V24-$B$6)*$H$6,0)</f>
        <v>0</v>
      </c>
      <c r="W28" s="43" t="n">
        <v>0</v>
      </c>
      <c r="X28" s="43">
        <f>IF(X24&gt;$B$6,(X24-$B$6)*$H$6,0)</f>
        <v>0</v>
      </c>
      <c r="Y28" s="43" t="n">
        <v>0</v>
      </c>
      <c r="Z28" s="43">
        <f>IF(Z24&gt;$B$6,(Z24-$B$6)*$H$6,0)</f>
        <v>0</v>
      </c>
      <c r="AA28" s="43" t="n">
        <v>0</v>
      </c>
      <c r="AB28" s="43">
        <f>IF(AB24&gt;$B$6,(AB24-$B$6)*$H$6,0)</f>
        <v>0</v>
      </c>
      <c r="AC28" s="43" t="n">
        <v>0</v>
      </c>
      <c r="AD28" s="43">
        <f>IF(AD24&gt;$B$6,(AD24-$B$6)*$H$6,0)</f>
        <v>0</v>
      </c>
    </row>
    <row r="29" spans="1:30">
      <c r="A29" s="42" t="s">
        <v>687</v>
      </c>
      <c r="B29" s="43" t="n">
        <v>0</v>
      </c>
      <c r="C29" s="43">
        <f>IF(C25&gt;$B$7,(C25-$B$7)*$H$7,0)</f>
        <v>0</v>
      </c>
      <c r="D29" s="43" t="n">
        <v>0</v>
      </c>
      <c r="E29" s="43">
        <f>IF(E25&gt;$B$7,(E25-$B$7)*$H$7,0)</f>
        <v>0</v>
      </c>
      <c r="F29" s="43" t="n">
        <v>0</v>
      </c>
      <c r="G29" s="43">
        <f>IF(G25&gt;$B$7,(G25-$B$7)*$H$7,0)</f>
        <v>0</v>
      </c>
      <c r="H29" s="43" t="n">
        <v>0</v>
      </c>
      <c r="I29" s="43" t="n">
        <v>0</v>
      </c>
      <c r="J29" s="43">
        <f>IF(J25&gt;$B$7,(J25-$B$7)*$H$7,0)</f>
        <v>0</v>
      </c>
      <c r="K29" s="43" t="n">
        <v>0</v>
      </c>
      <c r="L29" s="43">
        <f>IF(L25&gt;$B$7,(L25-$B$7)*$H$7,0)</f>
        <v>0</v>
      </c>
      <c r="M29" s="43" t="n">
        <v>0</v>
      </c>
      <c r="N29" s="43">
        <f>IF(N25&gt;$B$7,(N25-$B$7)*$H$7,0)</f>
        <v>0</v>
      </c>
      <c r="O29" s="43" t="n">
        <v>0</v>
      </c>
      <c r="P29" s="43">
        <f>IF(P25&gt;$B$7,(P25-$B$7)*$H$7,0)</f>
        <v>0</v>
      </c>
      <c r="Q29" s="43" t="n">
        <v>0</v>
      </c>
      <c r="R29" s="43">
        <f>IF(R25&gt;$B$7,(R25-$B$7)*$H$7,0)</f>
        <v>0</v>
      </c>
      <c r="S29" s="43" t="n">
        <v>0</v>
      </c>
      <c r="T29" s="43">
        <f>IF(T25&gt;$B$7,(T25-$B$7)*$H$7,0)</f>
        <v>0</v>
      </c>
      <c r="U29" s="43" t="n">
        <v>0</v>
      </c>
      <c r="V29" s="43">
        <f>IF(V25&gt;$B$7,(V25-$B$7)*$H$7,0)</f>
        <v>0</v>
      </c>
      <c r="W29" s="43" t="n">
        <v>0</v>
      </c>
      <c r="X29" s="43">
        <f>IF(X25&gt;$B$7,(X25-$B$7)*$H$7,0)</f>
        <v>0</v>
      </c>
      <c r="Y29" s="43" t="n">
        <v>0</v>
      </c>
      <c r="Z29" s="43">
        <f>IF(Z25&gt;$B$7,(Z25-$B$7)*$H$7,0)</f>
        <v>0</v>
      </c>
      <c r="AA29" s="43" t="n">
        <v>0</v>
      </c>
      <c r="AB29" s="43">
        <f>IF(AB25&gt;$B$7,(AB25-$B$7)*$H$7,0)</f>
        <v>0</v>
      </c>
      <c r="AC29" s="43" t="n">
        <v>0</v>
      </c>
      <c r="AD29" s="43">
        <f>IF(AD25&gt;$B$7,(AD25-$B$7)*$H$7,0)</f>
        <v>0</v>
      </c>
    </row>
    <row r="30" spans="1:30">
      <c r="A30" s="44" t="s">
        <v>688</v>
      </c>
      <c r="B30" s="45">
        <f>G4+G5+G6+G7</f>
        <v>116.733999999999995</v>
      </c>
      <c r="C30" s="45">
        <f>B30</f>
        <v>116.733999999999995</v>
      </c>
      <c r="D30" s="45">
        <f>C30</f>
        <v>116.733999999999995</v>
      </c>
      <c r="E30" s="45">
        <f>D30</f>
        <v>116.733999999999995</v>
      </c>
      <c r="F30" s="45">
        <f>E30</f>
        <v>116.733999999999995</v>
      </c>
      <c r="G30" s="45">
        <f>F30</f>
        <v>116.733999999999995</v>
      </c>
      <c r="H30" s="45">
        <f>G30</f>
        <v>116.733999999999995</v>
      </c>
      <c r="I30" s="45">
        <f>H30</f>
        <v>116.733999999999995</v>
      </c>
      <c r="J30" s="45">
        <f>I30</f>
        <v>116.733999999999995</v>
      </c>
      <c r="K30" s="45">
        <f>J30</f>
        <v>116.733999999999995</v>
      </c>
      <c r="L30" s="45">
        <f>K30</f>
        <v>116.733999999999995</v>
      </c>
      <c r="M30" s="45">
        <f>L30</f>
        <v>116.733999999999995</v>
      </c>
      <c r="N30" s="45">
        <f>M30</f>
        <v>116.733999999999995</v>
      </c>
      <c r="O30" s="45">
        <f>N30</f>
        <v>116.733999999999995</v>
      </c>
      <c r="P30" s="45">
        <f>O30</f>
        <v>116.733999999999995</v>
      </c>
      <c r="Q30" s="45">
        <f>P30</f>
        <v>116.733999999999995</v>
      </c>
      <c r="R30" s="45">
        <f>Q30</f>
        <v>116.733999999999995</v>
      </c>
      <c r="S30" s="45">
        <f>R30</f>
        <v>116.733999999999995</v>
      </c>
      <c r="T30" s="45">
        <f>S30</f>
        <v>116.733999999999995</v>
      </c>
      <c r="U30" s="45">
        <f>T30</f>
        <v>116.733999999999995</v>
      </c>
      <c r="V30" s="45">
        <f>U30</f>
        <v>116.733999999999995</v>
      </c>
      <c r="W30" s="45">
        <f>V30</f>
        <v>116.733999999999995</v>
      </c>
      <c r="X30" s="45">
        <f>W30</f>
        <v>116.733999999999995</v>
      </c>
      <c r="Y30" s="45">
        <f>X30</f>
        <v>116.733999999999995</v>
      </c>
      <c r="Z30" s="45">
        <f>Y30</f>
        <v>116.733999999999995</v>
      </c>
      <c r="AA30" s="45">
        <f>Z30</f>
        <v>116.733999999999995</v>
      </c>
      <c r="AB30" s="45">
        <f>AA30</f>
        <v>116.733999999999995</v>
      </c>
      <c r="AC30" s="45">
        <f>AB30</f>
        <v>116.733999999999995</v>
      </c>
      <c r="AD30" s="45">
        <f>AC30</f>
        <v>116.733999999999995</v>
      </c>
    </row>
    <row r="31" spans="1:30">
      <c r="A31" s="46" t="s">
        <v>689</v>
      </c>
      <c r="B31" s="47">
        <f>B26+B27+B28+B29-B30</f>
        <v>-116.733999999999995</v>
      </c>
      <c r="C31" s="47">
        <f>C26+C27+C28+C29-C30</f>
        <v>545.955999999987966</v>
      </c>
      <c r="D31" s="47">
        <f>D26+D27+D28+D29-D30</f>
        <v>-116.733999999999995</v>
      </c>
      <c r="E31" s="47">
        <f>E26+E27+E28+E29-E30</f>
        <v>545.955999999987966</v>
      </c>
      <c r="F31" s="47">
        <f>F26+F27+F28+F29-F30</f>
        <v>-116.733999999999995</v>
      </c>
      <c r="G31" s="47">
        <f>G26+G27+G28+G29-G30</f>
        <v>545.955999999987966</v>
      </c>
      <c r="H31" s="47">
        <f>H26+H27+H28+H29-H30</f>
        <v>-116.733999999999995</v>
      </c>
      <c r="I31" s="47">
        <f>I26+I27+I28+I29-I30</f>
        <v>-116.733999999999995</v>
      </c>
      <c r="J31" s="47">
        <f>J26+J27+J28+J29-J30</f>
        <v>545.955999999987966</v>
      </c>
      <c r="K31" s="47">
        <f>K26+K27+K28+K29-K30</f>
        <v>-116.733999999999995</v>
      </c>
      <c r="L31" s="47">
        <f>L26+L27+L28+L29-L30</f>
        <v>545.955999999987966</v>
      </c>
      <c r="M31" s="47">
        <f>M26+M27+M28+M29-M30</f>
        <v>-116.733999999999995</v>
      </c>
      <c r="N31" s="47">
        <f>N26+N27+N28+N29-N30</f>
        <v>545.955999999987966</v>
      </c>
      <c r="O31" s="47">
        <f>O26+O27+O28+O29-O30</f>
        <v>-116.733999999999995</v>
      </c>
      <c r="P31" s="47">
        <f>P26+P27+P28+P29-P30</f>
        <v>545.955999999987966</v>
      </c>
      <c r="Q31" s="47">
        <f>Q26+Q27+Q28+Q29-Q30</f>
        <v>-116.733999999999995</v>
      </c>
      <c r="R31" s="47">
        <f>R26+R27+R28+R29-R30</f>
        <v>545.955999999987966</v>
      </c>
      <c r="S31" s="47">
        <f>S26+S27+S28+S29-S30</f>
        <v>-116.733999999999995</v>
      </c>
      <c r="T31" s="47">
        <f>T26+T27+T28+T29-T30</f>
        <v>545.955999999987966</v>
      </c>
      <c r="U31" s="47">
        <f>U26+U27+U28+U29-U30</f>
        <v>-116.733999999999995</v>
      </c>
      <c r="V31" s="47">
        <f>V26+V27+V28+V29-V30</f>
        <v>545.955999999987966</v>
      </c>
      <c r="W31" s="47">
        <f>W26+W27+W28+W29-W30</f>
        <v>-116.733999999999995</v>
      </c>
      <c r="X31" s="47">
        <f>X26+X27+X28+X29-X30</f>
        <v>545.955999999987966</v>
      </c>
      <c r="Y31" s="47">
        <f>Y26+Y27+Y28+Y29-Y30</f>
        <v>-116.733999999999995</v>
      </c>
      <c r="Z31" s="47">
        <f>Z26+Z27+Z28+Z29-Z30</f>
        <v>545.955999999987966</v>
      </c>
      <c r="AA31" s="47">
        <f>AA26+AA27+AA28+AA29-AA30</f>
        <v>-116.733999999999995</v>
      </c>
      <c r="AB31" s="47">
        <f>AB26+AB27+AB28+AB29-AB30</f>
        <v>545.955999999987966</v>
      </c>
      <c r="AC31" s="47">
        <f>AC26+AC27+AC28+AC29-AC30</f>
        <v>-116.733999999999995</v>
      </c>
      <c r="AD31" s="47">
        <f>AD26+AD27+AD28+AD29-AD30</f>
        <v>545.955999999987966</v>
      </c>
    </row>
    <row r="32" spans="1:30">
      <c r="A32" s="48" t="s">
        <v>690</v>
      </c>
      <c r="B32" s="47">
        <f>-B12-B11+B31</f>
        <v>-21389.0839999999989</v>
      </c>
      <c r="C32" s="47">
        <f>B32+C31</f>
        <v>-20843.1280000000006</v>
      </c>
      <c r="D32" s="47">
        <f>C32+D31</f>
        <v>-20959.862000000001</v>
      </c>
      <c r="E32" s="47">
        <f>D32+E31</f>
        <v>-20413.905999999999</v>
      </c>
      <c r="F32" s="47">
        <f>E32+F31</f>
        <v>-20530.6399999999994</v>
      </c>
      <c r="G32" s="47">
        <f>F32+G31</f>
        <v>-19984.6840000000011</v>
      </c>
      <c r="H32" s="47">
        <f>G32+H31</f>
        <v>-20101.4180000000015</v>
      </c>
      <c r="I32" s="47">
        <f>H32+I31</f>
        <v>-20218.1519999999982</v>
      </c>
      <c r="J32" s="47">
        <f>I32+J31</f>
        <v>-19672.1959999999999</v>
      </c>
      <c r="K32" s="47">
        <f>J32+K31</f>
        <v>-19788.9300000000003</v>
      </c>
      <c r="L32" s="47">
        <f>K32+L31</f>
        <v>-19242.9739999999983</v>
      </c>
      <c r="M32" s="47">
        <f>L32+M31</f>
        <v>-19359.7079999999987</v>
      </c>
      <c r="N32" s="47">
        <f>M32+N31</f>
        <v>-18813.7520000000004</v>
      </c>
      <c r="O32" s="47">
        <f>N32+O31</f>
        <v>-18930.4860000000008</v>
      </c>
      <c r="P32" s="47">
        <f>O32+P31</f>
        <v>-18384.5299999999988</v>
      </c>
      <c r="Q32" s="47">
        <f>P32+Q31</f>
        <v>-18501.2639999999992</v>
      </c>
      <c r="R32" s="47">
        <f>Q32+R31</f>
        <v>-17955.3080000000009</v>
      </c>
      <c r="S32" s="47">
        <f>R32+S31</f>
        <v>-18072.0420000000013</v>
      </c>
      <c r="T32" s="47">
        <f>S32+T31</f>
        <v>-17526.0859999999993</v>
      </c>
      <c r="U32" s="47">
        <f>T32+U31</f>
        <v>-17642.8199999999997</v>
      </c>
      <c r="V32" s="47">
        <f>U32+V31</f>
        <v>-17096.8640000000014</v>
      </c>
      <c r="W32" s="47">
        <f>V32+W31</f>
        <v>-17213.5980000000018</v>
      </c>
      <c r="X32" s="47">
        <f>W32+X31</f>
        <v>-16667.6419999999998</v>
      </c>
      <c r="Y32" s="47">
        <f>X32+Y31</f>
        <v>-16784.3760000000002</v>
      </c>
      <c r="Z32" s="47">
        <f>Y32+Z31</f>
        <v>-16238.4200000000001</v>
      </c>
      <c r="AA32" s="47">
        <f>Z32+AA31</f>
        <v>-16355.1540000000005</v>
      </c>
      <c r="AB32" s="47">
        <f>AA32+AB31</f>
        <v>-15809.1980000000003</v>
      </c>
      <c r="AC32" s="47">
        <f>AB32+AC31</f>
        <v>-15925.9320000000007</v>
      </c>
      <c r="AD32" s="47">
        <f>AC32+AD31</f>
        <v>-15379.9760000000006</v>
      </c>
    </row>
    <row r="33" spans="2:30">
      <c r="B33" s="49">
        <f>B32/$B$13</f>
        <v>-1.00548759304919</v>
      </c>
      <c r="C33" s="49">
        <f>C32/$B$13</f>
        <v>-0.979822539587775054</v>
      </c>
      <c r="D33" s="49">
        <f>D32/$B$13</f>
        <v>-0.985310132636968028</v>
      </c>
      <c r="E33" s="49">
        <f>E32/$B$13</f>
        <v>-0.959645079175549931</v>
      </c>
      <c r="F33" s="49">
        <f>F32/$B$13</f>
        <v>-0.965132672224742905</v>
      </c>
      <c r="G33" s="49">
        <f>G32/$B$13</f>
        <v>-0.939467618763323919</v>
      </c>
      <c r="H33" s="49">
        <f>H32/$B$13</f>
        <v>-0.944955211812516893</v>
      </c>
      <c r="I33" s="49">
        <f>I32/$B$13</f>
        <v>-0.950442804861710044</v>
      </c>
      <c r="J33" s="49">
        <f>J32/$B$13</f>
        <v>-0.924777751400291947</v>
      </c>
      <c r="K33" s="49">
        <f>K32/$B$13</f>
        <v>-0.930265344449485099</v>
      </c>
      <c r="L33" s="49">
        <f>L32/$B$13</f>
        <v>-0.904600290988067002</v>
      </c>
      <c r="M33" s="49">
        <f>M32/$B$13</f>
        <v>-0.910087884037259975</v>
      </c>
      <c r="N33" s="49">
        <f>N32/$B$13</f>
        <v>-0.884422830575842056</v>
      </c>
      <c r="O33" s="49">
        <f>O32/$B$13</f>
        <v>-0.889910423625033964</v>
      </c>
      <c r="P33" s="49">
        <f>P32/$B$13</f>
        <v>-0.864245370163616045</v>
      </c>
      <c r="Q33" s="49">
        <f>Q32/$B$13</f>
        <v>-0.869732963212809018</v>
      </c>
      <c r="R33" s="49">
        <f>R32/$B$13</f>
        <v>-0.844067909751391099</v>
      </c>
      <c r="S33" s="49">
        <f>S32/$B$13</f>
        <v>-0.849555502800584073</v>
      </c>
      <c r="T33" s="49">
        <f>T32/$B$13</f>
        <v>-0.823890449339165976</v>
      </c>
      <c r="U33" s="49">
        <f>U32/$B$13</f>
        <v>-0.829378042388358949</v>
      </c>
      <c r="V33" s="49">
        <f>V32/$B$13</f>
        <v>-0.80371298892694103</v>
      </c>
      <c r="W33" s="49">
        <f>W32/$B$13</f>
        <v>-0.809200581976132938</v>
      </c>
      <c r="X33" s="49">
        <f>X32/$B$13</f>
        <v>-0.783535528514715018</v>
      </c>
      <c r="Y33" s="49">
        <f>Y32/$B$13</f>
        <v>-0.789023121563907992</v>
      </c>
      <c r="Z33" s="49">
        <f>Z32/$B$13</f>
        <v>-0.763358068102489984</v>
      </c>
      <c r="AA33" s="49">
        <f>AA32/$B$13</f>
        <v>-0.768845661151682958</v>
      </c>
      <c r="AB33" s="49">
        <f>AB32/$B$13</f>
        <v>-0.743180607690264949</v>
      </c>
      <c r="AC33" s="49">
        <f>AC32/$B$13</f>
        <v>-0.748668200739457923</v>
      </c>
      <c r="AD33" s="49">
        <f>AD32/$B$13</f>
        <v>-0.723003147278039027</v>
      </c>
    </row>
    <row r="34" spans="1:30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</row>
    <row r="35" spans="1:30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</row>
    <row r="37" spans="2:16">
      <c r="B37" s="119">
        <f>B18/B17</f>
        <v>0.576092174747960062</v>
      </c>
      <c r="C37" s="119">
        <f>C18/C17</f>
        <v>0.576092174747960062</v>
      </c>
      <c r="D37" s="119">
        <f>D18/D17</f>
        <v>0.576092174747960062</v>
      </c>
      <c r="E37" s="119">
        <f>E18/E17</f>
        <v>0.576092174747960062</v>
      </c>
      <c r="F37" s="119">
        <f>F18/F17</f>
        <v>0.576092174747960062</v>
      </c>
      <c r="G37" s="119">
        <f>G18/G17</f>
        <v>0.576092174747960062</v>
      </c>
      <c r="H37" s="119">
        <f>H18/H17</f>
        <v>0.576092174747960062</v>
      </c>
      <c r="I37" s="119">
        <f>I18/I17</f>
        <v>0.576092174747960062</v>
      </c>
      <c r="J37" s="119">
        <f>J18/J17</f>
        <v>0.576092174747960062</v>
      </c>
      <c r="K37" s="119">
        <f>K18/K17</f>
        <v>0.576092174747960062</v>
      </c>
      <c r="L37" s="119">
        <f>L18/L17</f>
        <v>0.576092174747960062</v>
      </c>
      <c r="M37" s="119">
        <f>M18/M17</f>
        <v>0.576092174747960062</v>
      </c>
      <c r="N37" s="119">
        <f>N18/N17</f>
        <v>0.576092174747960062</v>
      </c>
      <c r="O37" s="119">
        <f>O18/O17</f>
        <v>0.576092174747960062</v>
      </c>
      <c r="P37" s="119">
        <f>P18/P17</f>
        <v>0.576092174747960062</v>
      </c>
    </row>
    <row r="38" spans="2:16">
      <c r="B38" s="119">
        <f>B19/B17</f>
        <v>0.217474795967354995</v>
      </c>
      <c r="C38" s="119">
        <f>C19/C17</f>
        <v>0.217474795967354995</v>
      </c>
      <c r="D38" s="119">
        <f>D19/D17</f>
        <v>0.217474795967354995</v>
      </c>
      <c r="E38" s="119">
        <f>E19/E17</f>
        <v>0.217474795967354995</v>
      </c>
      <c r="F38" s="119">
        <f>F19/F17</f>
        <v>0.217474795967354995</v>
      </c>
      <c r="G38" s="119">
        <f>G19/G17</f>
        <v>0.217474795967354995</v>
      </c>
      <c r="H38" s="119">
        <f>H19/H17</f>
        <v>0.217474795967354995</v>
      </c>
      <c r="I38" s="119">
        <f>I19/I17</f>
        <v>0.217474795967354995</v>
      </c>
      <c r="J38" s="119">
        <f>J19/J17</f>
        <v>0.217474795967354995</v>
      </c>
      <c r="K38" s="119">
        <f>K19/K17</f>
        <v>0.217474795967354995</v>
      </c>
      <c r="L38" s="119">
        <f>L19/L17</f>
        <v>0.217474795967354995</v>
      </c>
      <c r="M38" s="119">
        <f>M19/M17</f>
        <v>0.217474795967354995</v>
      </c>
      <c r="N38" s="119">
        <f>N19/N17</f>
        <v>0.217474795967354995</v>
      </c>
      <c r="O38" s="119">
        <f>O19/O17</f>
        <v>0.217474795967354995</v>
      </c>
      <c r="P38" s="119">
        <f>P19/P17</f>
        <v>0.217474795967354995</v>
      </c>
    </row>
    <row r="39" spans="2:16">
      <c r="B39" s="119">
        <f>B20/B17</f>
        <v>0.184349495919347</v>
      </c>
      <c r="C39" s="119">
        <f>C20/C17</f>
        <v>0.184349495919347</v>
      </c>
      <c r="D39" s="119">
        <f>D20/D17</f>
        <v>0.184349495919347</v>
      </c>
      <c r="E39" s="119">
        <f>E20/E17</f>
        <v>0.184349495919347</v>
      </c>
      <c r="F39" s="119">
        <f>F20/F17</f>
        <v>0.184349495919347</v>
      </c>
      <c r="G39" s="119">
        <f>G20/G17</f>
        <v>0.184349495919347</v>
      </c>
      <c r="H39" s="119">
        <f>H20/H17</f>
        <v>0.184349495919347</v>
      </c>
      <c r="I39" s="119">
        <f>I20/I17</f>
        <v>0.184349495919347</v>
      </c>
      <c r="J39" s="119">
        <f>J20/J17</f>
        <v>0.184349495919347</v>
      </c>
      <c r="K39" s="119">
        <f>K20/K17</f>
        <v>0.184349495919347</v>
      </c>
      <c r="L39" s="119">
        <f>L20/L17</f>
        <v>0.184349495919347</v>
      </c>
      <c r="M39" s="119">
        <f>M20/M17</f>
        <v>0.184349495919347</v>
      </c>
      <c r="N39" s="119">
        <f>N20/N17</f>
        <v>0.184349495919347</v>
      </c>
      <c r="O39" s="119">
        <f>O20/O17</f>
        <v>0.184349495919347</v>
      </c>
      <c r="P39" s="119">
        <f>P20/P17</f>
        <v>0.184349495919347</v>
      </c>
    </row>
    <row r="40" spans="2:16">
      <c r="B40" s="119">
        <f>B21/B17</f>
        <v>0.0220835333653379973</v>
      </c>
      <c r="C40" s="119">
        <f>C21/C17</f>
        <v>0.0220835333653379973</v>
      </c>
      <c r="D40" s="119">
        <f>D21/D17</f>
        <v>0.0220835333653379973</v>
      </c>
      <c r="E40" s="119">
        <f>E21/E17</f>
        <v>0.0220835333653379973</v>
      </c>
      <c r="F40" s="119">
        <f>F21/F17</f>
        <v>0.0220835333653379973</v>
      </c>
      <c r="G40" s="119">
        <f>G21/G17</f>
        <v>0.0220835333653379973</v>
      </c>
      <c r="H40" s="119">
        <f>H21/H17</f>
        <v>0.0220835333653379973</v>
      </c>
      <c r="I40" s="119">
        <f>I21/I17</f>
        <v>0.0220835333653379973</v>
      </c>
      <c r="J40" s="119">
        <f>J21/J17</f>
        <v>0.0220835333653379973</v>
      </c>
      <c r="K40" s="119">
        <f>K21/K17</f>
        <v>0.0220835333653379973</v>
      </c>
      <c r="L40" s="119">
        <f>L21/L17</f>
        <v>0.0220835333653379973</v>
      </c>
      <c r="M40" s="119">
        <f>M21/M17</f>
        <v>0.0220835333653379973</v>
      </c>
      <c r="N40" s="119">
        <f>N21/N17</f>
        <v>0.0220835333653379973</v>
      </c>
      <c r="O40" s="119">
        <f>O21/O17</f>
        <v>0.0220835333653379973</v>
      </c>
      <c r="P40" s="119">
        <f>P21/P17</f>
        <v>0.0220835333653379973</v>
      </c>
    </row>
    <row r="41" spans="7:9">
      <c r="G41" s="54">
        <f>G21-B7</f>
        <v>-131.539999999999992</v>
      </c>
      <c r="I41" s="54">
        <f>I21-B7</f>
        <v>-130.620000000000005</v>
      </c>
    </row>
    <row r="43" spans="4:4">
      <c r="D43" t="n">
        <v>46500</v>
      </c>
    </row>
    <row r="44" spans="4:4">
      <c r="D44">
        <f>D43*D37</f>
        <v>26788.2861257801014</v>
      </c>
    </row>
    <row r="45" spans="4:4">
      <c r="D45">
        <f>D38*D43</f>
        <v>10112.5780124819994</v>
      </c>
    </row>
    <row r="46" spans="4:4">
      <c r="D46">
        <f>D39*D43</f>
        <v>8572.25156024964053</v>
      </c>
    </row>
    <row r="47" spans="4:4">
      <c r="D47">
        <f>D40*D43</f>
        <v>1026.88430148821999</v>
      </c>
    </row>
  </sheetData>
  <mergeCells count="3">
    <mergeCell ref="D2:E2"/>
    <mergeCell ref="F2:G2"/>
    <mergeCell ref="H2:I2"/>
  </mergeCells>
  <conditionalFormatting sqref="B32:AD32">
    <cfRule type="cellIs" dxfId="77" priority="1" operator="lessThan">
      <formula>0</formula>
    </cfRule>
  </conditionalFormatting>
  <conditionalFormatting sqref="B32:AD32">
    <cfRule type="cellIs" dxfId="78" priority="2" operator="greaterThan">
      <formula>0</formula>
    </cfRule>
  </conditionalFormatting>
  <printOptions>
    <extLst>
      <ext uri="smNativeData">
        <pm:pageFlags xmlns:pm="smNativeData" id="1595601780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601780" l="56" r="56" t="56" b="56" borderId="0" fillId="0" vertical="0"/>
        <pm:footer xmlns:pm="smNativeData" id="1595601780" l="56" r="56" t="56" b="56" borderId="0" fillId="0" vertical="2"/>
      </ext>
    </extLst>
  </headerFooter>
  <extLst>
    <ext uri="smNativeData">
      <pm:sheetPrefs xmlns:pm="smNativeData" day="1595601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uny11</cp:lastModifiedBy>
  <cp:revision>0</cp:revision>
  <dcterms:created xsi:type="dcterms:W3CDTF">2006-09-12T14:46:56Z</dcterms:created>
  <dcterms:modified xsi:type="dcterms:W3CDTF">2020-07-24T14:43:00Z</dcterms:modified>
</cp:coreProperties>
</file>