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E93C5E44-1A78-4141-8AC1-394379C1332A}" xr6:coauthVersionLast="47" xr6:coauthVersionMax="47" xr10:uidLastSave="{00000000-0000-0000-0000-000000000000}"/>
  <bookViews>
    <workbookView xWindow="990" yWindow="-120" windowWidth="27930" windowHeight="16440" tabRatio="500" firstSheet="2" activeTab="3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Calculadora_Tactica" sheetId="9" r:id="rId6"/>
    <sheet name="Patrocinadores" sheetId="29" r:id="rId7"/>
    <sheet name="ECONOMIA" sheetId="25" r:id="rId8"/>
    <sheet name="Planning_v3" sheetId="23" r:id="rId9"/>
    <sheet name="T78_III.7" sheetId="26" r:id="rId10"/>
    <sheet name="Evaluacion" sheetId="7" r:id="rId11"/>
    <sheet name="Estudio_Conversion_TL" sheetId="22" r:id="rId12"/>
    <sheet name="Capitan" sheetId="10" r:id="rId13"/>
    <sheet name="Entrenador" sheetId="11" r:id="rId14"/>
    <sheet name="Entrenamiento" sheetId="12" r:id="rId15"/>
    <sheet name="Resumen_Rend" sheetId="13" r:id="rId16"/>
    <sheet name="352" sheetId="14" r:id="rId17"/>
    <sheet name="541" sheetId="15" r:id="rId18"/>
    <sheet name="DEF" sheetId="16" r:id="rId19"/>
    <sheet name="JUG" sheetId="17" r:id="rId20"/>
    <sheet name="ANO" sheetId="18" r:id="rId21"/>
    <sheet name="XUTS" sheetId="19" r:id="rId22"/>
    <sheet name="BP" sheetId="20" r:id="rId23"/>
    <sheet name="El Desierto de Tattoine" sheetId="21" r:id="rId24"/>
    <sheet name="Inner" sheetId="24" r:id="rId25"/>
  </sheets>
  <definedNames>
    <definedName name="_xlnm._FilterDatabase" localSheetId="11" hidden="1">Estudio_Conversion_TL!$L$1:$O$1</definedName>
  </definedNames>
  <calcPr calcId="191029"/>
  <pivotCaches>
    <pivotCache cacheId="7" r:id="rId26"/>
    <pivotCache cacheId="8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C4" i="2" l="1"/>
  <c r="AC8" i="2"/>
  <c r="AC7" i="2"/>
  <c r="AC16" i="2"/>
  <c r="AC15" i="2"/>
  <c r="AC14" i="2"/>
  <c r="AC17" i="2"/>
  <c r="Z6" i="2"/>
  <c r="Z9" i="2"/>
  <c r="Z8" i="2"/>
  <c r="Z7" i="2"/>
  <c r="Z15" i="2"/>
  <c r="Z17" i="2"/>
  <c r="Z18" i="2"/>
  <c r="Z14" i="2"/>
  <c r="Z13" i="2"/>
  <c r="Z19" i="2"/>
  <c r="Y19" i="2"/>
  <c r="Y17" i="2"/>
  <c r="Y18" i="2"/>
  <c r="Y4" i="2"/>
  <c r="Y16" i="2"/>
  <c r="Y15" i="2"/>
  <c r="Y14" i="2"/>
  <c r="Y13" i="2"/>
  <c r="Y8" i="2"/>
  <c r="Y7" i="2"/>
  <c r="Y9" i="2"/>
  <c r="Y10" i="2"/>
  <c r="D3" i="29"/>
  <c r="C3" i="29"/>
  <c r="D7" i="29"/>
  <c r="C7" i="29"/>
  <c r="D6" i="29"/>
  <c r="C6" i="29"/>
  <c r="D4" i="29"/>
  <c r="C4" i="29"/>
  <c r="D2" i="29"/>
  <c r="C2" i="29"/>
  <c r="D9" i="29"/>
  <c r="C9" i="29"/>
  <c r="D8" i="29"/>
  <c r="C8" i="29"/>
  <c r="L61" i="1" l="1"/>
  <c r="B39" i="1"/>
  <c r="G10" i="21"/>
  <c r="G11" i="21"/>
  <c r="G12" i="21"/>
  <c r="G9" i="21"/>
  <c r="F16" i="21"/>
  <c r="G16" i="21" s="1"/>
  <c r="I16" i="21"/>
  <c r="J16" i="21"/>
  <c r="L16" i="21"/>
  <c r="M16" i="21"/>
  <c r="O16" i="21"/>
  <c r="P16" i="21"/>
  <c r="R16" i="21"/>
  <c r="S16" i="21" s="1"/>
  <c r="C16" i="21"/>
  <c r="D16" i="21" s="1"/>
  <c r="AC9" i="2"/>
  <c r="O7" i="9" s="1"/>
  <c r="W11" i="9" s="1"/>
  <c r="O6" i="9"/>
  <c r="AC13" i="2"/>
  <c r="O10" i="9" s="1"/>
  <c r="W9" i="9" s="1"/>
  <c r="AC6" i="2"/>
  <c r="O5" i="9"/>
  <c r="O14" i="9"/>
  <c r="W4" i="9" s="1"/>
  <c r="AC19" i="2"/>
  <c r="AC18" i="2"/>
  <c r="O16" i="9" s="1"/>
  <c r="X9" i="9"/>
  <c r="M4" i="9"/>
  <c r="U10" i="9" s="1"/>
  <c r="O4" i="9"/>
  <c r="W10" i="9" s="1"/>
  <c r="M5" i="9"/>
  <c r="M6" i="9"/>
  <c r="M7" i="9"/>
  <c r="U11" i="9" s="1"/>
  <c r="M8" i="9"/>
  <c r="U8" i="9" s="1"/>
  <c r="O8" i="9"/>
  <c r="W8" i="9" s="1"/>
  <c r="P8" i="9"/>
  <c r="X8" i="9" s="1"/>
  <c r="M9" i="9"/>
  <c r="O9" i="9"/>
  <c r="P9" i="9"/>
  <c r="M10" i="9"/>
  <c r="U9" i="9" s="1"/>
  <c r="P10" i="9"/>
  <c r="M11" i="9"/>
  <c r="U2" i="9" s="1"/>
  <c r="O11" i="9"/>
  <c r="W2" i="9" s="1"/>
  <c r="M12" i="9"/>
  <c r="U5" i="9" s="1"/>
  <c r="O12" i="9"/>
  <c r="W5" i="9" s="1"/>
  <c r="M13" i="9"/>
  <c r="U6" i="9" s="1"/>
  <c r="P13" i="9"/>
  <c r="X6" i="9" s="1"/>
  <c r="M14" i="9"/>
  <c r="U4" i="9" s="1"/>
  <c r="M15" i="9"/>
  <c r="U3" i="9" s="1"/>
  <c r="O15" i="9"/>
  <c r="W3" i="9" s="1"/>
  <c r="P15" i="9"/>
  <c r="X3" i="9" s="1"/>
  <c r="M16" i="9"/>
  <c r="M17" i="9"/>
  <c r="U7" i="9" s="1"/>
  <c r="O17" i="9"/>
  <c r="W7" i="9" s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C24" i="25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M35" i="25" l="1"/>
  <c r="N35" i="25" s="1"/>
  <c r="N31" i="25" s="1"/>
  <c r="M31" i="25" l="1"/>
  <c r="E24" i="3" l="1"/>
  <c r="AD18" i="2" l="1"/>
  <c r="P16" i="9" s="1"/>
  <c r="AD8" i="2"/>
  <c r="P6" i="9" s="1"/>
  <c r="AD14" i="2"/>
  <c r="P11" i="9" s="1"/>
  <c r="X2" i="9" s="1"/>
  <c r="AD7" i="2"/>
  <c r="P5" i="9" s="1"/>
  <c r="AD16" i="2"/>
  <c r="P14" i="9" s="1"/>
  <c r="X4" i="9" s="1"/>
  <c r="AD9" i="2"/>
  <c r="P7" i="9" s="1"/>
  <c r="X11" i="9" s="1"/>
  <c r="AD15" i="2"/>
  <c r="P12" i="9" s="1"/>
  <c r="X5" i="9" s="1"/>
  <c r="AD19" i="2"/>
  <c r="P17" i="9" s="1"/>
  <c r="X7" i="9" s="1"/>
  <c r="W5" i="21" l="1"/>
  <c r="W6" i="21"/>
  <c r="W7" i="21"/>
  <c r="W4" i="21"/>
  <c r="V5" i="21"/>
  <c r="V6" i="21"/>
  <c r="V7" i="21"/>
  <c r="V4" i="21"/>
  <c r="U5" i="21"/>
  <c r="U6" i="21"/>
  <c r="U7" i="21"/>
  <c r="U4" i="21"/>
  <c r="AD6" i="2"/>
  <c r="P4" i="9" s="1"/>
  <c r="X10" i="9" s="1"/>
  <c r="AA5" i="24" l="1"/>
  <c r="AB5" i="24" s="1"/>
  <c r="U5" i="24"/>
  <c r="T5" i="24"/>
  <c r="V5" i="24" s="1"/>
  <c r="S5" i="24"/>
  <c r="P5" i="24"/>
  <c r="R5" i="24" s="1"/>
  <c r="Q5" i="24"/>
  <c r="H5" i="24"/>
  <c r="W5" i="24" s="1"/>
  <c r="AA8" i="24"/>
  <c r="AB8" i="24" s="1"/>
  <c r="U8" i="24"/>
  <c r="T8" i="24"/>
  <c r="V8" i="24" s="1"/>
  <c r="S8" i="24"/>
  <c r="P8" i="24"/>
  <c r="R8" i="24" s="1"/>
  <c r="Q8" i="24"/>
  <c r="H8" i="24"/>
  <c r="W8" i="24" s="1"/>
  <c r="AA4" i="24"/>
  <c r="AB4" i="24" s="1"/>
  <c r="U4" i="24"/>
  <c r="T4" i="24"/>
  <c r="V4" i="24" s="1"/>
  <c r="S4" i="24"/>
  <c r="P4" i="24"/>
  <c r="R4" i="24" s="1"/>
  <c r="Q4" i="24"/>
  <c r="H4" i="24"/>
  <c r="W4" i="24" s="1"/>
  <c r="AA9" i="24"/>
  <c r="AB9" i="24" s="1"/>
  <c r="U9" i="24"/>
  <c r="T9" i="24"/>
  <c r="V9" i="24" s="1"/>
  <c r="S9" i="24"/>
  <c r="P9" i="24"/>
  <c r="R9" i="24" s="1"/>
  <c r="Q9" i="24"/>
  <c r="H9" i="24"/>
  <c r="W9" i="24" s="1"/>
  <c r="Y7" i="24"/>
  <c r="AA7" i="24" s="1"/>
  <c r="AB7" i="24" s="1"/>
  <c r="W7" i="24"/>
  <c r="U7" i="24"/>
  <c r="T7" i="24"/>
  <c r="V7" i="24" s="1"/>
  <c r="S7" i="24"/>
  <c r="P7" i="24"/>
  <c r="R7" i="24" s="1"/>
  <c r="Q7" i="24"/>
  <c r="H7" i="24"/>
  <c r="AA6" i="24"/>
  <c r="AB6" i="24" s="1"/>
  <c r="W6" i="24"/>
  <c r="U6" i="24"/>
  <c r="T6" i="24"/>
  <c r="V6" i="24" s="1"/>
  <c r="S6" i="24"/>
  <c r="P6" i="24"/>
  <c r="R6" i="24" s="1"/>
  <c r="Q6" i="24"/>
  <c r="H6" i="24"/>
  <c r="Y10" i="24"/>
  <c r="AA10" i="24" s="1"/>
  <c r="AB10" i="24" s="1"/>
  <c r="W10" i="24"/>
  <c r="U10" i="24"/>
  <c r="T10" i="24"/>
  <c r="V10" i="24" s="1"/>
  <c r="S10" i="24"/>
  <c r="P10" i="24"/>
  <c r="R10" i="24" s="1"/>
  <c r="Q10" i="24"/>
  <c r="H10" i="24"/>
  <c r="AA11" i="24"/>
  <c r="AB11" i="24" s="1"/>
  <c r="W11" i="24"/>
  <c r="U11" i="24"/>
  <c r="T11" i="24"/>
  <c r="V11" i="24" s="1"/>
  <c r="S11" i="24"/>
  <c r="P11" i="24"/>
  <c r="R11" i="24" s="1"/>
  <c r="Q11" i="24"/>
  <c r="H11" i="24"/>
  <c r="AA12" i="24"/>
  <c r="AB12" i="24" s="1"/>
  <c r="W12" i="24"/>
  <c r="U12" i="24"/>
  <c r="T12" i="24"/>
  <c r="V12" i="24" s="1"/>
  <c r="S12" i="24"/>
  <c r="P12" i="24"/>
  <c r="R12" i="24" s="1"/>
  <c r="Q12" i="24"/>
  <c r="H12" i="24"/>
  <c r="AA13" i="24"/>
  <c r="AB13" i="24" s="1"/>
  <c r="W13" i="24"/>
  <c r="U13" i="24"/>
  <c r="T13" i="24"/>
  <c r="V13" i="24" s="1"/>
  <c r="S13" i="24"/>
  <c r="P13" i="24"/>
  <c r="R13" i="24" s="1"/>
  <c r="Q13" i="24"/>
  <c r="H13" i="24"/>
  <c r="AA14" i="24"/>
  <c r="AB14" i="24" s="1"/>
  <c r="W14" i="24"/>
  <c r="U14" i="24"/>
  <c r="T14" i="24"/>
  <c r="V14" i="24" s="1"/>
  <c r="S14" i="24"/>
  <c r="P14" i="24"/>
  <c r="R14" i="24" s="1"/>
  <c r="Q14" i="24"/>
  <c r="H14" i="24"/>
  <c r="O6" i="25" l="1"/>
  <c r="C25" i="25" l="1"/>
  <c r="C8" i="25"/>
  <c r="O13" i="9" l="1"/>
  <c r="W6" i="9" s="1"/>
  <c r="U18" i="2" l="1"/>
  <c r="E28" i="3" l="1"/>
  <c r="A32" i="3"/>
  <c r="A36" i="3" s="1"/>
  <c r="A33" i="3" s="1"/>
  <c r="X24" i="3"/>
  <c r="W24" i="3"/>
  <c r="X3" i="3"/>
  <c r="W3" i="3"/>
  <c r="E3" i="3"/>
  <c r="X17" i="3"/>
  <c r="W17" i="3"/>
  <c r="E17" i="3"/>
  <c r="X27" i="3"/>
  <c r="W27" i="3"/>
  <c r="E27" i="3"/>
  <c r="X22" i="3"/>
  <c r="W22" i="3"/>
  <c r="E22" i="3"/>
  <c r="X21" i="3"/>
  <c r="W21" i="3"/>
  <c r="E21" i="3"/>
  <c r="X7" i="3"/>
  <c r="W7" i="3"/>
  <c r="E7" i="3"/>
  <c r="X26" i="3"/>
  <c r="W26" i="3"/>
  <c r="E26" i="3"/>
  <c r="X12" i="3"/>
  <c r="W12" i="3"/>
  <c r="E12" i="3"/>
  <c r="X15" i="3"/>
  <c r="W15" i="3"/>
  <c r="E15" i="3"/>
  <c r="X16" i="3"/>
  <c r="W16" i="3"/>
  <c r="E16" i="3"/>
  <c r="X14" i="3"/>
  <c r="W14" i="3"/>
  <c r="E14" i="3"/>
  <c r="X23" i="3"/>
  <c r="W23" i="3"/>
  <c r="E23" i="3"/>
  <c r="X8" i="3"/>
  <c r="W8" i="3"/>
  <c r="E8" i="3"/>
  <c r="X13" i="3"/>
  <c r="W13" i="3"/>
  <c r="E13" i="3"/>
  <c r="X25" i="3"/>
  <c r="W25" i="3"/>
  <c r="E25" i="3"/>
  <c r="X28" i="3"/>
  <c r="W28" i="3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AB11" i="3" s="1"/>
  <c r="AB19" i="3" s="1"/>
  <c r="AA6" i="3"/>
  <c r="AA11" i="3" s="1"/>
  <c r="AA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T11" i="3" s="1"/>
  <c r="T19" i="3" s="1"/>
  <c r="S6" i="3"/>
  <c r="S11" i="3" s="1"/>
  <c r="S19" i="3" s="1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K11" i="3" s="1"/>
  <c r="K19" i="3" s="1"/>
  <c r="J6" i="3"/>
  <c r="J11" i="3" s="1"/>
  <c r="J19" i="3" s="1"/>
  <c r="H6" i="3"/>
  <c r="H11" i="3" s="1"/>
  <c r="H19" i="3" s="1"/>
  <c r="G6" i="3"/>
  <c r="G11" i="3" s="1"/>
  <c r="G19" i="3" s="1"/>
  <c r="F6" i="3"/>
  <c r="F11" i="3" s="1"/>
  <c r="F19" i="3" s="1"/>
  <c r="X20" i="3"/>
  <c r="W20" i="3"/>
  <c r="E20" i="3"/>
  <c r="C21" i="3" l="1"/>
  <c r="C27" i="3"/>
  <c r="C12" i="3"/>
  <c r="C22" i="3"/>
  <c r="C25" i="3"/>
  <c r="C7" i="3"/>
  <c r="C20" i="3"/>
  <c r="C24" i="3"/>
  <c r="C26" i="3"/>
  <c r="C28" i="3"/>
  <c r="C16" i="3"/>
  <c r="C17" i="3"/>
  <c r="C3" i="3"/>
  <c r="C13" i="3"/>
  <c r="C23" i="3"/>
  <c r="C15" i="3"/>
  <c r="C14" i="3"/>
  <c r="C8" i="3"/>
  <c r="A6" i="12"/>
  <c r="B6" i="12"/>
  <c r="C6" i="12"/>
  <c r="AI5" i="12" s="1"/>
  <c r="AI19" i="12" s="1"/>
  <c r="D6" i="12"/>
  <c r="P6" i="12" s="1"/>
  <c r="G6" i="12"/>
  <c r="H6" i="12"/>
  <c r="R6" i="12" s="1"/>
  <c r="I6" i="12"/>
  <c r="S6" i="12" s="1"/>
  <c r="Z6" i="12" s="1"/>
  <c r="J6" i="12"/>
  <c r="T6" i="12" s="1"/>
  <c r="AA6" i="12" s="1"/>
  <c r="K6" i="12"/>
  <c r="U6" i="12" s="1"/>
  <c r="AB6" i="12" s="1"/>
  <c r="L6" i="12"/>
  <c r="V6" i="12" s="1"/>
  <c r="AC6" i="12" s="1"/>
  <c r="M6" i="12"/>
  <c r="W6" i="12" s="1"/>
  <c r="AD6" i="12" s="1"/>
  <c r="N6" i="12"/>
  <c r="X6" i="12" s="1"/>
  <c r="AE6" i="12" s="1"/>
  <c r="O6" i="12"/>
  <c r="Y6" i="12" s="1"/>
  <c r="AF6" i="12" s="1"/>
  <c r="A7" i="12"/>
  <c r="B7" i="12"/>
  <c r="C7" i="12"/>
  <c r="D7" i="12"/>
  <c r="P7" i="12" s="1"/>
  <c r="G7" i="12"/>
  <c r="H7" i="12"/>
  <c r="R7" i="12" s="1"/>
  <c r="I7" i="12"/>
  <c r="S7" i="12" s="1"/>
  <c r="Z7" i="12" s="1"/>
  <c r="J7" i="12"/>
  <c r="T7" i="12" s="1"/>
  <c r="AA7" i="12" s="1"/>
  <c r="K7" i="12"/>
  <c r="U7" i="12" s="1"/>
  <c r="AB7" i="12" s="1"/>
  <c r="L7" i="12"/>
  <c r="V7" i="12" s="1"/>
  <c r="AC7" i="12" s="1"/>
  <c r="M7" i="12"/>
  <c r="W7" i="12" s="1"/>
  <c r="AD7" i="12" s="1"/>
  <c r="N7" i="12"/>
  <c r="X7" i="12" s="1"/>
  <c r="AE7" i="12" s="1"/>
  <c r="A8" i="12"/>
  <c r="B8" i="12"/>
  <c r="C8" i="12"/>
  <c r="AI8" i="12" s="1"/>
  <c r="AI23" i="12" s="1"/>
  <c r="D8" i="12"/>
  <c r="P8" i="12" s="1"/>
  <c r="F8" i="12"/>
  <c r="G8" i="12"/>
  <c r="H8" i="12"/>
  <c r="R8" i="12" s="1"/>
  <c r="I8" i="12"/>
  <c r="S8" i="12" s="1"/>
  <c r="Z8" i="12" s="1"/>
  <c r="J8" i="12"/>
  <c r="T8" i="12" s="1"/>
  <c r="AA8" i="12" s="1"/>
  <c r="K8" i="12"/>
  <c r="U8" i="12" s="1"/>
  <c r="AB8" i="12" s="1"/>
  <c r="L8" i="12"/>
  <c r="V8" i="12" s="1"/>
  <c r="AC8" i="12" s="1"/>
  <c r="M8" i="12"/>
  <c r="W8" i="12" s="1"/>
  <c r="AD8" i="12" s="1"/>
  <c r="N8" i="12"/>
  <c r="X8" i="12" s="1"/>
  <c r="AE8" i="12" s="1"/>
  <c r="O8" i="12"/>
  <c r="Y8" i="12" s="1"/>
  <c r="AF8" i="12" s="1"/>
  <c r="A9" i="12"/>
  <c r="B9" i="12"/>
  <c r="C9" i="12"/>
  <c r="D9" i="12"/>
  <c r="P9" i="12" s="1"/>
  <c r="G9" i="12"/>
  <c r="H9" i="12"/>
  <c r="R9" i="12" s="1"/>
  <c r="I9" i="12"/>
  <c r="S9" i="12" s="1"/>
  <c r="Z9" i="12" s="1"/>
  <c r="J9" i="12"/>
  <c r="T9" i="12" s="1"/>
  <c r="AA9" i="12" s="1"/>
  <c r="K9" i="12"/>
  <c r="U9" i="12" s="1"/>
  <c r="AB9" i="12" s="1"/>
  <c r="L9" i="12"/>
  <c r="V9" i="12" s="1"/>
  <c r="AC9" i="12" s="1"/>
  <c r="M9" i="12"/>
  <c r="W9" i="12" s="1"/>
  <c r="AD9" i="12" s="1"/>
  <c r="N9" i="12"/>
  <c r="X9" i="12" s="1"/>
  <c r="AE9" i="12" s="1"/>
  <c r="O9" i="12"/>
  <c r="Y9" i="12" s="1"/>
  <c r="AF9" i="12" s="1"/>
  <c r="A10" i="12"/>
  <c r="B10" i="12"/>
  <c r="C10" i="12"/>
  <c r="AI6" i="12" s="1"/>
  <c r="AI20" i="12" s="1"/>
  <c r="D10" i="12"/>
  <c r="P10" i="12" s="1"/>
  <c r="F10" i="12"/>
  <c r="G10" i="12"/>
  <c r="H10" i="12"/>
  <c r="R10" i="12" s="1"/>
  <c r="I10" i="12"/>
  <c r="J10" i="12"/>
  <c r="T10" i="12" s="1"/>
  <c r="AA10" i="12" s="1"/>
  <c r="K10" i="12"/>
  <c r="U10" i="12" s="1"/>
  <c r="AB10" i="12" s="1"/>
  <c r="L10" i="12"/>
  <c r="V10" i="12" s="1"/>
  <c r="AC10" i="12" s="1"/>
  <c r="M10" i="12"/>
  <c r="W10" i="12" s="1"/>
  <c r="AD10" i="12" s="1"/>
  <c r="N10" i="12"/>
  <c r="X10" i="12" s="1"/>
  <c r="AE10" i="12" s="1"/>
  <c r="O10" i="12"/>
  <c r="Y10" i="12" s="1"/>
  <c r="AF10" i="12" s="1"/>
  <c r="S10" i="12"/>
  <c r="Z10" i="12" s="1"/>
  <c r="A11" i="12"/>
  <c r="B11" i="12"/>
  <c r="C11" i="12"/>
  <c r="AI14" i="12" s="1"/>
  <c r="D11" i="12"/>
  <c r="P11" i="12" s="1"/>
  <c r="G11" i="12"/>
  <c r="H11" i="12"/>
  <c r="R11" i="12" s="1"/>
  <c r="I11" i="12"/>
  <c r="S11" i="12" s="1"/>
  <c r="Z11" i="12" s="1"/>
  <c r="J11" i="12"/>
  <c r="T11" i="12" s="1"/>
  <c r="AA11" i="12" s="1"/>
  <c r="K11" i="12"/>
  <c r="U11" i="12" s="1"/>
  <c r="AB11" i="12" s="1"/>
  <c r="L11" i="12"/>
  <c r="V11" i="12" s="1"/>
  <c r="AC11" i="12" s="1"/>
  <c r="M11" i="12"/>
  <c r="W11" i="12" s="1"/>
  <c r="AD11" i="12" s="1"/>
  <c r="N11" i="12"/>
  <c r="X11" i="12" s="1"/>
  <c r="AE11" i="12" s="1"/>
  <c r="A12" i="12"/>
  <c r="B12" i="12"/>
  <c r="C12" i="12"/>
  <c r="D12" i="12"/>
  <c r="P12" i="12" s="1"/>
  <c r="F12" i="12"/>
  <c r="G12" i="12"/>
  <c r="H12" i="12"/>
  <c r="R12" i="12" s="1"/>
  <c r="I12" i="12"/>
  <c r="S12" i="12" s="1"/>
  <c r="Z12" i="12" s="1"/>
  <c r="J12" i="12"/>
  <c r="T12" i="12" s="1"/>
  <c r="AA12" i="12" s="1"/>
  <c r="K12" i="12"/>
  <c r="U12" i="12" s="1"/>
  <c r="AB12" i="12" s="1"/>
  <c r="L12" i="12"/>
  <c r="V12" i="12" s="1"/>
  <c r="AC12" i="12" s="1"/>
  <c r="M12" i="12"/>
  <c r="W12" i="12" s="1"/>
  <c r="AD12" i="12" s="1"/>
  <c r="N12" i="12"/>
  <c r="X12" i="12" s="1"/>
  <c r="AE12" i="12" s="1"/>
  <c r="O12" i="12"/>
  <c r="Y12" i="12" s="1"/>
  <c r="AF12" i="12" s="1"/>
  <c r="A13" i="12"/>
  <c r="B13" i="12"/>
  <c r="C13" i="12"/>
  <c r="AI10" i="12" s="1"/>
  <c r="D13" i="12"/>
  <c r="P13" i="12" s="1"/>
  <c r="G13" i="12"/>
  <c r="H13" i="12"/>
  <c r="R13" i="12" s="1"/>
  <c r="I13" i="12"/>
  <c r="S13" i="12" s="1"/>
  <c r="Z13" i="12" s="1"/>
  <c r="J13" i="12"/>
  <c r="T13" i="12" s="1"/>
  <c r="AA13" i="12" s="1"/>
  <c r="K13" i="12"/>
  <c r="U13" i="12" s="1"/>
  <c r="AB13" i="12" s="1"/>
  <c r="L13" i="12"/>
  <c r="V13" i="12" s="1"/>
  <c r="AC13" i="12" s="1"/>
  <c r="M13" i="12"/>
  <c r="W13" i="12" s="1"/>
  <c r="AD13" i="12" s="1"/>
  <c r="N13" i="12"/>
  <c r="X13" i="12" s="1"/>
  <c r="AE13" i="12" s="1"/>
  <c r="O13" i="12"/>
  <c r="Y13" i="12" s="1"/>
  <c r="AF13" i="12" s="1"/>
  <c r="A14" i="12"/>
  <c r="B14" i="12"/>
  <c r="C14" i="12"/>
  <c r="AI21" i="12" s="1"/>
  <c r="D14" i="12"/>
  <c r="P14" i="12" s="1"/>
  <c r="F14" i="12"/>
  <c r="G14" i="12"/>
  <c r="H14" i="12"/>
  <c r="R14" i="12" s="1"/>
  <c r="I14" i="12"/>
  <c r="S14" i="12" s="1"/>
  <c r="Z14" i="12" s="1"/>
  <c r="J14" i="12"/>
  <c r="T14" i="12" s="1"/>
  <c r="AA14" i="12" s="1"/>
  <c r="K14" i="12"/>
  <c r="U14" i="12" s="1"/>
  <c r="AB14" i="12" s="1"/>
  <c r="L14" i="12"/>
  <c r="V14" i="12" s="1"/>
  <c r="AC14" i="12" s="1"/>
  <c r="M14" i="12"/>
  <c r="W14" i="12" s="1"/>
  <c r="AD14" i="12" s="1"/>
  <c r="N14" i="12"/>
  <c r="X14" i="12" s="1"/>
  <c r="AE14" i="12" s="1"/>
  <c r="A15" i="12"/>
  <c r="B15" i="12"/>
  <c r="C15" i="12"/>
  <c r="AI7" i="12" s="1"/>
  <c r="AI22" i="12" s="1"/>
  <c r="D15" i="12"/>
  <c r="P15" i="12" s="1"/>
  <c r="G15" i="12"/>
  <c r="H15" i="12"/>
  <c r="R15" i="12" s="1"/>
  <c r="I15" i="12"/>
  <c r="S15" i="12" s="1"/>
  <c r="Z15" i="12" s="1"/>
  <c r="J15" i="12"/>
  <c r="T15" i="12" s="1"/>
  <c r="AA15" i="12" s="1"/>
  <c r="K15" i="12"/>
  <c r="U15" i="12" s="1"/>
  <c r="AB15" i="12" s="1"/>
  <c r="L15" i="12"/>
  <c r="V15" i="12" s="1"/>
  <c r="AC15" i="12" s="1"/>
  <c r="M15" i="12"/>
  <c r="W15" i="12" s="1"/>
  <c r="AD15" i="12" s="1"/>
  <c r="N15" i="12"/>
  <c r="X15" i="12" s="1"/>
  <c r="AE15" i="12" s="1"/>
  <c r="A16" i="12"/>
  <c r="B16" i="12"/>
  <c r="C16" i="12"/>
  <c r="AI9" i="12" s="1"/>
  <c r="D16" i="12"/>
  <c r="P16" i="12" s="1"/>
  <c r="F16" i="12"/>
  <c r="G16" i="12"/>
  <c r="H16" i="12"/>
  <c r="R16" i="12" s="1"/>
  <c r="I16" i="12"/>
  <c r="S16" i="12" s="1"/>
  <c r="Z16" i="12" s="1"/>
  <c r="J16" i="12"/>
  <c r="T16" i="12" s="1"/>
  <c r="AA16" i="12" s="1"/>
  <c r="K16" i="12"/>
  <c r="U16" i="12" s="1"/>
  <c r="AB16" i="12" s="1"/>
  <c r="L16" i="12"/>
  <c r="V16" i="12" s="1"/>
  <c r="AC16" i="12" s="1"/>
  <c r="M16" i="12"/>
  <c r="W16" i="12" s="1"/>
  <c r="AD16" i="12" s="1"/>
  <c r="N16" i="12"/>
  <c r="X16" i="12" s="1"/>
  <c r="AE16" i="12" s="1"/>
  <c r="A17" i="12"/>
  <c r="B17" i="12"/>
  <c r="C17" i="12"/>
  <c r="AI13" i="12" s="1"/>
  <c r="D17" i="12"/>
  <c r="P17" i="12" s="1"/>
  <c r="G17" i="12"/>
  <c r="H17" i="12"/>
  <c r="R17" i="12" s="1"/>
  <c r="I17" i="12"/>
  <c r="S17" i="12" s="1"/>
  <c r="Z17" i="12" s="1"/>
  <c r="J17" i="12"/>
  <c r="T17" i="12" s="1"/>
  <c r="AA17" i="12" s="1"/>
  <c r="K17" i="12"/>
  <c r="U17" i="12" s="1"/>
  <c r="AB17" i="12" s="1"/>
  <c r="L17" i="12"/>
  <c r="V17" i="12" s="1"/>
  <c r="AC17" i="12" s="1"/>
  <c r="M17" i="12"/>
  <c r="W17" i="12" s="1"/>
  <c r="AD17" i="12" s="1"/>
  <c r="N17" i="12"/>
  <c r="X17" i="12" s="1"/>
  <c r="AE17" i="12" s="1"/>
  <c r="A18" i="12"/>
  <c r="B18" i="12"/>
  <c r="C18" i="12"/>
  <c r="AI11" i="12" s="1"/>
  <c r="D18" i="12"/>
  <c r="P18" i="12" s="1"/>
  <c r="F18" i="12"/>
  <c r="G18" i="12"/>
  <c r="H18" i="12"/>
  <c r="R18" i="12" s="1"/>
  <c r="I18" i="12"/>
  <c r="S18" i="12" s="1"/>
  <c r="Z18" i="12" s="1"/>
  <c r="J18" i="12"/>
  <c r="T18" i="12" s="1"/>
  <c r="AA18" i="12" s="1"/>
  <c r="K18" i="12"/>
  <c r="U18" i="12" s="1"/>
  <c r="AB18" i="12" s="1"/>
  <c r="L18" i="12"/>
  <c r="V18" i="12" s="1"/>
  <c r="AC18" i="12" s="1"/>
  <c r="M18" i="12"/>
  <c r="W18" i="12" s="1"/>
  <c r="AD18" i="12" s="1"/>
  <c r="N18" i="12"/>
  <c r="X18" i="12" s="1"/>
  <c r="AE18" i="12" s="1"/>
  <c r="A19" i="12"/>
  <c r="B19" i="12"/>
  <c r="C19" i="12"/>
  <c r="AI12" i="12" s="1"/>
  <c r="D19" i="12"/>
  <c r="P19" i="12" s="1"/>
  <c r="G19" i="12"/>
  <c r="H19" i="12"/>
  <c r="R19" i="12" s="1"/>
  <c r="I19" i="12"/>
  <c r="S19" i="12" s="1"/>
  <c r="Z19" i="12" s="1"/>
  <c r="J19" i="12"/>
  <c r="T19" i="12" s="1"/>
  <c r="AA19" i="12" s="1"/>
  <c r="K19" i="12"/>
  <c r="U19" i="12" s="1"/>
  <c r="AB19" i="12" s="1"/>
  <c r="L19" i="12"/>
  <c r="V19" i="12" s="1"/>
  <c r="AC19" i="12" s="1"/>
  <c r="M19" i="12"/>
  <c r="W19" i="12" s="1"/>
  <c r="AD19" i="12" s="1"/>
  <c r="N19" i="12"/>
  <c r="X19" i="12" s="1"/>
  <c r="AE19" i="12" s="1"/>
  <c r="O19" i="12"/>
  <c r="Y19" i="12" s="1"/>
  <c r="AF19" i="12" s="1"/>
  <c r="A20" i="12"/>
  <c r="B20" i="12"/>
  <c r="C20" i="12"/>
  <c r="D20" i="12"/>
  <c r="P20" i="12" s="1"/>
  <c r="E20" i="12"/>
  <c r="Q20" i="12" s="1"/>
  <c r="F20" i="12"/>
  <c r="G20" i="12"/>
  <c r="H20" i="12"/>
  <c r="R20" i="12" s="1"/>
  <c r="I20" i="12"/>
  <c r="S20" i="12" s="1"/>
  <c r="Z20" i="12" s="1"/>
  <c r="J20" i="12"/>
  <c r="T20" i="12" s="1"/>
  <c r="AA20" i="12" s="1"/>
  <c r="K20" i="12"/>
  <c r="U20" i="12" s="1"/>
  <c r="AB20" i="12" s="1"/>
  <c r="L20" i="12"/>
  <c r="V20" i="12" s="1"/>
  <c r="AC20" i="12" s="1"/>
  <c r="M20" i="12"/>
  <c r="W20" i="12" s="1"/>
  <c r="AD20" i="12" s="1"/>
  <c r="N20" i="12"/>
  <c r="X20" i="12" s="1"/>
  <c r="AE20" i="12" s="1"/>
  <c r="O20" i="12"/>
  <c r="Y20" i="12" s="1"/>
  <c r="AF20" i="12" s="1"/>
  <c r="A21" i="12"/>
  <c r="B21" i="12"/>
  <c r="C21" i="12"/>
  <c r="D21" i="12"/>
  <c r="P21" i="12" s="1"/>
  <c r="E21" i="12"/>
  <c r="Q21" i="12" s="1"/>
  <c r="G21" i="12"/>
  <c r="H21" i="12"/>
  <c r="R21" i="12" s="1"/>
  <c r="I21" i="12"/>
  <c r="S21" i="12" s="1"/>
  <c r="Z21" i="12" s="1"/>
  <c r="J21" i="12"/>
  <c r="T21" i="12" s="1"/>
  <c r="AA21" i="12" s="1"/>
  <c r="K21" i="12"/>
  <c r="U21" i="12" s="1"/>
  <c r="AB21" i="12" s="1"/>
  <c r="L21" i="12"/>
  <c r="V21" i="12" s="1"/>
  <c r="AC21" i="12" s="1"/>
  <c r="M21" i="12"/>
  <c r="W21" i="12" s="1"/>
  <c r="AD21" i="12" s="1"/>
  <c r="N21" i="12"/>
  <c r="X21" i="12" s="1"/>
  <c r="AE21" i="12" s="1"/>
  <c r="O21" i="12"/>
  <c r="Y21" i="12" s="1"/>
  <c r="AF21" i="12" s="1"/>
  <c r="A22" i="12"/>
  <c r="B22" i="12"/>
  <c r="C22" i="12"/>
  <c r="D22" i="12"/>
  <c r="P22" i="12" s="1"/>
  <c r="E22" i="12"/>
  <c r="F22" i="12"/>
  <c r="G22" i="12"/>
  <c r="H22" i="12"/>
  <c r="R22" i="12" s="1"/>
  <c r="I22" i="12"/>
  <c r="S22" i="12" s="1"/>
  <c r="Z22" i="12" s="1"/>
  <c r="J22" i="12"/>
  <c r="T22" i="12" s="1"/>
  <c r="AA22" i="12" s="1"/>
  <c r="K22" i="12"/>
  <c r="U22" i="12" s="1"/>
  <c r="AB22" i="12" s="1"/>
  <c r="L22" i="12"/>
  <c r="V22" i="12" s="1"/>
  <c r="AC22" i="12" s="1"/>
  <c r="M22" i="12"/>
  <c r="W22" i="12" s="1"/>
  <c r="AD22" i="12" s="1"/>
  <c r="N22" i="12"/>
  <c r="X22" i="12" s="1"/>
  <c r="AE22" i="12" s="1"/>
  <c r="O22" i="12"/>
  <c r="Y22" i="12" s="1"/>
  <c r="AF22" i="12" s="1"/>
  <c r="Q22" i="12"/>
  <c r="A23" i="12"/>
  <c r="B23" i="12"/>
  <c r="C23" i="12"/>
  <c r="D23" i="12"/>
  <c r="P23" i="12" s="1"/>
  <c r="E23" i="12"/>
  <c r="G23" i="12"/>
  <c r="H23" i="12"/>
  <c r="R23" i="12" s="1"/>
  <c r="I23" i="12"/>
  <c r="S23" i="12" s="1"/>
  <c r="Z23" i="12" s="1"/>
  <c r="J23" i="12"/>
  <c r="T23" i="12" s="1"/>
  <c r="AA23" i="12" s="1"/>
  <c r="K23" i="12"/>
  <c r="U23" i="12" s="1"/>
  <c r="AB23" i="12" s="1"/>
  <c r="L23" i="12"/>
  <c r="V23" i="12" s="1"/>
  <c r="AC23" i="12" s="1"/>
  <c r="M23" i="12"/>
  <c r="W23" i="12" s="1"/>
  <c r="AD23" i="12" s="1"/>
  <c r="N23" i="12"/>
  <c r="X23" i="12" s="1"/>
  <c r="AE23" i="12" s="1"/>
  <c r="O23" i="12"/>
  <c r="Y23" i="12" s="1"/>
  <c r="AF23" i="12" s="1"/>
  <c r="Q23" i="12"/>
  <c r="A24" i="12"/>
  <c r="B24" i="12"/>
  <c r="C24" i="12"/>
  <c r="D24" i="12"/>
  <c r="P24" i="12" s="1"/>
  <c r="E24" i="12"/>
  <c r="Q24" i="12" s="1"/>
  <c r="F24" i="12"/>
  <c r="G24" i="12"/>
  <c r="H24" i="12"/>
  <c r="R24" i="12" s="1"/>
  <c r="I24" i="12"/>
  <c r="S24" i="12" s="1"/>
  <c r="Z24" i="12" s="1"/>
  <c r="J24" i="12"/>
  <c r="T24" i="12" s="1"/>
  <c r="AA24" i="12" s="1"/>
  <c r="K24" i="12"/>
  <c r="U24" i="12" s="1"/>
  <c r="AB24" i="12" s="1"/>
  <c r="L24" i="12"/>
  <c r="V24" i="12" s="1"/>
  <c r="AC24" i="12" s="1"/>
  <c r="M24" i="12"/>
  <c r="W24" i="12" s="1"/>
  <c r="AD24" i="12" s="1"/>
  <c r="N24" i="12"/>
  <c r="X24" i="12" s="1"/>
  <c r="AE24" i="12" s="1"/>
  <c r="O24" i="12"/>
  <c r="Y24" i="12" s="1"/>
  <c r="AF24" i="12" s="1"/>
  <c r="A25" i="12"/>
  <c r="B25" i="12"/>
  <c r="C25" i="12"/>
  <c r="D25" i="12"/>
  <c r="P25" i="12" s="1"/>
  <c r="E25" i="12"/>
  <c r="Q25" i="12" s="1"/>
  <c r="G25" i="12"/>
  <c r="H25" i="12"/>
  <c r="R25" i="12" s="1"/>
  <c r="I25" i="12"/>
  <c r="S25" i="12" s="1"/>
  <c r="Z25" i="12" s="1"/>
  <c r="J25" i="12"/>
  <c r="T25" i="12" s="1"/>
  <c r="AA25" i="12" s="1"/>
  <c r="K25" i="12"/>
  <c r="U25" i="12" s="1"/>
  <c r="AB25" i="12" s="1"/>
  <c r="L25" i="12"/>
  <c r="V25" i="12" s="1"/>
  <c r="AC25" i="12" s="1"/>
  <c r="M25" i="12"/>
  <c r="W25" i="12" s="1"/>
  <c r="AD25" i="12" s="1"/>
  <c r="N25" i="12"/>
  <c r="X25" i="12" s="1"/>
  <c r="AE25" i="12" s="1"/>
  <c r="O25" i="12"/>
  <c r="Y25" i="12" s="1"/>
  <c r="AF25" i="12" s="1"/>
  <c r="A26" i="12"/>
  <c r="B26" i="12"/>
  <c r="C26" i="12"/>
  <c r="D26" i="12"/>
  <c r="P26" i="12" s="1"/>
  <c r="E26" i="12"/>
  <c r="Q26" i="12" s="1"/>
  <c r="F26" i="12"/>
  <c r="G26" i="12"/>
  <c r="H26" i="12"/>
  <c r="R26" i="12" s="1"/>
  <c r="I26" i="12"/>
  <c r="S26" i="12" s="1"/>
  <c r="Z26" i="12" s="1"/>
  <c r="J26" i="12"/>
  <c r="T26" i="12" s="1"/>
  <c r="AA26" i="12" s="1"/>
  <c r="K26" i="12"/>
  <c r="U26" i="12" s="1"/>
  <c r="AB26" i="12" s="1"/>
  <c r="L26" i="12"/>
  <c r="V26" i="12" s="1"/>
  <c r="AC26" i="12" s="1"/>
  <c r="M26" i="12"/>
  <c r="W26" i="12" s="1"/>
  <c r="AD26" i="12" s="1"/>
  <c r="N26" i="12"/>
  <c r="X26" i="12" s="1"/>
  <c r="AE26" i="12" s="1"/>
  <c r="O26" i="12"/>
  <c r="Y26" i="12" s="1"/>
  <c r="AF26" i="12" s="1"/>
  <c r="A5" i="10"/>
  <c r="B5" i="10"/>
  <c r="C5" i="10"/>
  <c r="G5" i="10" s="1"/>
  <c r="D5" i="10"/>
  <c r="E5" i="10" s="1"/>
  <c r="F5" i="10" s="1"/>
  <c r="A6" i="10"/>
  <c r="B6" i="10"/>
  <c r="C6" i="10"/>
  <c r="G6" i="10" s="1"/>
  <c r="H6" i="10" s="1"/>
  <c r="D6" i="10"/>
  <c r="E6" i="10" s="1"/>
  <c r="F6" i="10" s="1"/>
  <c r="A7" i="10"/>
  <c r="B7" i="10"/>
  <c r="C7" i="10"/>
  <c r="G7" i="10" s="1"/>
  <c r="H7" i="10" s="1"/>
  <c r="D7" i="10"/>
  <c r="E7" i="10" s="1"/>
  <c r="F7" i="10" s="1"/>
  <c r="A8" i="10"/>
  <c r="B8" i="10"/>
  <c r="C8" i="10"/>
  <c r="G8" i="10" s="1"/>
  <c r="D8" i="10"/>
  <c r="E8" i="10" s="1"/>
  <c r="F8" i="10" s="1"/>
  <c r="A9" i="10"/>
  <c r="B9" i="10"/>
  <c r="C9" i="10"/>
  <c r="G9" i="10" s="1"/>
  <c r="D9" i="10"/>
  <c r="E9" i="10" s="1"/>
  <c r="F9" i="10" s="1"/>
  <c r="A10" i="10"/>
  <c r="B10" i="10"/>
  <c r="C10" i="10"/>
  <c r="G10" i="10" s="1"/>
  <c r="H10" i="10" s="1"/>
  <c r="D10" i="10"/>
  <c r="E10" i="10" s="1"/>
  <c r="F10" i="10" s="1"/>
  <c r="A11" i="10"/>
  <c r="B11" i="10"/>
  <c r="C11" i="10"/>
  <c r="G11" i="10" s="1"/>
  <c r="H11" i="10" s="1"/>
  <c r="D11" i="10"/>
  <c r="E11" i="10" s="1"/>
  <c r="F11" i="10" s="1"/>
  <c r="A12" i="10"/>
  <c r="B12" i="10"/>
  <c r="C12" i="10"/>
  <c r="G12" i="10" s="1"/>
  <c r="D12" i="10"/>
  <c r="E12" i="10" s="1"/>
  <c r="F12" i="10" s="1"/>
  <c r="A13" i="10"/>
  <c r="B13" i="10"/>
  <c r="C13" i="10"/>
  <c r="G13" i="10" s="1"/>
  <c r="D13" i="10"/>
  <c r="E13" i="10" s="1"/>
  <c r="F13" i="10" s="1"/>
  <c r="A14" i="10"/>
  <c r="B14" i="10"/>
  <c r="C14" i="10"/>
  <c r="G14" i="10" s="1"/>
  <c r="H14" i="10" s="1"/>
  <c r="D14" i="10"/>
  <c r="E14" i="10" s="1"/>
  <c r="F14" i="10" s="1"/>
  <c r="A15" i="10"/>
  <c r="B15" i="10"/>
  <c r="C15" i="10"/>
  <c r="G15" i="10" s="1"/>
  <c r="H15" i="10" s="1"/>
  <c r="D15" i="10"/>
  <c r="E15" i="10" s="1"/>
  <c r="F15" i="10" s="1"/>
  <c r="A16" i="10"/>
  <c r="B16" i="10"/>
  <c r="C16" i="10"/>
  <c r="G16" i="10" s="1"/>
  <c r="D16" i="10"/>
  <c r="E16" i="10" s="1"/>
  <c r="F16" i="10" s="1"/>
  <c r="A17" i="10"/>
  <c r="B17" i="10"/>
  <c r="C17" i="10"/>
  <c r="G17" i="10" s="1"/>
  <c r="D17" i="10"/>
  <c r="E17" i="10" s="1"/>
  <c r="F17" i="10" s="1"/>
  <c r="A18" i="10"/>
  <c r="B18" i="10"/>
  <c r="C18" i="10"/>
  <c r="G18" i="10" s="1"/>
  <c r="H18" i="10" s="1"/>
  <c r="D18" i="10"/>
  <c r="E18" i="10" s="1"/>
  <c r="F18" i="10" s="1"/>
  <c r="A19" i="10"/>
  <c r="B19" i="10"/>
  <c r="C19" i="10"/>
  <c r="G19" i="10" s="1"/>
  <c r="H19" i="10" s="1"/>
  <c r="D19" i="10"/>
  <c r="E19" i="10" s="1"/>
  <c r="F19" i="10" s="1"/>
  <c r="A20" i="10"/>
  <c r="B20" i="10"/>
  <c r="C20" i="10"/>
  <c r="G20" i="10" s="1"/>
  <c r="D20" i="10"/>
  <c r="E20" i="10" s="1"/>
  <c r="F20" i="10" s="1"/>
  <c r="A21" i="10"/>
  <c r="B21" i="10"/>
  <c r="C21" i="10"/>
  <c r="G21" i="10" s="1"/>
  <c r="D21" i="10"/>
  <c r="E21" i="10" s="1"/>
  <c r="F21" i="10" s="1"/>
  <c r="A22" i="10"/>
  <c r="B22" i="10"/>
  <c r="C22" i="10"/>
  <c r="G22" i="10" s="1"/>
  <c r="H22" i="10" s="1"/>
  <c r="D22" i="10"/>
  <c r="E22" i="10" s="1"/>
  <c r="F22" i="10" s="1"/>
  <c r="A23" i="10"/>
  <c r="B23" i="10"/>
  <c r="C23" i="10"/>
  <c r="G23" i="10" s="1"/>
  <c r="H23" i="10" s="1"/>
  <c r="D23" i="10"/>
  <c r="E23" i="10" s="1"/>
  <c r="F23" i="10" s="1"/>
  <c r="A24" i="10"/>
  <c r="B24" i="10"/>
  <c r="C24" i="10"/>
  <c r="G24" i="10" s="1"/>
  <c r="D24" i="10"/>
  <c r="E24" i="10" s="1"/>
  <c r="F24" i="10" s="1"/>
  <c r="A25" i="10"/>
  <c r="B25" i="10"/>
  <c r="C25" i="10"/>
  <c r="G25" i="10" s="1"/>
  <c r="D25" i="10"/>
  <c r="E25" i="10" s="1"/>
  <c r="F25" i="10" s="1"/>
  <c r="A26" i="10"/>
  <c r="B26" i="10"/>
  <c r="C26" i="10"/>
  <c r="G26" i="10" s="1"/>
  <c r="H26" i="10" s="1"/>
  <c r="D26" i="10"/>
  <c r="E26" i="10" s="1"/>
  <c r="F26" i="10" s="1"/>
  <c r="A27" i="10"/>
  <c r="B27" i="10"/>
  <c r="C27" i="10"/>
  <c r="G27" i="10" s="1"/>
  <c r="H27" i="10" s="1"/>
  <c r="D27" i="10"/>
  <c r="E27" i="10" s="1"/>
  <c r="F27" i="10" s="1"/>
  <c r="A28" i="10"/>
  <c r="B28" i="10"/>
  <c r="C28" i="10"/>
  <c r="G28" i="10" s="1"/>
  <c r="D28" i="10"/>
  <c r="E28" i="10" s="1"/>
  <c r="F28" i="10" s="1"/>
  <c r="A5" i="7"/>
  <c r="B5" i="7"/>
  <c r="D5" i="7"/>
  <c r="E5" i="7"/>
  <c r="F5" i="7"/>
  <c r="G5" i="7" s="1"/>
  <c r="J5" i="7"/>
  <c r="K5" i="7"/>
  <c r="L5" i="7"/>
  <c r="M5" i="7"/>
  <c r="N5" i="7"/>
  <c r="O5" i="7"/>
  <c r="P5" i="7"/>
  <c r="Q5" i="7"/>
  <c r="A6" i="7"/>
  <c r="B6" i="7"/>
  <c r="D6" i="7"/>
  <c r="E6" i="7"/>
  <c r="F6" i="7"/>
  <c r="H6" i="7" s="1"/>
  <c r="J6" i="7"/>
  <c r="K6" i="7"/>
  <c r="L6" i="7"/>
  <c r="M6" i="7"/>
  <c r="N6" i="7"/>
  <c r="O6" i="7"/>
  <c r="P6" i="7"/>
  <c r="Q6" i="7"/>
  <c r="A7" i="7"/>
  <c r="B7" i="7"/>
  <c r="D7" i="7"/>
  <c r="E7" i="7"/>
  <c r="F7" i="7"/>
  <c r="G7" i="7" s="1"/>
  <c r="J7" i="7"/>
  <c r="K7" i="7"/>
  <c r="L7" i="7"/>
  <c r="M7" i="7"/>
  <c r="N7" i="7"/>
  <c r="O7" i="7"/>
  <c r="P7" i="7"/>
  <c r="A8" i="7"/>
  <c r="B8" i="7"/>
  <c r="D8" i="7"/>
  <c r="E8" i="7"/>
  <c r="F8" i="7"/>
  <c r="H8" i="7" s="1"/>
  <c r="J8" i="7"/>
  <c r="K8" i="7"/>
  <c r="L8" i="7"/>
  <c r="M8" i="7"/>
  <c r="N8" i="7"/>
  <c r="O8" i="7"/>
  <c r="P8" i="7"/>
  <c r="Q8" i="7"/>
  <c r="A9" i="7"/>
  <c r="B9" i="7"/>
  <c r="D9" i="7"/>
  <c r="E9" i="7"/>
  <c r="F9" i="7"/>
  <c r="G9" i="7" s="1"/>
  <c r="J9" i="7"/>
  <c r="K9" i="7"/>
  <c r="L9" i="7"/>
  <c r="M9" i="7"/>
  <c r="N9" i="7"/>
  <c r="O9" i="7"/>
  <c r="P9" i="7"/>
  <c r="Q9" i="7"/>
  <c r="A10" i="7"/>
  <c r="B10" i="7"/>
  <c r="D10" i="7"/>
  <c r="E10" i="7"/>
  <c r="F10" i="7"/>
  <c r="G10" i="7" s="1"/>
  <c r="J10" i="7"/>
  <c r="K10" i="7"/>
  <c r="L10" i="7"/>
  <c r="M10" i="7"/>
  <c r="N10" i="7"/>
  <c r="O10" i="7"/>
  <c r="P10" i="7"/>
  <c r="Q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A12" i="7"/>
  <c r="B12" i="7"/>
  <c r="D12" i="7"/>
  <c r="E12" i="7"/>
  <c r="F12" i="7"/>
  <c r="G12" i="7" s="1"/>
  <c r="J12" i="7"/>
  <c r="K12" i="7"/>
  <c r="L12" i="7"/>
  <c r="M12" i="7"/>
  <c r="N12" i="7"/>
  <c r="O12" i="7"/>
  <c r="P12" i="7"/>
  <c r="Q12" i="7"/>
  <c r="A13" i="7"/>
  <c r="B13" i="7"/>
  <c r="D13" i="7"/>
  <c r="E13" i="7"/>
  <c r="F13" i="7"/>
  <c r="G13" i="7" s="1"/>
  <c r="J13" i="7"/>
  <c r="K13" i="7"/>
  <c r="L13" i="7"/>
  <c r="M13" i="7"/>
  <c r="N13" i="7"/>
  <c r="O13" i="7"/>
  <c r="P13" i="7"/>
  <c r="Q13" i="7"/>
  <c r="A14" i="7"/>
  <c r="B14" i="7"/>
  <c r="D14" i="7"/>
  <c r="E14" i="7"/>
  <c r="F14" i="7"/>
  <c r="H14" i="7" s="1"/>
  <c r="J14" i="7"/>
  <c r="K14" i="7"/>
  <c r="L14" i="7"/>
  <c r="M14" i="7"/>
  <c r="N14" i="7"/>
  <c r="O14" i="7"/>
  <c r="P14" i="7"/>
  <c r="A15" i="7"/>
  <c r="B15" i="7"/>
  <c r="D15" i="7"/>
  <c r="E15" i="7"/>
  <c r="F15" i="7"/>
  <c r="G15" i="7" s="1"/>
  <c r="J15" i="7"/>
  <c r="K15" i="7"/>
  <c r="L15" i="7"/>
  <c r="M15" i="7"/>
  <c r="N15" i="7"/>
  <c r="O15" i="7"/>
  <c r="P15" i="7"/>
  <c r="A16" i="7"/>
  <c r="B16" i="7"/>
  <c r="D16" i="7"/>
  <c r="E16" i="7"/>
  <c r="F16" i="7"/>
  <c r="G16" i="7" s="1"/>
  <c r="J16" i="7"/>
  <c r="K16" i="7"/>
  <c r="L16" i="7"/>
  <c r="M16" i="7"/>
  <c r="N16" i="7"/>
  <c r="O16" i="7"/>
  <c r="P16" i="7"/>
  <c r="A17" i="7"/>
  <c r="B17" i="7"/>
  <c r="D17" i="7"/>
  <c r="E17" i="7"/>
  <c r="F17" i="7"/>
  <c r="G17" i="7" s="1"/>
  <c r="J17" i="7"/>
  <c r="K17" i="7"/>
  <c r="L17" i="7"/>
  <c r="M17" i="7"/>
  <c r="N17" i="7"/>
  <c r="O17" i="7"/>
  <c r="P17" i="7"/>
  <c r="A18" i="7"/>
  <c r="B18" i="7"/>
  <c r="D18" i="7"/>
  <c r="E18" i="7"/>
  <c r="F18" i="7"/>
  <c r="G18" i="7" s="1"/>
  <c r="J18" i="7"/>
  <c r="K18" i="7"/>
  <c r="L18" i="7"/>
  <c r="M18" i="7"/>
  <c r="N18" i="7"/>
  <c r="O18" i="7"/>
  <c r="P18" i="7"/>
  <c r="A19" i="7"/>
  <c r="B19" i="7"/>
  <c r="D19" i="7"/>
  <c r="E19" i="7"/>
  <c r="F19" i="7"/>
  <c r="H19" i="7" s="1"/>
  <c r="J19" i="7"/>
  <c r="K19" i="7"/>
  <c r="L19" i="7"/>
  <c r="M19" i="7"/>
  <c r="N19" i="7"/>
  <c r="O19" i="7"/>
  <c r="P19" i="7"/>
  <c r="Q19" i="7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J26" i="10" l="1"/>
  <c r="J22" i="10"/>
  <c r="H5" i="7"/>
  <c r="J10" i="10"/>
  <c r="J18" i="10"/>
  <c r="H13" i="7"/>
  <c r="H10" i="7"/>
  <c r="G6" i="7"/>
  <c r="H16" i="7"/>
  <c r="G14" i="7"/>
  <c r="G11" i="7"/>
  <c r="H12" i="7"/>
  <c r="H18" i="7"/>
  <c r="G19" i="7"/>
  <c r="G8" i="7"/>
  <c r="I25" i="10"/>
  <c r="H25" i="10"/>
  <c r="J25" i="10" s="1"/>
  <c r="J23" i="10"/>
  <c r="I17" i="10"/>
  <c r="H17" i="10"/>
  <c r="J17" i="10" s="1"/>
  <c r="J15" i="10"/>
  <c r="H28" i="10"/>
  <c r="J28" i="10" s="1"/>
  <c r="I28" i="10"/>
  <c r="H20" i="10"/>
  <c r="J20" i="10" s="1"/>
  <c r="I20" i="10"/>
  <c r="H12" i="10"/>
  <c r="J12" i="10" s="1"/>
  <c r="I12" i="10"/>
  <c r="I9" i="10"/>
  <c r="H9" i="10"/>
  <c r="J9" i="10" s="1"/>
  <c r="J7" i="10"/>
  <c r="J27" i="10"/>
  <c r="I21" i="10"/>
  <c r="H21" i="10"/>
  <c r="J21" i="10" s="1"/>
  <c r="J19" i="10"/>
  <c r="I13" i="10"/>
  <c r="H13" i="10"/>
  <c r="J13" i="10" s="1"/>
  <c r="J11" i="10"/>
  <c r="I5" i="10"/>
  <c r="H5" i="10"/>
  <c r="J5" i="10" s="1"/>
  <c r="H24" i="10"/>
  <c r="J24" i="10" s="1"/>
  <c r="I24" i="10"/>
  <c r="H16" i="10"/>
  <c r="J16" i="10" s="1"/>
  <c r="I16" i="10"/>
  <c r="J14" i="10"/>
  <c r="H8" i="10"/>
  <c r="J8" i="10" s="1"/>
  <c r="I8" i="10"/>
  <c r="J6" i="10"/>
  <c r="I27" i="10"/>
  <c r="I23" i="10"/>
  <c r="I19" i="10"/>
  <c r="I15" i="10"/>
  <c r="I11" i="10"/>
  <c r="I7" i="10"/>
  <c r="I26" i="10"/>
  <c r="I22" i="10"/>
  <c r="I18" i="10"/>
  <c r="I14" i="10"/>
  <c r="I10" i="10"/>
  <c r="I6" i="10"/>
  <c r="H17" i="7"/>
  <c r="H9" i="7"/>
  <c r="H15" i="7"/>
  <c r="H7" i="7"/>
  <c r="V17" i="22" l="1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R14" i="7"/>
  <c r="L17" i="25"/>
  <c r="C4" i="25" s="1"/>
  <c r="L8" i="25"/>
  <c r="C23" i="25" s="1"/>
  <c r="L9" i="25"/>
  <c r="L12" i="25"/>
  <c r="G9" i="25" l="1"/>
  <c r="C16" i="25"/>
  <c r="R10" i="7"/>
  <c r="R8" i="7"/>
  <c r="R16" i="7"/>
  <c r="R15" i="7"/>
  <c r="R9" i="7"/>
  <c r="R11" i="7"/>
  <c r="R5" i="7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Q15" i="7"/>
  <c r="O15" i="12"/>
  <c r="Y15" i="12" s="1"/>
  <c r="AF15" i="12" s="1"/>
  <c r="O14" i="12"/>
  <c r="Y14" i="12" s="1"/>
  <c r="AF14" i="12" s="1"/>
  <c r="Q14" i="7"/>
  <c r="O16" i="12"/>
  <c r="Y16" i="12" s="1"/>
  <c r="AF16" i="12" s="1"/>
  <c r="Q16" i="7"/>
  <c r="T16" i="7" s="1"/>
  <c r="O11" i="12"/>
  <c r="Y11" i="12" s="1"/>
  <c r="AF11" i="12" s="1"/>
  <c r="Q11" i="7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V12" i="7"/>
  <c r="W12" i="7" s="1"/>
  <c r="T13" i="7"/>
  <c r="O26" i="25"/>
  <c r="P4" i="25" s="1"/>
  <c r="P14" i="25"/>
  <c r="O25" i="25"/>
  <c r="P16" i="25"/>
  <c r="I2" i="2"/>
  <c r="M2" i="2"/>
  <c r="Q2" i="2"/>
  <c r="V2" i="2"/>
  <c r="T2" i="2"/>
  <c r="V20" i="2"/>
  <c r="T20" i="2"/>
  <c r="P12" i="2"/>
  <c r="AI12" i="2" s="1"/>
  <c r="G17" i="25" l="1"/>
  <c r="C21" i="25"/>
  <c r="G18" i="25"/>
  <c r="G20" i="25"/>
  <c r="V11" i="7"/>
  <c r="W11" i="7" s="1"/>
  <c r="T11" i="7"/>
  <c r="U11" i="7"/>
  <c r="Q14" i="25"/>
  <c r="L26" i="25"/>
  <c r="C9" i="25" s="1"/>
  <c r="C7" i="25" s="1"/>
  <c r="I10" i="7"/>
  <c r="T10" i="7"/>
  <c r="U10" i="7"/>
  <c r="V10" i="7"/>
  <c r="W10" i="7" s="1"/>
  <c r="T5" i="7"/>
  <c r="T15" i="7"/>
  <c r="V15" i="7"/>
  <c r="W15" i="7" s="1"/>
  <c r="U15" i="7"/>
  <c r="V13" i="7"/>
  <c r="W13" i="7" s="1"/>
  <c r="T14" i="7"/>
  <c r="U14" i="7"/>
  <c r="V14" i="7"/>
  <c r="W14" i="7" s="1"/>
  <c r="V16" i="7"/>
  <c r="W16" i="7" s="1"/>
  <c r="U16" i="7"/>
  <c r="V5" i="7"/>
  <c r="W5" i="7" s="1"/>
  <c r="U5" i="7"/>
  <c r="P26" i="25"/>
  <c r="Q4" i="25" s="1"/>
  <c r="Q26" i="25" s="1"/>
  <c r="R4" i="25" s="1"/>
  <c r="R14" i="25"/>
  <c r="Q16" i="25"/>
  <c r="P25" i="25"/>
  <c r="O33" i="1"/>
  <c r="O38" i="1"/>
  <c r="O26" i="1"/>
  <c r="O32" i="1"/>
  <c r="O30" i="1"/>
  <c r="O31" i="1"/>
  <c r="O22" i="1"/>
  <c r="O23" i="1"/>
  <c r="O20" i="1"/>
  <c r="O16" i="1"/>
  <c r="O12" i="1"/>
  <c r="R26" i="25" l="1"/>
  <c r="S4" i="25" s="1"/>
  <c r="L7" i="25"/>
  <c r="C18" i="25" s="1"/>
  <c r="S14" i="25"/>
  <c r="R16" i="25"/>
  <c r="Q25" i="25"/>
  <c r="AO11" i="2"/>
  <c r="U11" i="2"/>
  <c r="W11" i="2"/>
  <c r="R11" i="2"/>
  <c r="S11" i="2"/>
  <c r="P11" i="2"/>
  <c r="AI11" i="2" s="1"/>
  <c r="N11" i="2"/>
  <c r="J11" i="2"/>
  <c r="N9" i="9" s="1"/>
  <c r="K11" i="2"/>
  <c r="L11" i="2"/>
  <c r="C9" i="9" l="1"/>
  <c r="B9" i="9"/>
  <c r="C14" i="25"/>
  <c r="C2" i="25" s="1"/>
  <c r="O18" i="12"/>
  <c r="Y18" i="12" s="1"/>
  <c r="AF18" i="12" s="1"/>
  <c r="Q18" i="7"/>
  <c r="I14" i="7"/>
  <c r="R7" i="7"/>
  <c r="U13" i="7"/>
  <c r="R13" i="7"/>
  <c r="T12" i="7"/>
  <c r="U12" i="7"/>
  <c r="R12" i="7"/>
  <c r="R17" i="7"/>
  <c r="U19" i="7"/>
  <c r="R19" i="7"/>
  <c r="R6" i="7"/>
  <c r="R18" i="7"/>
  <c r="S26" i="25"/>
  <c r="T4" i="25" s="1"/>
  <c r="S16" i="25"/>
  <c r="R25" i="25"/>
  <c r="T14" i="25"/>
  <c r="AF11" i="2"/>
  <c r="AG11" i="2"/>
  <c r="AH11" i="2"/>
  <c r="Q9" i="9" s="1"/>
  <c r="AJ11" i="2"/>
  <c r="R9" i="9" s="1"/>
  <c r="AL11" i="2"/>
  <c r="AK11" i="2"/>
  <c r="D9" i="9" l="1"/>
  <c r="V19" i="7"/>
  <c r="W19" i="7" s="1"/>
  <c r="T19" i="7"/>
  <c r="W27" i="22"/>
  <c r="T26" i="25"/>
  <c r="U4" i="25" s="1"/>
  <c r="T16" i="25"/>
  <c r="S25" i="25"/>
  <c r="U14" i="25"/>
  <c r="F9" i="9" l="1"/>
  <c r="E9" i="9"/>
  <c r="U26" i="25"/>
  <c r="V4" i="25" s="1"/>
  <c r="V14" i="25"/>
  <c r="U16" i="25"/>
  <c r="T25" i="25"/>
  <c r="Y3" i="24"/>
  <c r="U3" i="24"/>
  <c r="T3" i="24"/>
  <c r="V3" i="24" s="1"/>
  <c r="S3" i="24"/>
  <c r="P3" i="24"/>
  <c r="R3" i="24" s="1"/>
  <c r="Q3" i="24"/>
  <c r="H3" i="24"/>
  <c r="W3" i="24" s="1"/>
  <c r="V26" i="25" l="1"/>
  <c r="W4" i="25" s="1"/>
  <c r="V16" i="25"/>
  <c r="U25" i="25"/>
  <c r="W14" i="25"/>
  <c r="AA3" i="24"/>
  <c r="AB3" i="24" s="1"/>
  <c r="W26" i="25" l="1"/>
  <c r="X4" i="25" s="1"/>
  <c r="W16" i="25"/>
  <c r="V25" i="25"/>
  <c r="X14" i="25"/>
  <c r="O7" i="12" l="1"/>
  <c r="Y7" i="12" s="1"/>
  <c r="AF7" i="12" s="1"/>
  <c r="Q7" i="7"/>
  <c r="Q17" i="7"/>
  <c r="O17" i="12"/>
  <c r="Y17" i="12" s="1"/>
  <c r="AF17" i="12" s="1"/>
  <c r="X26" i="25"/>
  <c r="Y4" i="25" s="1"/>
  <c r="Y14" i="25"/>
  <c r="X16" i="25"/>
  <c r="W25" i="25"/>
  <c r="T17" i="7" l="1"/>
  <c r="V17" i="7"/>
  <c r="W17" i="7" s="1"/>
  <c r="U17" i="7"/>
  <c r="T7" i="7"/>
  <c r="V7" i="7"/>
  <c r="W7" i="7" s="1"/>
  <c r="U7" i="7"/>
  <c r="V18" i="7"/>
  <c r="W18" i="7" s="1"/>
  <c r="T18" i="7"/>
  <c r="U18" i="7"/>
  <c r="U9" i="7"/>
  <c r="V9" i="7"/>
  <c r="W9" i="7" s="1"/>
  <c r="T9" i="7"/>
  <c r="V8" i="7"/>
  <c r="W8" i="7" s="1"/>
  <c r="U8" i="7"/>
  <c r="T8" i="7"/>
  <c r="V6" i="7"/>
  <c r="W6" i="7" s="1"/>
  <c r="U6" i="7"/>
  <c r="T6" i="7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Z26" i="25" l="1"/>
  <c r="AA4" i="25" s="1"/>
  <c r="AA14" i="25"/>
  <c r="Z16" i="25"/>
  <c r="Y25" i="25"/>
  <c r="B21" i="21"/>
  <c r="B20" i="21"/>
  <c r="B19" i="21"/>
  <c r="B18" i="21"/>
  <c r="C18" i="21"/>
  <c r="AA26" i="25" l="1"/>
  <c r="AB4" i="25" s="1"/>
  <c r="AB26" i="25" s="1"/>
  <c r="AA16" i="25"/>
  <c r="Z25" i="25"/>
  <c r="AB14" i="25"/>
  <c r="C21" i="21"/>
  <c r="C19" i="21"/>
  <c r="C20" i="21"/>
  <c r="AB16" i="25" l="1"/>
  <c r="L16" i="25" s="1"/>
  <c r="G15" i="25" s="1"/>
  <c r="G14" i="25" s="1"/>
  <c r="AA25" i="25"/>
  <c r="D21" i="21"/>
  <c r="D18" i="21"/>
  <c r="D20" i="21"/>
  <c r="D19" i="21"/>
  <c r="AB25" i="25" l="1"/>
  <c r="L25" i="25" s="1"/>
  <c r="E20" i="21"/>
  <c r="E18" i="21"/>
  <c r="E19" i="21"/>
  <c r="E21" i="21"/>
  <c r="F18" i="21" l="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H19" i="21" l="1"/>
  <c r="H21" i="21"/>
  <c r="H20" i="21"/>
  <c r="H18" i="21"/>
  <c r="F10" i="21"/>
  <c r="F11" i="21"/>
  <c r="F12" i="21"/>
  <c r="F9" i="21"/>
  <c r="I19" i="21" l="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J18" i="21" l="1"/>
  <c r="J19" i="21"/>
  <c r="J21" i="21"/>
  <c r="J20" i="21"/>
  <c r="V16" i="22"/>
  <c r="V15" i="22"/>
  <c r="AB2" i="22"/>
  <c r="W3" i="22" s="1"/>
  <c r="U17" i="22" l="1"/>
  <c r="U30" i="22"/>
  <c r="U31" i="22"/>
  <c r="U32" i="22"/>
  <c r="K18" i="21"/>
  <c r="K20" i="21"/>
  <c r="K19" i="21"/>
  <c r="K21" i="21"/>
  <c r="V3" i="22"/>
  <c r="Z3" i="22"/>
  <c r="Y3" i="22"/>
  <c r="X3" i="22"/>
  <c r="U14" i="2"/>
  <c r="AO14" i="2"/>
  <c r="W14" i="2"/>
  <c r="R14" i="2"/>
  <c r="S14" i="2"/>
  <c r="P14" i="2"/>
  <c r="AI14" i="2" s="1"/>
  <c r="N14" i="2"/>
  <c r="J14" i="2"/>
  <c r="N11" i="9" s="1"/>
  <c r="V2" i="9" s="1"/>
  <c r="K14" i="2"/>
  <c r="L14" i="2"/>
  <c r="B11" i="9" l="1"/>
  <c r="C11" i="9"/>
  <c r="I13" i="7"/>
  <c r="BP14" i="7"/>
  <c r="L18" i="21"/>
  <c r="L20" i="21"/>
  <c r="L19" i="21"/>
  <c r="L21" i="21"/>
  <c r="AF14" i="2"/>
  <c r="AL14" i="2"/>
  <c r="AK14" i="2"/>
  <c r="AJ14" i="2"/>
  <c r="R11" i="9" s="1"/>
  <c r="AH14" i="2"/>
  <c r="Q11" i="9" s="1"/>
  <c r="AG14" i="2"/>
  <c r="D11" i="9" l="1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M19" i="21"/>
  <c r="M18" i="21"/>
  <c r="M20" i="21"/>
  <c r="M21" i="21"/>
  <c r="B25" i="21"/>
  <c r="C23" i="21"/>
  <c r="C27" i="21" s="1"/>
  <c r="B23" i="21"/>
  <c r="B22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Q28" i="12"/>
  <c r="AJ28" i="12"/>
  <c r="AQ27" i="12"/>
  <c r="AK27" i="12"/>
  <c r="AQ26" i="12"/>
  <c r="AN26" i="12"/>
  <c r="AJ26" i="12"/>
  <c r="AQ25" i="12"/>
  <c r="AN25" i="12"/>
  <c r="AQ24" i="12"/>
  <c r="AK24" i="12"/>
  <c r="AQ23" i="12"/>
  <c r="AO23" i="12"/>
  <c r="AQ22" i="12"/>
  <c r="AO22" i="12"/>
  <c r="AN19" i="12"/>
  <c r="AQ18" i="12"/>
  <c r="AP18" i="12"/>
  <c r="AO18" i="12"/>
  <c r="AN18" i="12"/>
  <c r="AM10" i="12"/>
  <c r="AM25" i="12" s="1"/>
  <c r="AI25" i="12"/>
  <c r="AM13" i="12"/>
  <c r="AM28" i="12" s="1"/>
  <c r="AI28" i="12"/>
  <c r="AM9" i="12"/>
  <c r="AI24" i="12"/>
  <c r="AP11" i="12"/>
  <c r="AP25" i="12" s="1"/>
  <c r="AM12" i="12"/>
  <c r="AM27" i="12" s="1"/>
  <c r="AL12" i="12"/>
  <c r="AL27" i="12" s="1"/>
  <c r="AI27" i="12"/>
  <c r="AP9" i="12"/>
  <c r="AP23" i="12" s="1"/>
  <c r="AM11" i="12"/>
  <c r="AM26" i="12" s="1"/>
  <c r="AI26" i="12"/>
  <c r="AP12" i="12"/>
  <c r="AP26" i="12" s="1"/>
  <c r="AP22" i="12"/>
  <c r="AN22" i="12"/>
  <c r="AX6" i="12"/>
  <c r="AW6" i="12"/>
  <c r="AX5" i="12"/>
  <c r="AW5" i="12"/>
  <c r="AN5" i="12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AX4" i="12"/>
  <c r="AW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AX3" i="12"/>
  <c r="AW3" i="12"/>
  <c r="AX2" i="12"/>
  <c r="AW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R12" i="10"/>
  <c r="Y12" i="10" s="1"/>
  <c r="O12" i="10"/>
  <c r="V12" i="10" s="1"/>
  <c r="O13" i="10"/>
  <c r="V13" i="10" s="1"/>
  <c r="O9" i="10"/>
  <c r="V9" i="10" s="1"/>
  <c r="S5" i="10"/>
  <c r="Z5" i="10" s="1"/>
  <c r="O5" i="10"/>
  <c r="V5" i="10" s="1"/>
  <c r="S10" i="10"/>
  <c r="Z10" i="10" s="1"/>
  <c r="O10" i="10"/>
  <c r="V10" i="10" s="1"/>
  <c r="P8" i="10"/>
  <c r="W8" i="10" s="1"/>
  <c r="R8" i="10"/>
  <c r="Y8" i="10" s="1"/>
  <c r="O8" i="10"/>
  <c r="V8" i="10" s="1"/>
  <c r="S11" i="10"/>
  <c r="Z11" i="10" s="1"/>
  <c r="O11" i="10"/>
  <c r="V11" i="10" s="1"/>
  <c r="P4" i="10"/>
  <c r="W4" i="10" s="1"/>
  <c r="O4" i="10"/>
  <c r="V4" i="10" s="1"/>
  <c r="P7" i="10"/>
  <c r="W7" i="10" s="1"/>
  <c r="S7" i="10"/>
  <c r="Z7" i="10" s="1"/>
  <c r="O7" i="10"/>
  <c r="V7" i="10" s="1"/>
  <c r="R5" i="10"/>
  <c r="Y5" i="10" s="1"/>
  <c r="P6" i="10"/>
  <c r="W6" i="10" s="1"/>
  <c r="O6" i="10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O10" i="2"/>
  <c r="W10" i="2"/>
  <c r="U10" i="2"/>
  <c r="S10" i="2"/>
  <c r="R10" i="2"/>
  <c r="P10" i="2"/>
  <c r="AI10" i="2" s="1"/>
  <c r="N10" i="2"/>
  <c r="L10" i="2"/>
  <c r="K10" i="2"/>
  <c r="J10" i="2"/>
  <c r="N8" i="9" s="1"/>
  <c r="V8" i="9" s="1"/>
  <c r="AO13" i="2"/>
  <c r="W13" i="2"/>
  <c r="U13" i="2"/>
  <c r="S13" i="2"/>
  <c r="R13" i="2"/>
  <c r="P13" i="2"/>
  <c r="AI13" i="2" s="1"/>
  <c r="N13" i="2"/>
  <c r="L13" i="2"/>
  <c r="K13" i="2"/>
  <c r="J13" i="2"/>
  <c r="N10" i="9" s="1"/>
  <c r="V9" i="9" s="1"/>
  <c r="AO15" i="2"/>
  <c r="W15" i="2"/>
  <c r="U15" i="2"/>
  <c r="S15" i="2"/>
  <c r="R15" i="2"/>
  <c r="P15" i="2"/>
  <c r="AI15" i="2" s="1"/>
  <c r="N15" i="2"/>
  <c r="L15" i="2"/>
  <c r="K15" i="2"/>
  <c r="J15" i="2"/>
  <c r="N12" i="9" s="1"/>
  <c r="V5" i="9" s="1"/>
  <c r="AO19" i="2"/>
  <c r="W19" i="2"/>
  <c r="U19" i="2"/>
  <c r="S19" i="2"/>
  <c r="R19" i="2"/>
  <c r="P19" i="2"/>
  <c r="AI19" i="2" s="1"/>
  <c r="N19" i="2"/>
  <c r="L19" i="2"/>
  <c r="K19" i="2"/>
  <c r="J19" i="2"/>
  <c r="N17" i="9" s="1"/>
  <c r="V7" i="9" s="1"/>
  <c r="AO18" i="2"/>
  <c r="W18" i="2"/>
  <c r="S18" i="2"/>
  <c r="R18" i="2"/>
  <c r="P18" i="2"/>
  <c r="AI18" i="2" s="1"/>
  <c r="N18" i="2"/>
  <c r="L18" i="2"/>
  <c r="K18" i="2"/>
  <c r="J18" i="2"/>
  <c r="N16" i="9" s="1"/>
  <c r="AO17" i="2"/>
  <c r="W17" i="2"/>
  <c r="U17" i="2"/>
  <c r="S17" i="2"/>
  <c r="R17" i="2"/>
  <c r="P17" i="2"/>
  <c r="AI17" i="2" s="1"/>
  <c r="N17" i="2"/>
  <c r="L17" i="2"/>
  <c r="K17" i="2"/>
  <c r="J17" i="2"/>
  <c r="N15" i="9" s="1"/>
  <c r="V3" i="9" s="1"/>
  <c r="AO16" i="2"/>
  <c r="W16" i="2"/>
  <c r="U16" i="2"/>
  <c r="S16" i="2"/>
  <c r="R16" i="2"/>
  <c r="P16" i="2"/>
  <c r="AI16" i="2" s="1"/>
  <c r="N16" i="2"/>
  <c r="L16" i="2"/>
  <c r="K16" i="2"/>
  <c r="J16" i="2"/>
  <c r="N14" i="9" s="1"/>
  <c r="V4" i="9" s="1"/>
  <c r="AO9" i="2"/>
  <c r="W9" i="2"/>
  <c r="U9" i="2"/>
  <c r="S9" i="2"/>
  <c r="R9" i="2"/>
  <c r="P9" i="2"/>
  <c r="AI9" i="2" s="1"/>
  <c r="N9" i="2"/>
  <c r="L9" i="2"/>
  <c r="K9" i="2"/>
  <c r="J9" i="2"/>
  <c r="N7" i="9" s="1"/>
  <c r="V11" i="9" s="1"/>
  <c r="AO6" i="2"/>
  <c r="W6" i="2"/>
  <c r="U6" i="2"/>
  <c r="S6" i="2"/>
  <c r="R6" i="2"/>
  <c r="P6" i="2"/>
  <c r="AI6" i="2" s="1"/>
  <c r="N6" i="2"/>
  <c r="L6" i="2"/>
  <c r="K6" i="2"/>
  <c r="J6" i="2"/>
  <c r="N4" i="9" s="1"/>
  <c r="V10" i="9" s="1"/>
  <c r="AO8" i="2"/>
  <c r="W8" i="2"/>
  <c r="U8" i="2"/>
  <c r="S8" i="2"/>
  <c r="R8" i="2"/>
  <c r="P8" i="2"/>
  <c r="AI8" i="2" s="1"/>
  <c r="N8" i="2"/>
  <c r="L8" i="2"/>
  <c r="K8" i="2"/>
  <c r="J8" i="2"/>
  <c r="N6" i="9" s="1"/>
  <c r="AO7" i="2"/>
  <c r="W7" i="2"/>
  <c r="U7" i="2"/>
  <c r="S7" i="2"/>
  <c r="R7" i="2"/>
  <c r="P7" i="2"/>
  <c r="AI7" i="2" s="1"/>
  <c r="N7" i="2"/>
  <c r="L7" i="2"/>
  <c r="K7" i="2"/>
  <c r="J7" i="2"/>
  <c r="N5" i="9" s="1"/>
  <c r="AO12" i="2"/>
  <c r="AL12" i="2"/>
  <c r="AK12" i="2"/>
  <c r="W12" i="2"/>
  <c r="U12" i="2"/>
  <c r="S12" i="2"/>
  <c r="R12" i="2"/>
  <c r="N12" i="2"/>
  <c r="L12" i="2"/>
  <c r="K12" i="2"/>
  <c r="J12" i="2"/>
  <c r="AO4" i="2"/>
  <c r="W4" i="2"/>
  <c r="U4" i="2"/>
  <c r="S4" i="2"/>
  <c r="R4" i="2"/>
  <c r="P4" i="2"/>
  <c r="AI4" i="2" s="1"/>
  <c r="N4" i="2"/>
  <c r="L4" i="2"/>
  <c r="K4" i="2"/>
  <c r="J4" i="2"/>
  <c r="AO5" i="2"/>
  <c r="W5" i="2"/>
  <c r="U5" i="2"/>
  <c r="S5" i="2"/>
  <c r="R5" i="2"/>
  <c r="P5" i="2"/>
  <c r="AI5" i="2" s="1"/>
  <c r="N5" i="2"/>
  <c r="L5" i="2"/>
  <c r="K5" i="2"/>
  <c r="J5" i="2"/>
  <c r="AC2" i="2"/>
  <c r="AB2" i="2"/>
  <c r="AA2" i="2"/>
  <c r="Z2" i="2"/>
  <c r="Y2" i="2"/>
  <c r="X2" i="2"/>
  <c r="D1" i="2"/>
  <c r="F14" i="2" s="1"/>
  <c r="O58" i="1"/>
  <c r="O40" i="1"/>
  <c r="O29" i="1"/>
  <c r="O27" i="1"/>
  <c r="O25" i="1"/>
  <c r="O24" i="1"/>
  <c r="O21" i="1"/>
  <c r="O19" i="1"/>
  <c r="O18" i="1"/>
  <c r="O17" i="1"/>
  <c r="O15" i="1"/>
  <c r="O14" i="1"/>
  <c r="O13" i="1"/>
  <c r="O11" i="1"/>
  <c r="O10" i="1"/>
  <c r="O9" i="1"/>
  <c r="O8" i="1"/>
  <c r="O7" i="1"/>
  <c r="O6" i="1"/>
  <c r="AI4" i="12" l="1"/>
  <c r="AI18" i="12"/>
  <c r="F13" i="2"/>
  <c r="F12" i="2"/>
  <c r="F17" i="2"/>
  <c r="F5" i="2"/>
  <c r="C5" i="2" s="1"/>
  <c r="F9" i="2"/>
  <c r="F16" i="2"/>
  <c r="N13" i="9"/>
  <c r="V6" i="9" s="1"/>
  <c r="C13" i="9"/>
  <c r="B13" i="9"/>
  <c r="F11" i="9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F15" i="2"/>
  <c r="F18" i="2"/>
  <c r="F11" i="2"/>
  <c r="F10" i="2"/>
  <c r="F8" i="2"/>
  <c r="F19" i="2"/>
  <c r="F6" i="2"/>
  <c r="F7" i="2"/>
  <c r="F4" i="2"/>
  <c r="C4" i="2" s="1"/>
  <c r="I7" i="7"/>
  <c r="F41" i="7" s="1"/>
  <c r="I9" i="7"/>
  <c r="BJ9" i="7" s="1"/>
  <c r="I19" i="7"/>
  <c r="AL19" i="7" s="1"/>
  <c r="I16" i="7"/>
  <c r="BM16" i="7" s="1"/>
  <c r="I11" i="7"/>
  <c r="S11" i="7" s="1"/>
  <c r="I8" i="7"/>
  <c r="AE8" i="7" s="1"/>
  <c r="AG8" i="7" s="1"/>
  <c r="I17" i="7"/>
  <c r="BT17" i="7" s="1"/>
  <c r="I12" i="7"/>
  <c r="BJ12" i="7" s="1"/>
  <c r="I5" i="7"/>
  <c r="BA5" i="7" s="1"/>
  <c r="I6" i="7"/>
  <c r="BM6" i="7" s="1"/>
  <c r="I18" i="7"/>
  <c r="CA18" i="7" s="1"/>
  <c r="I15" i="7"/>
  <c r="BP15" i="7" s="1"/>
  <c r="Y7" i="20"/>
  <c r="Y2" i="20" s="1"/>
  <c r="S10" i="19"/>
  <c r="S14" i="19"/>
  <c r="S13" i="19"/>
  <c r="S8" i="19"/>
  <c r="V13" i="18"/>
  <c r="W9" i="18"/>
  <c r="AM13" i="7"/>
  <c r="AF10" i="7"/>
  <c r="S2" i="2"/>
  <c r="U20" i="2"/>
  <c r="U2" i="2"/>
  <c r="R2" i="2"/>
  <c r="T3" i="13"/>
  <c r="AF10" i="13"/>
  <c r="T22" i="13"/>
  <c r="V10" i="19"/>
  <c r="AF16" i="13"/>
  <c r="Z13" i="13"/>
  <c r="P4" i="13"/>
  <c r="Z6" i="13"/>
  <c r="AF9" i="13"/>
  <c r="M11" i="16"/>
  <c r="M9" i="18"/>
  <c r="V12" i="18"/>
  <c r="M11" i="18"/>
  <c r="T2" i="11"/>
  <c r="U2" i="11" s="1"/>
  <c r="AF15" i="13"/>
  <c r="AF27" i="13"/>
  <c r="S11" i="16"/>
  <c r="S9" i="18"/>
  <c r="S13" i="18"/>
  <c r="W12" i="18"/>
  <c r="S11" i="18"/>
  <c r="S12" i="19"/>
  <c r="T13" i="19"/>
  <c r="P10" i="13"/>
  <c r="Z12" i="13"/>
  <c r="Z18" i="13"/>
  <c r="U9" i="18"/>
  <c r="T13" i="18"/>
  <c r="T11" i="18"/>
  <c r="V12" i="19"/>
  <c r="C8" i="21"/>
  <c r="U13" i="11"/>
  <c r="P16" i="13"/>
  <c r="V9" i="18"/>
  <c r="U13" i="18"/>
  <c r="N20" i="21"/>
  <c r="N21" i="21"/>
  <c r="N18" i="21"/>
  <c r="N19" i="21"/>
  <c r="I3" i="7"/>
  <c r="BM3" i="7" s="1"/>
  <c r="AL4" i="2"/>
  <c r="AL16" i="2"/>
  <c r="M9" i="17"/>
  <c r="S11" i="17"/>
  <c r="H3" i="7"/>
  <c r="N8" i="17"/>
  <c r="U8" i="17"/>
  <c r="T14" i="19"/>
  <c r="U13" i="19"/>
  <c r="U14" i="19"/>
  <c r="V13" i="19"/>
  <c r="V14" i="19"/>
  <c r="X8" i="19"/>
  <c r="AH19" i="2"/>
  <c r="Q17" i="9" s="1"/>
  <c r="AH12" i="2"/>
  <c r="Q13" i="9" s="1"/>
  <c r="O57" i="7"/>
  <c r="R4" i="7"/>
  <c r="C9" i="21"/>
  <c r="C10" i="21"/>
  <c r="B30" i="21"/>
  <c r="B31" i="21" s="1"/>
  <c r="B12" i="21"/>
  <c r="B13" i="21" s="1"/>
  <c r="B10" i="21" s="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AJ10" i="12"/>
  <c r="AJ25" i="12" s="1"/>
  <c r="AL10" i="12"/>
  <c r="AL25" i="12" s="1"/>
  <c r="S4" i="10"/>
  <c r="Z4" i="10" s="1"/>
  <c r="R4" i="10"/>
  <c r="Y4" i="10" s="1"/>
  <c r="Z7" i="18"/>
  <c r="T3" i="7"/>
  <c r="V2" i="15" s="1"/>
  <c r="D20" i="17"/>
  <c r="W20" i="2"/>
  <c r="P5" i="10"/>
  <c r="W5" i="10" s="1"/>
  <c r="P11" i="10"/>
  <c r="W11" i="10" s="1"/>
  <c r="Q11" i="10"/>
  <c r="X11" i="10" s="1"/>
  <c r="H3" i="10"/>
  <c r="R3" i="10"/>
  <c r="P18" i="10" s="1"/>
  <c r="P10" i="10"/>
  <c r="W10" i="10" s="1"/>
  <c r="P3" i="10"/>
  <c r="W3" i="10" s="1"/>
  <c r="F3" i="10"/>
  <c r="Q3" i="10" s="1"/>
  <c r="X3" i="10" s="1"/>
  <c r="R10" i="10"/>
  <c r="Y10" i="10" s="1"/>
  <c r="AJ12" i="2"/>
  <c r="R13" i="9" s="1"/>
  <c r="Q4" i="10"/>
  <c r="X4" i="10" s="1"/>
  <c r="AN9" i="12"/>
  <c r="AN23" i="12" s="1"/>
  <c r="Y7" i="19"/>
  <c r="X9" i="20"/>
  <c r="S54" i="7"/>
  <c r="AH9" i="2"/>
  <c r="Q7" i="9" s="1"/>
  <c r="R7" i="10"/>
  <c r="Y7" i="10" s="1"/>
  <c r="AG12" i="2"/>
  <c r="U6" i="15"/>
  <c r="AJ17" i="2"/>
  <c r="R15" i="9" s="1"/>
  <c r="AK17" i="2"/>
  <c r="AH7" i="2"/>
  <c r="Q5" i="9" s="1"/>
  <c r="AG4" i="2"/>
  <c r="AK5" i="2"/>
  <c r="AH8" i="2"/>
  <c r="Q6" i="9" s="1"/>
  <c r="AJ13" i="2"/>
  <c r="R10" i="9" s="1"/>
  <c r="AL5" i="2"/>
  <c r="AJ8" i="2"/>
  <c r="R6" i="9" s="1"/>
  <c r="AG19" i="2"/>
  <c r="AG9" i="2"/>
  <c r="AF15" i="2"/>
  <c r="AK13" i="2"/>
  <c r="AL13" i="2"/>
  <c r="AH10" i="2"/>
  <c r="Q8" i="9" s="1"/>
  <c r="AL7" i="2"/>
  <c r="A9" i="11"/>
  <c r="A10" i="11" s="1"/>
  <c r="AH5" i="2"/>
  <c r="AL17" i="2"/>
  <c r="AH18" i="2"/>
  <c r="Q16" i="9" s="1"/>
  <c r="AF13" i="2"/>
  <c r="AJ6" i="2"/>
  <c r="R4" i="9" s="1"/>
  <c r="G4" i="15"/>
  <c r="K41" i="7"/>
  <c r="Q54" i="7"/>
  <c r="J42" i="7"/>
  <c r="D8" i="15"/>
  <c r="E9" i="14"/>
  <c r="H47" i="7"/>
  <c r="AG10" i="2"/>
  <c r="AL10" i="2"/>
  <c r="AF10" i="2"/>
  <c r="AG5" i="2"/>
  <c r="AJ9" i="2"/>
  <c r="R7" i="9" s="1"/>
  <c r="K21" i="16"/>
  <c r="K18" i="17"/>
  <c r="AG7" i="2"/>
  <c r="K4" i="19"/>
  <c r="Y4" i="19" s="1"/>
  <c r="K4" i="20"/>
  <c r="X4" i="20" s="1"/>
  <c r="K11" i="17"/>
  <c r="K4" i="18"/>
  <c r="Z4" i="18" s="1"/>
  <c r="K8" i="16"/>
  <c r="AK8" i="2"/>
  <c r="AH16" i="2"/>
  <c r="Q14" i="9" s="1"/>
  <c r="AH17" i="2"/>
  <c r="Q15" i="9" s="1"/>
  <c r="N51" i="7"/>
  <c r="S51" i="7" s="1"/>
  <c r="AL19" i="2"/>
  <c r="AF19" i="2"/>
  <c r="AK19" i="2"/>
  <c r="AJ19" i="2"/>
  <c r="R17" i="9" s="1"/>
  <c r="AG15" i="2"/>
  <c r="I4" i="7"/>
  <c r="BQ4" i="7" s="1"/>
  <c r="N38" i="7"/>
  <c r="R38" i="7" s="1"/>
  <c r="V4" i="7"/>
  <c r="W4" i="7" s="1"/>
  <c r="K42" i="7"/>
  <c r="G44" i="7"/>
  <c r="F9" i="14"/>
  <c r="E8" i="15"/>
  <c r="I47" i="7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AJ15" i="2"/>
  <c r="R12" i="9" s="1"/>
  <c r="AJ10" i="2"/>
  <c r="R8" i="9" s="1"/>
  <c r="K6" i="19"/>
  <c r="Y6" i="19" s="1"/>
  <c r="K10" i="17"/>
  <c r="K7" i="16"/>
  <c r="K6" i="18"/>
  <c r="K8" i="20"/>
  <c r="X8" i="20" s="1"/>
  <c r="AF7" i="2"/>
  <c r="AF8" i="2"/>
  <c r="AL8" i="2"/>
  <c r="AK6" i="2"/>
  <c r="AL9" i="2"/>
  <c r="K4" i="17"/>
  <c r="K9" i="18"/>
  <c r="K11" i="20"/>
  <c r="X11" i="20" s="1"/>
  <c r="K11" i="19"/>
  <c r="Y11" i="19" s="1"/>
  <c r="K12" i="16"/>
  <c r="K14" i="19"/>
  <c r="Y14" i="19" s="1"/>
  <c r="K12" i="20"/>
  <c r="X12" i="20" s="1"/>
  <c r="K10" i="16"/>
  <c r="K5" i="17"/>
  <c r="K14" i="18"/>
  <c r="Y14" i="18" s="1"/>
  <c r="AK15" i="2"/>
  <c r="E42" i="7"/>
  <c r="S42" i="7" s="1"/>
  <c r="G6" i="14"/>
  <c r="F3" i="15"/>
  <c r="J43" i="7"/>
  <c r="D49" i="7"/>
  <c r="N2" i="9"/>
  <c r="C2" i="9"/>
  <c r="B2" i="9"/>
  <c r="AF5" i="2"/>
  <c r="AH4" i="2"/>
  <c r="AK7" i="2"/>
  <c r="AJ4" i="2"/>
  <c r="AD2" i="2"/>
  <c r="AJ5" i="2"/>
  <c r="R2" i="9" s="1"/>
  <c r="N3" i="9"/>
  <c r="C3" i="9"/>
  <c r="B3" i="9"/>
  <c r="AK4" i="2"/>
  <c r="AG8" i="2"/>
  <c r="AF6" i="2"/>
  <c r="AL6" i="2"/>
  <c r="AF16" i="2"/>
  <c r="AF17" i="2"/>
  <c r="AL15" i="2"/>
  <c r="H6" i="14"/>
  <c r="G3" i="15"/>
  <c r="K43" i="7"/>
  <c r="AH15" i="2"/>
  <c r="Q12" i="9" s="1"/>
  <c r="F3" i="14"/>
  <c r="E2" i="15"/>
  <c r="I37" i="7"/>
  <c r="U3" i="7"/>
  <c r="AH6" i="2"/>
  <c r="Q4" i="9" s="1"/>
  <c r="AJ16" i="2"/>
  <c r="R14" i="9" s="1"/>
  <c r="E49" i="7"/>
  <c r="AK16" i="2"/>
  <c r="AF4" i="2"/>
  <c r="AF12" i="2"/>
  <c r="AJ7" i="2"/>
  <c r="R5" i="9" s="1"/>
  <c r="AG6" i="2"/>
  <c r="K9" i="19"/>
  <c r="Y9" i="19" s="1"/>
  <c r="K14" i="20"/>
  <c r="X14" i="20" s="1"/>
  <c r="K4" i="16"/>
  <c r="K8" i="18"/>
  <c r="K14" i="17"/>
  <c r="AF9" i="2"/>
  <c r="AG16" i="2"/>
  <c r="AG18" i="2"/>
  <c r="AL18" i="2"/>
  <c r="AF18" i="2"/>
  <c r="AJ18" i="2"/>
  <c r="R16" i="9" s="1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7" i="2"/>
  <c r="K6" i="20"/>
  <c r="X6" i="20" s="1"/>
  <c r="K13" i="18"/>
  <c r="Y13" i="18" s="1"/>
  <c r="K12" i="19"/>
  <c r="Y12" i="19" s="1"/>
  <c r="K13" i="16"/>
  <c r="K7" i="17"/>
  <c r="AK18" i="2"/>
  <c r="AG13" i="2"/>
  <c r="K22" i="16"/>
  <c r="K19" i="17"/>
  <c r="AK10" i="2"/>
  <c r="B6" i="15"/>
  <c r="A39" i="7"/>
  <c r="F11" i="15"/>
  <c r="J45" i="7"/>
  <c r="G48" i="7"/>
  <c r="E55" i="7"/>
  <c r="I4" i="14"/>
  <c r="H5" i="15"/>
  <c r="L40" i="7"/>
  <c r="E5" i="14"/>
  <c r="H48" i="7"/>
  <c r="H51" i="7"/>
  <c r="L55" i="7"/>
  <c r="K12" i="17"/>
  <c r="K10" i="20"/>
  <c r="X10" i="20" s="1"/>
  <c r="K5" i="19"/>
  <c r="Y5" i="19" s="1"/>
  <c r="K5" i="18"/>
  <c r="Z5" i="18" s="1"/>
  <c r="K5" i="16"/>
  <c r="AK9" i="2"/>
  <c r="AH13" i="2"/>
  <c r="Q10" i="9" s="1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P9" i="10"/>
  <c r="W9" i="10" s="1"/>
  <c r="Q9" i="10"/>
  <c r="X9" i="10" s="1"/>
  <c r="R9" i="10"/>
  <c r="Y9" i="10" s="1"/>
  <c r="Q13" i="10"/>
  <c r="X13" i="10" s="1"/>
  <c r="P13" i="10"/>
  <c r="W13" i="10" s="1"/>
  <c r="AL13" i="12"/>
  <c r="AL28" i="12" s="1"/>
  <c r="AK13" i="12"/>
  <c r="AK28" i="12" s="1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Q6" i="10"/>
  <c r="X6" i="10" s="1"/>
  <c r="G12" i="15"/>
  <c r="H13" i="14"/>
  <c r="J55" i="7"/>
  <c r="H56" i="7"/>
  <c r="K53" i="7"/>
  <c r="K54" i="7"/>
  <c r="I12" i="15"/>
  <c r="J13" i="14"/>
  <c r="M53" i="7"/>
  <c r="R6" i="10"/>
  <c r="Y6" i="10" s="1"/>
  <c r="BN57" i="7"/>
  <c r="Q56" i="7"/>
  <c r="P12" i="10"/>
  <c r="W12" i="10" s="1"/>
  <c r="Q12" i="10"/>
  <c r="X12" i="10" s="1"/>
  <c r="F13" i="14"/>
  <c r="E12" i="15"/>
  <c r="I53" i="7"/>
  <c r="R13" i="10"/>
  <c r="Y13" i="10" s="1"/>
  <c r="H4" i="10"/>
  <c r="J4" i="10" s="1"/>
  <c r="I4" i="10"/>
  <c r="AP13" i="12"/>
  <c r="AP27" i="12" s="1"/>
  <c r="AN13" i="12"/>
  <c r="AM24" i="12"/>
  <c r="AM16" i="12" s="1"/>
  <c r="AM2" i="12"/>
  <c r="R11" i="10"/>
  <c r="Y11" i="10" s="1"/>
  <c r="AO21" i="12"/>
  <c r="AO7" i="12"/>
  <c r="AL11" i="12"/>
  <c r="AL26" i="12" s="1"/>
  <c r="AK11" i="12"/>
  <c r="AK26" i="12" s="1"/>
  <c r="AJ12" i="12"/>
  <c r="AJ27" i="12" s="1"/>
  <c r="AP10" i="12"/>
  <c r="AN10" i="12"/>
  <c r="Q8" i="10"/>
  <c r="X8" i="10" s="1"/>
  <c r="W12" i="9"/>
  <c r="I3" i="10"/>
  <c r="AP14" i="12"/>
  <c r="AP28" i="12" s="1"/>
  <c r="AN14" i="12"/>
  <c r="X24" i="13"/>
  <c r="X18" i="13"/>
  <c r="X12" i="13"/>
  <c r="X6" i="13"/>
  <c r="X19" i="13"/>
  <c r="AO12" i="12"/>
  <c r="AO26" i="12" s="1"/>
  <c r="X13" i="13"/>
  <c r="AO11" i="12"/>
  <c r="AO25" i="12" s="1"/>
  <c r="AB25" i="13"/>
  <c r="AB13" i="13"/>
  <c r="AB7" i="13"/>
  <c r="AB6" i="13"/>
  <c r="AB24" i="13"/>
  <c r="AB18" i="13"/>
  <c r="AP20" i="12"/>
  <c r="AN20" i="12"/>
  <c r="AO20" i="12" s="1"/>
  <c r="X25" i="13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R5" i="16"/>
  <c r="P5" i="16"/>
  <c r="O5" i="16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Z25" i="13"/>
  <c r="X9" i="16"/>
  <c r="X11" i="17"/>
  <c r="X11" i="18"/>
  <c r="T4" i="13"/>
  <c r="T10" i="13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AP24" i="12" l="1"/>
  <c r="AP2" i="12"/>
  <c r="AP16" i="12"/>
  <c r="AN2" i="12"/>
  <c r="D13" i="9"/>
  <c r="D15" i="9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C8" i="7"/>
  <c r="C42" i="7" s="1"/>
  <c r="E8" i="12"/>
  <c r="Q8" i="12" s="1"/>
  <c r="C19" i="7"/>
  <c r="C53" i="7" s="1"/>
  <c r="E19" i="12"/>
  <c r="Q19" i="12" s="1"/>
  <c r="C17" i="7"/>
  <c r="C51" i="7" s="1"/>
  <c r="E17" i="12"/>
  <c r="Q17" i="12" s="1"/>
  <c r="C11" i="7"/>
  <c r="C45" i="7" s="1"/>
  <c r="E11" i="12"/>
  <c r="Q11" i="12" s="1"/>
  <c r="C9" i="7"/>
  <c r="C43" i="7" s="1"/>
  <c r="E9" i="12"/>
  <c r="Q9" i="12" s="1"/>
  <c r="C13" i="7"/>
  <c r="C47" i="7" s="1"/>
  <c r="E13" i="12"/>
  <c r="Q13" i="12" s="1"/>
  <c r="C12" i="7"/>
  <c r="C46" i="7" s="1"/>
  <c r="E12" i="12"/>
  <c r="Q12" i="12" s="1"/>
  <c r="C6" i="7"/>
  <c r="C40" i="7" s="1"/>
  <c r="C16" i="7"/>
  <c r="C50" i="7" s="1"/>
  <c r="E16" i="12"/>
  <c r="Q16" i="12" s="1"/>
  <c r="C14" i="7"/>
  <c r="C48" i="7" s="1"/>
  <c r="E14" i="12"/>
  <c r="Q14" i="12" s="1"/>
  <c r="C10" i="7"/>
  <c r="C44" i="7" s="1"/>
  <c r="E10" i="12"/>
  <c r="Q10" i="12" s="1"/>
  <c r="C5" i="7"/>
  <c r="C39" i="7" s="1"/>
  <c r="E6" i="12"/>
  <c r="Q6" i="12" s="1"/>
  <c r="C18" i="7"/>
  <c r="C52" i="7" s="1"/>
  <c r="E18" i="12"/>
  <c r="Q18" i="12" s="1"/>
  <c r="C15" i="7"/>
  <c r="C49" i="7" s="1"/>
  <c r="E15" i="12"/>
  <c r="Q15" i="12" s="1"/>
  <c r="C7" i="7"/>
  <c r="C41" i="7" s="1"/>
  <c r="E7" i="12"/>
  <c r="Q7" i="12" s="1"/>
  <c r="S15" i="7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12" i="2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9" i="7"/>
  <c r="BN39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7" i="7"/>
  <c r="C7" i="2"/>
  <c r="C11" i="2"/>
  <c r="S57" i="7"/>
  <c r="C10" i="2"/>
  <c r="C8" i="2"/>
  <c r="C6" i="2"/>
  <c r="C14" i="2"/>
  <c r="S56" i="7"/>
  <c r="S41" i="7"/>
  <c r="F14" i="23"/>
  <c r="Q14" i="23" s="1"/>
  <c r="C15" i="2"/>
  <c r="F10" i="23"/>
  <c r="Q10" i="23" s="1"/>
  <c r="C16" i="2"/>
  <c r="F12" i="23"/>
  <c r="Q12" i="23" s="1"/>
  <c r="C18" i="2"/>
  <c r="F11" i="23"/>
  <c r="Q11" i="23" s="1"/>
  <c r="C17" i="2"/>
  <c r="F9" i="23"/>
  <c r="Q9" i="23" s="1"/>
  <c r="C9" i="2"/>
  <c r="F15" i="23"/>
  <c r="Q15" i="23" s="1"/>
  <c r="C13" i="2"/>
  <c r="F13" i="23"/>
  <c r="Q13" i="23" s="1"/>
  <c r="C19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10" i="12"/>
  <c r="AK2" i="12" s="1"/>
  <c r="BA57" i="7"/>
  <c r="BO57" i="7"/>
  <c r="AI57" i="7"/>
  <c r="X11" i="16"/>
  <c r="AB57" i="7"/>
  <c r="O19" i="21"/>
  <c r="O21" i="21"/>
  <c r="O18" i="21"/>
  <c r="O20" i="21"/>
  <c r="X10" i="18"/>
  <c r="X10" i="17"/>
  <c r="AG57" i="7"/>
  <c r="B32" i="21"/>
  <c r="B33" i="21" s="1"/>
  <c r="P19" i="10"/>
  <c r="P20" i="10" s="1"/>
  <c r="Y3" i="10"/>
  <c r="W18" i="10" s="1"/>
  <c r="W19" i="10" s="1"/>
  <c r="W20" i="10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F7" i="23"/>
  <c r="Q7" i="23" s="1"/>
  <c r="F6" i="23"/>
  <c r="Q6" i="23" s="1"/>
  <c r="F8" i="23"/>
  <c r="Q8" i="23" s="1"/>
  <c r="F46" i="7"/>
  <c r="AK46" i="7" s="1"/>
  <c r="F44" i="7"/>
  <c r="AE44" i="7" s="1"/>
  <c r="F45" i="7"/>
  <c r="CA45" i="7" s="1"/>
  <c r="CC45" i="7" s="1"/>
  <c r="R3" i="9"/>
  <c r="Y2" i="23"/>
  <c r="F4" i="23"/>
  <c r="Q4" i="23" s="1"/>
  <c r="D16" i="16"/>
  <c r="D7" i="16"/>
  <c r="F5" i="23"/>
  <c r="Q5" i="23" s="1"/>
  <c r="P57" i="7"/>
  <c r="BO56" i="7"/>
  <c r="CG56" i="7"/>
  <c r="W3" i="14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V12" i="15"/>
  <c r="AL57" i="7"/>
  <c r="S38" i="7"/>
  <c r="AL9" i="12"/>
  <c r="AL24" i="12" s="1"/>
  <c r="AL16" i="12" s="1"/>
  <c r="R51" i="7"/>
  <c r="W14" i="10"/>
  <c r="D12" i="20"/>
  <c r="D5" i="17"/>
  <c r="D23" i="16"/>
  <c r="C56" i="7"/>
  <c r="Z6" i="18"/>
  <c r="D10" i="16"/>
  <c r="D14" i="19"/>
  <c r="Z8" i="18"/>
  <c r="D6" i="19"/>
  <c r="Y9" i="18"/>
  <c r="W16" i="10"/>
  <c r="W17" i="10" s="1"/>
  <c r="Q10" i="10"/>
  <c r="X10" i="10" s="1"/>
  <c r="Q5" i="10"/>
  <c r="X5" i="10" s="1"/>
  <c r="S3" i="10"/>
  <c r="J3" i="10"/>
  <c r="AJ9" i="12"/>
  <c r="AJ2" i="12" s="1"/>
  <c r="P14" i="10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C3" i="7"/>
  <c r="C37" i="7" s="1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Q7" i="10"/>
  <c r="CE56" i="7"/>
  <c r="AP56" i="7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C54" i="7"/>
  <c r="D25" i="16"/>
  <c r="D22" i="17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S12" i="10"/>
  <c r="Z12" i="10" s="1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D10" i="18"/>
  <c r="AP4" i="7"/>
  <c r="D11" i="20"/>
  <c r="D4" i="17"/>
  <c r="D9" i="18"/>
  <c r="D11" i="19"/>
  <c r="D12" i="16"/>
  <c r="F48" i="7"/>
  <c r="AX48" i="7" s="1"/>
  <c r="AZ48" i="7" s="1"/>
  <c r="R5" i="14"/>
  <c r="J11" i="15"/>
  <c r="N45" i="7"/>
  <c r="Q45" i="7" s="1"/>
  <c r="W11" i="15"/>
  <c r="BR56" i="7"/>
  <c r="X13" i="17"/>
  <c r="S13" i="10"/>
  <c r="Z13" i="10" s="1"/>
  <c r="AY56" i="7"/>
  <c r="BY56" i="7"/>
  <c r="BZ56" i="7"/>
  <c r="O54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Q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S8" i="10"/>
  <c r="Z8" i="10" s="1"/>
  <c r="P56" i="7"/>
  <c r="BJ56" i="7"/>
  <c r="BC56" i="7"/>
  <c r="CA41" i="7"/>
  <c r="CC41" i="7" s="1"/>
  <c r="T57" i="7"/>
  <c r="V57" i="7" s="1"/>
  <c r="U57" i="7"/>
  <c r="Q38" i="7"/>
  <c r="R39" i="7"/>
  <c r="Q52" i="7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X12" i="9"/>
  <c r="Y12" i="9" s="1"/>
  <c r="F50" i="7"/>
  <c r="AD50" i="7" s="1"/>
  <c r="X3" i="14"/>
  <c r="W2" i="15"/>
  <c r="B40" i="21"/>
  <c r="X14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O39" i="7"/>
  <c r="V11" i="15"/>
  <c r="CA56" i="7"/>
  <c r="CC56" i="7" s="1"/>
  <c r="S37" i="7"/>
  <c r="Q40" i="7"/>
  <c r="S4" i="7"/>
  <c r="D22" i="16"/>
  <c r="D19" i="17"/>
  <c r="C55" i="7"/>
  <c r="R37" i="7"/>
  <c r="D20" i="16"/>
  <c r="D9" i="19"/>
  <c r="D4" i="16"/>
  <c r="D8" i="18"/>
  <c r="D14" i="17"/>
  <c r="D14" i="20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2" i="20" s="1"/>
  <c r="AR56" i="7"/>
  <c r="AX56" i="7"/>
  <c r="AZ56" i="7" s="1"/>
  <c r="X13" i="16"/>
  <c r="AN27" i="12"/>
  <c r="AO13" i="12"/>
  <c r="AO27" i="12" s="1"/>
  <c r="BT56" i="7"/>
  <c r="Z56" i="7"/>
  <c r="AW56" i="7"/>
  <c r="AQ16" i="12"/>
  <c r="AQ2" i="12"/>
  <c r="S9" i="10"/>
  <c r="Z9" i="10" s="1"/>
  <c r="U3" i="15"/>
  <c r="V6" i="14"/>
  <c r="Q37" i="7"/>
  <c r="O53" i="7"/>
  <c r="R40" i="7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D2" i="9"/>
  <c r="J10" i="15"/>
  <c r="K11" i="14"/>
  <c r="N44" i="7"/>
  <c r="Q44" i="7" s="1"/>
  <c r="F53" i="7"/>
  <c r="BA53" i="7" s="1"/>
  <c r="D7" i="19"/>
  <c r="D9" i="16"/>
  <c r="D7" i="18"/>
  <c r="D9" i="20"/>
  <c r="D13" i="17"/>
  <c r="AV4" i="7"/>
  <c r="BX41" i="7"/>
  <c r="BN41" i="7"/>
  <c r="BD41" i="7"/>
  <c r="AH41" i="7"/>
  <c r="BS41" i="7"/>
  <c r="BI41" i="7"/>
  <c r="B37" i="21"/>
  <c r="B38" i="21"/>
  <c r="S6" i="10"/>
  <c r="Z6" i="10" s="1"/>
  <c r="C40" i="21"/>
  <c r="C25" i="21"/>
  <c r="C29" i="21" s="1"/>
  <c r="C31" i="21" s="1"/>
  <c r="X10" i="16"/>
  <c r="CB56" i="7"/>
  <c r="BW56" i="7"/>
  <c r="BM56" i="7"/>
  <c r="O51" i="7"/>
  <c r="P16" i="10"/>
  <c r="P17" i="10" s="1"/>
  <c r="R52" i="7"/>
  <c r="Q51" i="7"/>
  <c r="P5" i="14"/>
  <c r="O47" i="7"/>
  <c r="F51" i="7"/>
  <c r="BR51" i="7" s="1"/>
  <c r="D13" i="19"/>
  <c r="D7" i="20"/>
  <c r="D8" i="17"/>
  <c r="D11" i="16"/>
  <c r="D12" i="18"/>
  <c r="D17" i="17"/>
  <c r="D18" i="16"/>
  <c r="F47" i="7"/>
  <c r="AW47" i="7" s="1"/>
  <c r="N50" i="7"/>
  <c r="Q50" i="7" s="1"/>
  <c r="D6" i="16"/>
  <c r="D16" i="17"/>
  <c r="E5" i="12"/>
  <c r="Q5" i="12" s="1"/>
  <c r="C4" i="7"/>
  <c r="C38" i="7" s="1"/>
  <c r="F49" i="7"/>
  <c r="BM49" i="7" s="1"/>
  <c r="AN16" i="12" l="1"/>
  <c r="E16" i="9"/>
  <c r="E13" i="9"/>
  <c r="F13" i="9"/>
  <c r="F7" i="9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P21" i="10"/>
  <c r="AK25" i="12"/>
  <c r="AK16" i="12" s="1"/>
  <c r="U20" i="22"/>
  <c r="U27" i="22"/>
  <c r="U25" i="22"/>
  <c r="U24" i="22"/>
  <c r="U23" i="22"/>
  <c r="U21" i="22"/>
  <c r="AO16" i="12"/>
  <c r="D28" i="9"/>
  <c r="J28" i="9" s="1"/>
  <c r="AK39" i="7"/>
  <c r="C31" i="9"/>
  <c r="D30" i="9"/>
  <c r="J30" i="9" s="1"/>
  <c r="BR39" i="7"/>
  <c r="BZ39" i="7"/>
  <c r="BJ39" i="7"/>
  <c r="BQ39" i="7"/>
  <c r="P39" i="7"/>
  <c r="AF39" i="7"/>
  <c r="AA39" i="7"/>
  <c r="AC39" i="7" s="1"/>
  <c r="BI39" i="7"/>
  <c r="U39" i="7"/>
  <c r="BC39" i="7"/>
  <c r="BY39" i="7"/>
  <c r="AI39" i="7"/>
  <c r="AP39" i="7"/>
  <c r="BL39" i="7"/>
  <c r="BW39" i="7"/>
  <c r="X39" i="7"/>
  <c r="CD39" i="7"/>
  <c r="CF39" i="7" s="1"/>
  <c r="BH39" i="7"/>
  <c r="AU39" i="7"/>
  <c r="AL39" i="7"/>
  <c r="CB39" i="7"/>
  <c r="BV39" i="7"/>
  <c r="AG39" i="7"/>
  <c r="BB39" i="7"/>
  <c r="CE39" i="7"/>
  <c r="Z39" i="7"/>
  <c r="BO39" i="7"/>
  <c r="T39" i="7"/>
  <c r="V39" i="7" s="1"/>
  <c r="AT39" i="7"/>
  <c r="AV39" i="7" s="1"/>
  <c r="BF39" i="7"/>
  <c r="BA39" i="7"/>
  <c r="BX39" i="7"/>
  <c r="AD39" i="7"/>
  <c r="CG39" i="7"/>
  <c r="BT39" i="7"/>
  <c r="AM39" i="7"/>
  <c r="AO39" i="7" s="1"/>
  <c r="AE39" i="7"/>
  <c r="BG39" i="7"/>
  <c r="AY39" i="7"/>
  <c r="BD39" i="7"/>
  <c r="CA39" i="7"/>
  <c r="CC39" i="7" s="1"/>
  <c r="AW39" i="7"/>
  <c r="AX39" i="7"/>
  <c r="AZ39" i="7" s="1"/>
  <c r="BK39" i="7"/>
  <c r="BU39" i="7"/>
  <c r="AJ39" i="7"/>
  <c r="AR39" i="7"/>
  <c r="AH39" i="7"/>
  <c r="BE39" i="7"/>
  <c r="AN39" i="7"/>
  <c r="AB39" i="7"/>
  <c r="BS39" i="7"/>
  <c r="BM39" i="7"/>
  <c r="AQ39" i="7"/>
  <c r="AS39" i="7" s="1"/>
  <c r="W39" i="7"/>
  <c r="Y39" i="7" s="1"/>
  <c r="BP39" i="7"/>
  <c r="X2" i="18"/>
  <c r="B30" i="9"/>
  <c r="H30" i="9" s="1"/>
  <c r="S13" i="14"/>
  <c r="U13" i="14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BA40" i="7"/>
  <c r="BK40" i="7"/>
  <c r="BP40" i="7"/>
  <c r="AL40" i="7"/>
  <c r="CD40" i="7"/>
  <c r="CF40" i="7" s="1"/>
  <c r="BR40" i="7"/>
  <c r="AW40" i="7"/>
  <c r="AK40" i="7"/>
  <c r="AP40" i="7"/>
  <c r="X40" i="7"/>
  <c r="CE40" i="7"/>
  <c r="BI40" i="7"/>
  <c r="CA40" i="7"/>
  <c r="CC40" i="7" s="1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W21" i="10"/>
  <c r="V14" i="14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Z51" i="7"/>
  <c r="C33" i="21" l="1"/>
  <c r="AA2" i="18"/>
  <c r="D29" i="9"/>
  <c r="J29" i="9" s="1"/>
  <c r="J32" i="9" s="1"/>
  <c r="C29" i="9"/>
  <c r="I29" i="9" s="1"/>
  <c r="I30" i="9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O15" i="15"/>
  <c r="Q21" i="10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X14" i="10"/>
  <c r="X16" i="10"/>
  <c r="X17" i="10" s="1"/>
  <c r="X21" i="10" s="1"/>
  <c r="W14" i="14"/>
  <c r="C32" i="9" l="1"/>
  <c r="I32" i="9"/>
  <c r="D32" i="9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S18" i="21" l="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 s="1"/>
  <c r="L22" i="21"/>
  <c r="L26" i="21" s="1"/>
  <c r="L24" i="21"/>
  <c r="L28" i="21" s="1"/>
  <c r="K39" i="21"/>
  <c r="K32" i="21"/>
  <c r="J33" i="21"/>
  <c r="L25" i="21"/>
  <c r="L29" i="21" s="1"/>
  <c r="L23" i="21"/>
  <c r="L27" i="21" s="1"/>
  <c r="V30" i="21"/>
  <c r="W30" i="21" s="1"/>
  <c r="U31" i="21"/>
  <c r="L39" i="21" l="1"/>
  <c r="L38" i="21"/>
  <c r="L40" i="2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V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7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9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7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<sst xmlns="http://schemas.openxmlformats.org/spreadsheetml/2006/main" count="2107" uniqueCount="692">
  <si>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</si>
  <si>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</si>
  <si>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</si>
  <si>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</si>
  <si>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</si>
  <si>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</si>
  <si>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</si>
  <si>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</si>
  <si>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</si>
  <si>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</si>
  <si>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</si>
  <si>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</si>
  <si>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</si>
  <si>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</si>
  <si>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</si>
  <si>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</si>
  <si>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</si>
  <si>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</si>
  <si>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</si>
  <si>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</si>
  <si>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</si>
  <si>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</si>
  <si>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</si>
  <si>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</si>
  <si>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</si>
  <si>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</si>
  <si>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</si>
  <si>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</si>
  <si>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</si>
  <si>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</si>
  <si>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</si>
  <si>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</si>
  <si>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</si>
  <si>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</si>
  <si>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</si>
  <si>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</si>
  <si>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</si>
  <si>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</si>
  <si>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</si>
  <si>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</si>
  <si>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</si>
  <si>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</si>
  <si>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</si>
  <si>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</si>
  <si>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</si>
  <si>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</si>
  <si>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</si>
  <si>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</si>
  <si>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</si>
  <si>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</si>
  <si>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</si>
  <si>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</si>
  <si>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</si>
  <si>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</si>
  <si>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</si>
  <si>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</si>
  <si>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</si>
  <si>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</si>
  <si>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</si>
  <si>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</si>
  <si>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</si>
  <si>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</si>
  <si>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</si>
  <si>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</si>
  <si>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</si>
  <si>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</si>
  <si>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</si>
  <si>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</si>
  <si>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</si>
  <si>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</si>
  <si>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</si>
  <si>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</si>
  <si>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</si>
  <si>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</si>
  <si>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</si>
  <si>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</si>
  <si>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</si>
  <si>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</si>
  <si>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</si>
  <si>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</si>
  <si>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</si>
  <si>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</si>
  <si>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</si>
  <si>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</si>
  <si>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</si>
  <si>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</si>
  <si>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</si>
  <si>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</si>
  <si>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</si>
  <si>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</si>
  <si>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</si>
  <si>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</si>
  <si>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</si>
  <si>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</si>
  <si>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</si>
  <si>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</si>
  <si>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</si>
  <si>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</si>
  <si>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</si>
  <si>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</si>
  <si>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</si>
  <si>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</si>
  <si>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</si>
  <si>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</si>
  <si>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</si>
  <si>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</si>
  <si>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</si>
  <si>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</si>
  <si>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</si>
  <si>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</si>
  <si>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</si>
  <si>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</si>
  <si>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</si>
  <si>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</si>
  <si>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</si>
  <si>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</si>
  <si>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</si>
  <si>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</si>
  <si>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</si>
  <si>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</si>
  <si>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</si>
  <si>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</si>
  <si>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</si>
  <si>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</si>
  <si>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</si>
  <si>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</si>
  <si>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</si>
  <si>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</si>
  <si>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</si>
  <si>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</si>
  <si>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</si>
  <si>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</si>
  <si>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</si>
  <si>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</si>
  <si>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</si>
  <si>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</si>
  <si>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</si>
  <si>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</si>
  <si>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</si>
  <si>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</si>
  <si>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</si>
  <si>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</si>
  <si>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</si>
  <si>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</si>
  <si>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</si>
  <si>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</si>
  <si>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</si>
  <si>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</si>
  <si>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</si>
  <si>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</si>
  <si>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</si>
  <si>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</si>
  <si>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</si>
  <si>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</si>
  <si>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</si>
  <si>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</si>
  <si>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</si>
  <si>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</si>
  <si>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</si>
  <si>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</si>
  <si>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</si>
  <si>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</si>
  <si>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</si>
  <si>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</si>
  <si>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</si>
  <si>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</si>
  <si>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</si>
  <si>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</si>
  <si>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</si>
  <si>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</si>
  <si>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</si>
  <si>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</si>
  <si>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</si>
  <si>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</si>
  <si>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</si>
  <si>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</si>
  <si>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</si>
  <si>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</si>
  <si>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</si>
  <si>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</si>
  <si>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</si>
  <si>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</si>
  <si>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Capitan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</si>
  <si>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</si>
  <si>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</si>
  <si>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</si>
  <si>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</si>
  <si>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</si>
  <si>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</si>
  <si>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</si>
  <si>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</si>
  <si>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</si>
  <si>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</si>
  <si>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</si>
  <si>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</si>
  <si>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</si>
  <si>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</si>
  <si>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</si>
  <si>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</si>
  <si>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</si>
  <si>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</si>
  <si>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</si>
  <si>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</si>
  <si>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</si>
  <si>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</si>
  <si>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</si>
  <si>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</si>
  <si>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</si>
  <si>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</si>
  <si>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</si>
  <si>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</si>
  <si>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</si>
  <si>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</si>
  <si>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</si>
  <si>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</si>
  <si>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</si>
  <si>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</si>
  <si>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</si>
  <si>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</si>
  <si>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</si>
  <si>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</si>
  <si>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</si>
  <si>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</si>
  <si>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</si>
  <si>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</si>
  <si>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</si>
  <si>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</si>
  <si>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</si>
  <si>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</si>
  <si>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</si>
  <si>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</si>
  <si>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</si>
  <si>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</si>
  <si>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</si>
  <si>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</si>
  <si>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</si>
  <si>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</si>
  <si>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</si>
  <si>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</si>
  <si>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</si>
  <si>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</si>
  <si>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</si>
  <si>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</si>
  <si>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</si>
  <si>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</si>
  <si>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</si>
  <si>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</si>
  <si>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</si>
  <si>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</si>
  <si>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</si>
  <si>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</si>
  <si>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</si>
  <si>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</si>
  <si>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</si>
  <si>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</si>
  <si>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</si>
  <si>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</si>
  <si>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</si>
  <si>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</si>
  <si>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</si>
  <si>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</si>
  <si>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</si>
  <si>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</si>
  <si>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</si>
  <si>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</si>
  <si>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</si>
  <si>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</si>
  <si>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</si>
  <si>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</si>
  <si>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</si>
  <si>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</si>
  <si>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</si>
  <si>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</si>
  <si>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</si>
  <si>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</si>
  <si>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</si>
  <si>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</si>
  <si>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</si>
  <si>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</si>
  <si>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</si>
  <si>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</si>
  <si>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</si>
  <si>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</si>
  <si>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</si>
  <si>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</si>
  <si>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</si>
  <si>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</si>
  <si>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</si>
  <si>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</si>
  <si>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</si>
  <si>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</si>
  <si>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</si>
  <si>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</si>
  <si>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</si>
  <si>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</si>
  <si>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</si>
  <si>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</si>
  <si>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</si>
  <si>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</si>
  <si>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</si>
  <si>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</si>
  <si>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</si>
  <si>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</si>
  <si>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</si>
  <si>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</si>
  <si>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</si>
  <si>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</si>
  <si>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</si>
  <si>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</si>
  <si>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</si>
  <si>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</si>
  <si>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</si>
  <si>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</si>
  <si>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</si>
  <si>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</si>
  <si>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</si>
  <si>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</si>
  <si>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</si>
  <si>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</si>
  <si>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</si>
  <si>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</si>
  <si>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</si>
  <si>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</si>
  <si>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</si>
  <si>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</si>
  <si>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</si>
  <si>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</si>
  <si>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</si>
  <si>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</si>
  <si>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</si>
  <si>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</si>
  <si>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</si>
  <si>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</si>
  <si>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</si>
  <si>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</si>
  <si>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</si>
  <si>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</si>
  <si>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</si>
  <si>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</si>
  <si>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</si>
  <si>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</si>
  <si>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</si>
  <si>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</si>
  <si>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</si>
  <si>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</si>
  <si>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</si>
  <si>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</si>
  <si>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</si>
  <si>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</si>
  <si>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</si>
  <si>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</si>
  <si>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</si>
  <si>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</si>
  <si>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</si>
  <si>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</si>
  <si>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</si>
  <si>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</si>
  <si>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</si>
  <si>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</si>
  <si>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</si>
  <si>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</si>
  <si>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</si>
  <si>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</si>
  <si>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</si>
  <si>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</si>
  <si>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</si>
  <si>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</si>
  <si>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</si>
  <si>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</si>
  <si>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</si>
  <si>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</si>
  <si>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</si>
  <si>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</si>
  <si>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</si>
  <si>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</si>
  <si>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</si>
  <si>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</si>
  <si>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</si>
  <si>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</si>
  <si>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</si>
  <si>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</si>
  <si>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</si>
  <si>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</si>
  <si>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</si>
  <si>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</si>
  <si>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</si>
  <si>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</si>
  <si>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</si>
  <si>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</si>
  <si>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</si>
  <si>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</si>
  <si>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</si>
  <si>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</si>
  <si>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</si>
  <si>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</si>
  <si>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</si>
  <si>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</si>
  <si>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</si>
  <si>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</si>
  <si>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</si>
  <si>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</si>
  <si>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</si>
  <si>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</si>
  <si>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</si>
  <si>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</si>
  <si>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</si>
  <si>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</si>
  <si>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</si>
  <si>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</si>
  <si>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</si>
  <si>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</si>
  <si>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</si>
  <si>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</si>
  <si>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</si>
  <si>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</si>
  <si>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</si>
  <si>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</si>
  <si>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</si>
  <si>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</si>
  <si>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</si>
  <si>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</si>
  <si>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</si>
  <si>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</si>
  <si>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</si>
  <si>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</si>
  <si>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</si>
  <si>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</si>
  <si>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</si>
  <si>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</si>
  <si>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</si>
  <si>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</si>
  <si>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</si>
  <si>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</si>
  <si>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</si>
  <si>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</si>
  <si>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</si>
  <si>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</si>
  <si>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</si>
  <si>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</si>
  <si>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</si>
  <si>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</si>
  <si>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</si>
  <si>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</si>
  <si>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</si>
  <si>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</si>
  <si>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</si>
  <si>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</si>
  <si>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</si>
  <si>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</si>
  <si>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</si>
  <si>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</si>
  <si>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</si>
  <si>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</si>
  <si>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</si>
  <si>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</si>
  <si>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</si>
  <si>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</si>
  <si>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</si>
  <si>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</si>
  <si>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</si>
  <si>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</si>
  <si>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</si>
  <si>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</si>
  <si>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</si>
  <si>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</si>
  <si>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</si>
  <si>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</si>
  <si>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</si>
  <si>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</si>
  <si>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</si>
  <si>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</si>
  <si>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</si>
  <si>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</si>
  <si>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</si>
  <si>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</si>
  <si>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</si>
  <si>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</si>
  <si>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</si>
  <si>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</si>
  <si>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</si>
  <si>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</si>
  <si>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</si>
  <si>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</si>
  <si>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</si>
  <si>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</si>
  <si>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</si>
  <si>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</si>
  <si>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</si>
  <si>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</si>
  <si>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</si>
  <si>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LID</t>
  </si>
  <si>
    <t>Precio</t>
  </si>
  <si>
    <t>V_32</t>
  </si>
  <si>
    <t>Coste_32</t>
  </si>
  <si>
    <t>C_T32</t>
  </si>
  <si>
    <t>XPR</t>
  </si>
  <si>
    <t>Marco Andres Balbinot</t>
  </si>
  <si>
    <t>#15</t>
  </si>
  <si>
    <t>Julian Conteanu</t>
  </si>
  <si>
    <t>Stellan Swarborn</t>
  </si>
  <si>
    <t>Salomen Embe</t>
  </si>
  <si>
    <t>Serhat Gencel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</si>
  <si>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</si>
  <si>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</si>
  <si>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</si>
  <si>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</si>
  <si>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</si>
  <si>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</si>
  <si>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</si>
  <si>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</si>
  <si>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</si>
  <si>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</si>
  <si>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</si>
  <si>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</si>
  <si>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</si>
  <si>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</si>
  <si>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</si>
  <si>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</si>
  <si>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</si>
  <si>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</si>
  <si>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</si>
  <si>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</si>
  <si>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</si>
  <si>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</si>
  <si>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</si>
  <si>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</si>
  <si>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</si>
  <si>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</si>
  <si>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</si>
  <si>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</si>
  <si>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</si>
  <si>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</si>
  <si>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</si>
  <si>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</si>
  <si>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</si>
  <si>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</si>
  <si>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</si>
  <si>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</si>
  <si>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</si>
  <si>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</si>
  <si>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</si>
  <si>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</si>
  <si>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</si>
  <si>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</si>
  <si>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</si>
  <si>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</si>
  <si>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</si>
  <si>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</si>
  <si>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</si>
  <si>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</si>
  <si>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</si>
  <si>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</si>
  <si>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</si>
  <si>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</si>
  <si>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</si>
  <si>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</si>
  <si>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</si>
  <si>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</si>
  <si>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</si>
  <si>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</si>
  <si>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</si>
  <si>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</si>
  <si>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</si>
  <si>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</si>
  <si>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</si>
  <si>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</si>
  <si>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</si>
  <si>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</si>
  <si>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</si>
  <si>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</si>
  <si>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</si>
  <si>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</si>
  <si>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</si>
  <si>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</si>
  <si>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</si>
  <si>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</si>
  <si>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</si>
  <si>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</si>
  <si>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</si>
  <si>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</si>
  <si>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</si>
  <si>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</si>
  <si>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</si>
  <si>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</si>
  <si>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</si>
  <si>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</si>
  <si>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</si>
  <si>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</si>
  <si>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</si>
  <si>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</si>
  <si>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</si>
  <si>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</si>
  <si>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</si>
  <si>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Derrick Ball</t>
  </si>
  <si>
    <t>Edgar Monagas</t>
  </si>
  <si>
    <t>Forrest Horton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</si>
  <si>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</si>
  <si>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</si>
  <si>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</si>
  <si>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</si>
  <si>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</si>
  <si>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</si>
  <si>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</si>
  <si>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</si>
  <si>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</si>
  <si>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Adam Binder</t>
  </si>
  <si>
    <t>Signar Nidristovu</t>
  </si>
  <si>
    <t>Ernis Kourtis</t>
  </si>
  <si>
    <t>Dusty Ware</t>
  </si>
  <si>
    <t>Massimiliano Selleri</t>
  </si>
  <si>
    <t>Sanel Vaupotic</t>
  </si>
  <si>
    <t>Leoš Lehocký</t>
  </si>
  <si>
    <t>Ludwig Schneiders</t>
  </si>
  <si>
    <t>Toni Valanne</t>
  </si>
  <si>
    <t>Ivan Salnikov</t>
  </si>
  <si>
    <t>Nicolás Rojas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</si>
  <si>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</si>
  <si>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</si>
  <si>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</si>
  <si>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</si>
  <si>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</si>
  <si>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</si>
  <si>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</si>
  <si>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</si>
  <si>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</si>
  <si>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</si>
  <si>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</si>
  <si>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</si>
  <si>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</si>
  <si>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</si>
  <si>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</si>
  <si>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</si>
  <si>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</si>
  <si>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</si>
  <si>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</si>
  <si>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</si>
  <si>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</si>
  <si>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</si>
  <si>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Cecil McNish</t>
  </si>
  <si>
    <t>Emil Speilman</t>
  </si>
  <si>
    <t>Devin Maguire</t>
  </si>
  <si>
    <t>Zaid Gagliardi</t>
  </si>
  <si>
    <t>Adrian Ramos</t>
  </si>
  <si>
    <t>Kenneth Deskins</t>
  </si>
  <si>
    <t>Bennet Lockwood</t>
  </si>
  <si>
    <t>Jordan Connors</t>
  </si>
  <si>
    <t>Karim Mamoun</t>
  </si>
  <si>
    <t>Jeremy Robley</t>
  </si>
  <si>
    <t>Tyler Peet</t>
  </si>
  <si>
    <t>Forest LaValle</t>
  </si>
  <si>
    <t>Guadalupe Becerril</t>
  </si>
  <si>
    <t>K. Polyukhov</t>
  </si>
  <si>
    <t>#3</t>
  </si>
  <si>
    <t>Alex Gordy</t>
  </si>
  <si>
    <t>Kyle Riddick-Stevens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</si>
  <si>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</si>
  <si>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</si>
  <si>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</si>
  <si>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</si>
  <si>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</si>
  <si>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</si>
  <si>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</si>
  <si>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</si>
  <si>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</si>
  <si>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</si>
  <si>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</si>
  <si>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</si>
  <si>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</si>
  <si>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</si>
  <si>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</si>
  <si>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</si>
  <si>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S. Kariuki</t>
  </si>
  <si>
    <t>I. Shirazi</t>
  </si>
  <si>
    <t>T. McPhail</t>
  </si>
  <si>
    <t>Kuzma Polyukhov</t>
  </si>
  <si>
    <t>Sadaka Kariuki</t>
  </si>
  <si>
    <t>Definicion</t>
  </si>
  <si>
    <t>Estimacion Pessimista</t>
  </si>
  <si>
    <t>Estimacion Optimista</t>
  </si>
  <si>
    <t>Opcion 1</t>
  </si>
  <si>
    <t>Opcion 2</t>
  </si>
  <si>
    <t>Opcion 3</t>
  </si>
  <si>
    <t>Op. 4</t>
  </si>
  <si>
    <t>Op. 5</t>
  </si>
  <si>
    <t>91000 por partido</t>
  </si>
  <si>
    <t>27000 por gol visitante</t>
  </si>
  <si>
    <t>820000 por ascenso</t>
  </si>
  <si>
    <t>53000 por ganado</t>
  </si>
  <si>
    <t>99000 por ganado en casa</t>
  </si>
  <si>
    <t>273000 por porteria a cero visitante</t>
  </si>
  <si>
    <t>NTL</t>
  </si>
  <si>
    <t>TL_sF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</si>
</sst>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  <numFmt numFmtId="179" formatCode="dd/mmm"/>
  </numFmts>
  <fonts count="6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/>
    <xf numFmtId="0" fontId="31" fillId="0" borderId="0"/>
    <xf numFmtId="175" fontId="41" fillId="0" borderId="0"/>
  </cellStyleXfs>
  <cellXfs count="565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77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1" fillId="0" borderId="1" xfId="4" applyNumberFormat="1" applyBorder="1"/>
    <xf numFmtId="171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77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41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1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77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77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0" fontId="39" fillId="0" borderId="1" xfId="0" applyNumberFormat="1" applyFont="1" applyBorder="1"/>
    <xf numFmtId="172" fontId="39" fillId="0" borderId="1" xfId="3" applyNumberFormat="1" applyFont="1" applyBorder="1" applyAlignment="1">
      <alignment horizontal="center"/>
    </xf>
    <xf numFmtId="0" fontId="39" fillId="0" borderId="0" xfId="0" applyFont="1"/>
    <xf numFmtId="169" fontId="38" fillId="0" borderId="0" xfId="3" applyNumberFormat="1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1" fillId="56" borderId="70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76" xfId="0" applyBorder="1"/>
    <xf numFmtId="0" fontId="11" fillId="20" borderId="76" xfId="0" applyFont="1" applyFill="1" applyBorder="1" applyAlignment="1">
      <alignment horizontal="left" vertical="center"/>
    </xf>
    <xf numFmtId="1" fontId="11" fillId="20" borderId="76" xfId="0" applyNumberFormat="1" applyFont="1" applyFill="1" applyBorder="1" applyAlignment="1">
      <alignment horizontal="left" vertical="center"/>
    </xf>
    <xf numFmtId="0" fontId="11" fillId="21" borderId="76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left" vertical="center"/>
    </xf>
    <xf numFmtId="2" fontId="11" fillId="21" borderId="76" xfId="0" applyNumberFormat="1" applyFont="1" applyFill="1" applyBorder="1" applyAlignment="1">
      <alignment horizontal="left" vertical="center"/>
    </xf>
    <xf numFmtId="1" fontId="11" fillId="29" borderId="76" xfId="0" applyNumberFormat="1" applyFont="1" applyFill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center" vertical="center"/>
    </xf>
    <xf numFmtId="1" fontId="11" fillId="21" borderId="76" xfId="0" applyNumberFormat="1" applyFont="1" applyFill="1" applyBorder="1" applyAlignment="1">
      <alignment horizontal="center" vertical="center"/>
    </xf>
    <xf numFmtId="2" fontId="11" fillId="21" borderId="76" xfId="0" applyNumberFormat="1" applyFont="1" applyFill="1" applyBorder="1" applyAlignment="1">
      <alignment horizontal="center" vertical="center"/>
    </xf>
    <xf numFmtId="9" fontId="11" fillId="21" borderId="76" xfId="2" applyFont="1" applyFill="1" applyBorder="1" applyAlignment="1">
      <alignment horizontal="center" vertical="center"/>
    </xf>
    <xf numFmtId="169" fontId="11" fillId="21" borderId="76" xfId="3" applyNumberFormat="1" applyFont="1" applyFill="1" applyBorder="1" applyAlignment="1">
      <alignment horizontal="right" vertical="center"/>
    </xf>
    <xf numFmtId="169" fontId="11" fillId="21" borderId="76" xfId="3" applyNumberFormat="1" applyFont="1" applyFill="1" applyBorder="1" applyAlignment="1">
      <alignment horizontal="left" vertical="center"/>
    </xf>
    <xf numFmtId="172" fontId="11" fillId="21" borderId="76" xfId="3" applyNumberFormat="1" applyFont="1" applyFill="1" applyBorder="1" applyAlignment="1">
      <alignment horizontal="right" vertical="center"/>
    </xf>
    <xf numFmtId="2" fontId="11" fillId="20" borderId="76" xfId="0" applyNumberFormat="1" applyFont="1" applyFill="1" applyBorder="1" applyAlignment="1">
      <alignment horizontal="left" vertical="center"/>
    </xf>
    <xf numFmtId="169" fontId="23" fillId="21" borderId="76" xfId="3" applyNumberFormat="1" applyFont="1" applyFill="1" applyBorder="1" applyAlignment="1">
      <alignment horizontal="right" vertical="center"/>
    </xf>
    <xf numFmtId="170" fontId="39" fillId="0" borderId="76" xfId="0" applyNumberFormat="1" applyFont="1" applyBorder="1"/>
    <xf numFmtId="169" fontId="11" fillId="53" borderId="73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NumberFormat="1" applyBorder="1" applyAlignment="1">
      <alignment horizontal="center"/>
    </xf>
    <xf numFmtId="0" fontId="0" fillId="0" borderId="83" xfId="0" applyNumberFormat="1" applyBorder="1" applyAlignment="1">
      <alignment horizontal="center"/>
    </xf>
    <xf numFmtId="9" fontId="0" fillId="0" borderId="80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8" xfId="0" applyNumberFormat="1" applyBorder="1" applyAlignment="1">
      <alignment horizontal="center"/>
    </xf>
    <xf numFmtId="0" fontId="0" fillId="0" borderId="84" xfId="0" applyNumberFormat="1" applyBorder="1" applyAlignment="1">
      <alignment horizontal="center"/>
    </xf>
    <xf numFmtId="9" fontId="0" fillId="0" borderId="81" xfId="0" applyNumberFormat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0" fontId="0" fillId="0" borderId="85" xfId="0" applyNumberFormat="1" applyBorder="1" applyAlignment="1">
      <alignment horizontal="center"/>
    </xf>
    <xf numFmtId="0" fontId="0" fillId="0" borderId="82" xfId="0" applyNumberFormat="1" applyBorder="1" applyAlignment="1">
      <alignment horizontal="center"/>
    </xf>
    <xf numFmtId="0" fontId="1" fillId="0" borderId="7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1" fillId="0" borderId="85" xfId="0" applyNumberFormat="1" applyFont="1" applyBorder="1" applyAlignment="1">
      <alignment horizontal="center"/>
    </xf>
    <xf numFmtId="9" fontId="1" fillId="0" borderId="82" xfId="0" applyNumberFormat="1" applyFont="1" applyBorder="1" applyAlignment="1">
      <alignment horizontal="center"/>
    </xf>
    <xf numFmtId="0" fontId="0" fillId="69" borderId="22" xfId="0" applyFill="1" applyBorder="1"/>
    <xf numFmtId="0" fontId="0" fillId="70" borderId="22" xfId="0" applyFill="1" applyBorder="1"/>
    <xf numFmtId="0" fontId="0" fillId="71" borderId="22" xfId="0" applyFill="1" applyBorder="1"/>
    <xf numFmtId="0" fontId="0" fillId="72" borderId="22" xfId="0" applyFill="1" applyBorder="1"/>
    <xf numFmtId="0" fontId="17" fillId="47" borderId="7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44" fillId="21" borderId="24" xfId="3" applyNumberFormat="1" applyFont="1" applyFill="1" applyBorder="1" applyAlignment="1">
      <alignment horizontal="right" vertical="center"/>
    </xf>
    <xf numFmtId="169" fontId="45" fillId="21" borderId="24" xfId="3" applyNumberFormat="1" applyFont="1" applyFill="1" applyBorder="1" applyAlignment="1">
      <alignment horizontal="right" vertical="center"/>
    </xf>
    <xf numFmtId="0" fontId="41" fillId="0" borderId="64" xfId="4" applyFill="1" applyBorder="1" applyAlignment="1">
      <alignment horizontal="right"/>
    </xf>
    <xf numFmtId="0" fontId="8" fillId="0" borderId="73" xfId="0" applyFont="1" applyBorder="1"/>
    <xf numFmtId="0" fontId="0" fillId="0" borderId="73" xfId="0" applyBorder="1"/>
    <xf numFmtId="165" fontId="8" fillId="0" borderId="73" xfId="2" applyNumberFormat="1" applyFont="1" applyBorder="1"/>
    <xf numFmtId="0" fontId="1" fillId="0" borderId="73" xfId="0" applyFont="1" applyBorder="1"/>
    <xf numFmtId="0" fontId="1" fillId="56" borderId="73" xfId="0" applyFont="1" applyFill="1" applyBorder="1" applyAlignment="1">
      <alignment horizontal="center"/>
    </xf>
    <xf numFmtId="0" fontId="0" fillId="56" borderId="73" xfId="0" applyFill="1" applyBorder="1"/>
    <xf numFmtId="0" fontId="0" fillId="0" borderId="73" xfId="0" applyBorder="1" applyAlignment="1">
      <alignment horizontal="center"/>
    </xf>
    <xf numFmtId="0" fontId="0" fillId="57" borderId="73" xfId="0" applyFill="1" applyBorder="1" applyAlignment="1">
      <alignment horizontal="center"/>
    </xf>
    <xf numFmtId="0" fontId="0" fillId="57" borderId="73" xfId="0" applyFill="1" applyBorder="1"/>
    <xf numFmtId="177" fontId="0" fillId="57" borderId="73" xfId="0" applyNumberFormat="1" applyFill="1" applyBorder="1"/>
    <xf numFmtId="0" fontId="1" fillId="57" borderId="73" xfId="0" applyFont="1" applyFill="1" applyBorder="1" applyAlignment="1">
      <alignment horizontal="center"/>
    </xf>
    <xf numFmtId="0" fontId="0" fillId="56" borderId="73" xfId="0" applyFill="1" applyBorder="1" applyAlignment="1">
      <alignment horizontal="center"/>
    </xf>
    <xf numFmtId="0" fontId="0" fillId="55" borderId="73" xfId="0" applyFill="1" applyBorder="1" applyAlignment="1">
      <alignment horizontal="center"/>
    </xf>
    <xf numFmtId="0" fontId="0" fillId="55" borderId="73" xfId="0" applyFill="1" applyBorder="1"/>
    <xf numFmtId="177" fontId="0" fillId="55" borderId="73" xfId="0" applyNumberFormat="1" applyFill="1" applyBorder="1"/>
    <xf numFmtId="0" fontId="0" fillId="54" borderId="73" xfId="0" applyFill="1" applyBorder="1" applyAlignment="1">
      <alignment horizontal="center"/>
    </xf>
    <xf numFmtId="0" fontId="0" fillId="54" borderId="73" xfId="0" applyFill="1" applyBorder="1"/>
    <xf numFmtId="177" fontId="0" fillId="54" borderId="73" xfId="0" applyNumberFormat="1" applyFill="1" applyBorder="1"/>
    <xf numFmtId="2" fontId="0" fillId="54" borderId="73" xfId="0" applyNumberFormat="1" applyFill="1" applyBorder="1"/>
    <xf numFmtId="2" fontId="0" fillId="55" borderId="73" xfId="0" applyNumberFormat="1" applyFill="1" applyBorder="1"/>
    <xf numFmtId="0" fontId="8" fillId="54" borderId="73" xfId="0" applyFont="1" applyFill="1" applyBorder="1"/>
    <xf numFmtId="0" fontId="8" fillId="0" borderId="7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71" borderId="73" xfId="0" applyFill="1" applyBorder="1" applyAlignment="1">
      <alignment horizontal="center"/>
    </xf>
    <xf numFmtId="0" fontId="0" fillId="71" borderId="73" xfId="0" applyFill="1" applyBorder="1"/>
    <xf numFmtId="177" fontId="0" fillId="71" borderId="73" xfId="0" applyNumberFormat="1" applyFill="1" applyBorder="1"/>
    <xf numFmtId="0" fontId="0" fillId="71" borderId="69" xfId="0" applyFill="1" applyBorder="1" applyAlignment="1">
      <alignment horizontal="center"/>
    </xf>
    <xf numFmtId="0" fontId="0" fillId="71" borderId="69" xfId="0" applyFill="1" applyBorder="1"/>
    <xf numFmtId="0" fontId="1" fillId="71" borderId="73" xfId="0" applyFont="1" applyFill="1" applyBorder="1" applyAlignment="1">
      <alignment horizontal="center"/>
    </xf>
    <xf numFmtId="0" fontId="15" fillId="42" borderId="73" xfId="0" applyFont="1" applyFill="1" applyBorder="1"/>
    <xf numFmtId="1" fontId="0" fillId="0" borderId="73" xfId="0" applyNumberFormat="1" applyBorder="1"/>
    <xf numFmtId="170" fontId="0" fillId="0" borderId="73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5" fillId="37" borderId="73" xfId="0" applyFont="1" applyFill="1" applyBorder="1"/>
    <xf numFmtId="0" fontId="15" fillId="37" borderId="73" xfId="0" applyFont="1" applyFill="1" applyBorder="1" applyAlignment="1">
      <alignment horizontal="center"/>
    </xf>
    <xf numFmtId="0" fontId="15" fillId="39" borderId="73" xfId="0" applyFont="1" applyFill="1" applyBorder="1" applyAlignment="1">
      <alignment horizontal="center"/>
    </xf>
    <xf numFmtId="0" fontId="15" fillId="40" borderId="73" xfId="0" applyFont="1" applyFill="1" applyBorder="1" applyAlignment="1">
      <alignment horizontal="center"/>
    </xf>
    <xf numFmtId="0" fontId="23" fillId="30" borderId="73" xfId="0" applyFont="1" applyFill="1" applyBorder="1" applyAlignment="1">
      <alignment horizontal="center" vertical="center"/>
    </xf>
    <xf numFmtId="0" fontId="0" fillId="65" borderId="73" xfId="0" applyFill="1" applyBorder="1"/>
    <xf numFmtId="164" fontId="0" fillId="0" borderId="73" xfId="3" applyFont="1" applyBorder="1" applyAlignment="1">
      <alignment horizontal="center"/>
    </xf>
    <xf numFmtId="2" fontId="0" fillId="0" borderId="73" xfId="0" applyNumberFormat="1" applyBorder="1"/>
    <xf numFmtId="0" fontId="14" fillId="63" borderId="73" xfId="0" applyFont="1" applyFill="1" applyBorder="1"/>
    <xf numFmtId="0" fontId="0" fillId="0" borderId="0" xfId="0" applyAlignment="1">
      <alignment horizontal="center"/>
    </xf>
    <xf numFmtId="170" fontId="0" fillId="0" borderId="73" xfId="0" applyNumberFormat="1" applyBorder="1"/>
    <xf numFmtId="172" fontId="39" fillId="0" borderId="76" xfId="3" applyNumberFormat="1" applyFont="1" applyBorder="1" applyAlignment="1">
      <alignment horizontal="center"/>
    </xf>
    <xf numFmtId="0" fontId="0" fillId="0" borderId="73" xfId="0" applyFill="1" applyBorder="1" applyAlignment="1">
      <alignment horizontal="center"/>
    </xf>
    <xf numFmtId="2" fontId="0" fillId="71" borderId="73" xfId="0" applyNumberFormat="1" applyFill="1" applyBorder="1"/>
    <xf numFmtId="2" fontId="0" fillId="71" borderId="69" xfId="0" applyNumberFormat="1" applyFill="1" applyBorder="1"/>
    <xf numFmtId="0" fontId="8" fillId="71" borderId="73" xfId="0" applyFont="1" applyFill="1" applyBorder="1"/>
    <xf numFmtId="0" fontId="41" fillId="70" borderId="70" xfId="4" applyFill="1" applyBorder="1" applyAlignment="1">
      <alignment horizontal="right"/>
    </xf>
    <xf numFmtId="0" fontId="41" fillId="70" borderId="72" xfId="4" applyFill="1" applyBorder="1" applyAlignment="1">
      <alignment horizontal="right"/>
    </xf>
    <xf numFmtId="0" fontId="41" fillId="70" borderId="76" xfId="4" applyFill="1" applyBorder="1" applyAlignment="1">
      <alignment horizontal="right"/>
    </xf>
    <xf numFmtId="178" fontId="11" fillId="21" borderId="7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9" fontId="46" fillId="0" borderId="0" xfId="3" applyNumberFormat="1" applyFont="1"/>
    <xf numFmtId="0" fontId="46" fillId="0" borderId="0" xfId="0" applyFont="1"/>
    <xf numFmtId="0" fontId="7" fillId="0" borderId="73" xfId="0" applyFont="1" applyBorder="1"/>
    <xf numFmtId="0" fontId="7" fillId="0" borderId="73" xfId="0" applyFont="1" applyBorder="1" applyAlignment="1">
      <alignment horizontal="center"/>
    </xf>
    <xf numFmtId="14" fontId="7" fillId="0" borderId="73" xfId="0" applyNumberFormat="1" applyFont="1" applyBorder="1" applyAlignment="1">
      <alignment horizontal="center"/>
    </xf>
    <xf numFmtId="0" fontId="35" fillId="73" borderId="86" xfId="0" applyFont="1" applyFill="1" applyBorder="1" applyAlignment="1">
      <alignment horizontal="left" wrapText="1"/>
    </xf>
    <xf numFmtId="166" fontId="35" fillId="74" borderId="87" xfId="0" applyNumberFormat="1" applyFont="1" applyFill="1" applyBorder="1"/>
    <xf numFmtId="165" fontId="35" fillId="74" borderId="88" xfId="2" applyNumberFormat="1" applyFont="1" applyFill="1" applyBorder="1"/>
    <xf numFmtId="0" fontId="48" fillId="0" borderId="88" xfId="0" applyFont="1" applyBorder="1"/>
    <xf numFmtId="0" fontId="35" fillId="75" borderId="87" xfId="0" applyFont="1" applyFill="1" applyBorder="1" applyAlignment="1">
      <alignment horizontal="left" wrapText="1"/>
    </xf>
    <xf numFmtId="166" fontId="35" fillId="76" borderId="87" xfId="0" applyNumberFormat="1" applyFont="1" applyFill="1" applyBorder="1"/>
    <xf numFmtId="165" fontId="35" fillId="76" borderId="88" xfId="2" applyNumberFormat="1" applyFont="1" applyFill="1" applyBorder="1"/>
    <xf numFmtId="166" fontId="0" fillId="0" borderId="0" xfId="0" applyNumberFormat="1"/>
    <xf numFmtId="0" fontId="1" fillId="0" borderId="73" xfId="0" applyFont="1" applyBorder="1" applyAlignment="1">
      <alignment horizontal="right"/>
    </xf>
    <xf numFmtId="0" fontId="8" fillId="0" borderId="92" xfId="0" applyFont="1" applyBorder="1"/>
    <xf numFmtId="166" fontId="8" fillId="0" borderId="73" xfId="0" applyNumberFormat="1" applyFont="1" applyBorder="1"/>
    <xf numFmtId="165" fontId="35" fillId="0" borderId="93" xfId="2" applyNumberFormat="1" applyFont="1" applyBorder="1"/>
    <xf numFmtId="0" fontId="0" fillId="0" borderId="93" xfId="0" applyBorder="1"/>
    <xf numFmtId="0" fontId="34" fillId="0" borderId="73" xfId="0" applyFont="1" applyBorder="1"/>
    <xf numFmtId="0" fontId="34" fillId="0" borderId="92" xfId="0" applyFont="1" applyBorder="1" applyAlignment="1">
      <alignment horizontal="right"/>
    </xf>
    <xf numFmtId="166" fontId="34" fillId="0" borderId="73" xfId="1" applyNumberFormat="1" applyFont="1" applyBorder="1"/>
    <xf numFmtId="165" fontId="34" fillId="0" borderId="93" xfId="2" applyNumberFormat="1" applyFont="1" applyBorder="1"/>
    <xf numFmtId="0" fontId="34" fillId="0" borderId="93" xfId="0" applyFont="1" applyBorder="1"/>
    <xf numFmtId="0" fontId="34" fillId="0" borderId="73" xfId="0" applyFont="1" applyBorder="1" applyAlignment="1">
      <alignment horizontal="right"/>
    </xf>
    <xf numFmtId="0" fontId="34" fillId="0" borderId="0" xfId="0" applyFont="1"/>
    <xf numFmtId="0" fontId="1" fillId="70" borderId="73" xfId="0" applyFont="1" applyFill="1" applyBorder="1" applyAlignment="1">
      <alignment horizontal="left" wrapText="1"/>
    </xf>
    <xf numFmtId="176" fontId="0" fillId="64" borderId="73" xfId="0" applyNumberFormat="1" applyFill="1" applyBorder="1"/>
    <xf numFmtId="176" fontId="0" fillId="64" borderId="73" xfId="0" applyNumberFormat="1" applyFill="1" applyBorder="1" applyAlignment="1">
      <alignment horizontal="center"/>
    </xf>
    <xf numFmtId="176" fontId="0" fillId="0" borderId="73" xfId="0" applyNumberFormat="1" applyBorder="1"/>
    <xf numFmtId="0" fontId="8" fillId="0" borderId="92" xfId="0" applyFont="1" applyBorder="1" applyAlignment="1">
      <alignment horizontal="left"/>
    </xf>
    <xf numFmtId="166" fontId="0" fillId="0" borderId="73" xfId="0" applyNumberFormat="1" applyBorder="1"/>
    <xf numFmtId="0" fontId="1" fillId="75" borderId="73" xfId="0" applyFont="1" applyFill="1" applyBorder="1" applyAlignment="1">
      <alignment horizontal="left"/>
    </xf>
    <xf numFmtId="176" fontId="0" fillId="65" borderId="73" xfId="0" applyNumberFormat="1" applyFill="1" applyBorder="1"/>
    <xf numFmtId="176" fontId="34" fillId="0" borderId="73" xfId="0" applyNumberFormat="1" applyFont="1" applyBorder="1"/>
    <xf numFmtId="0" fontId="0" fillId="0" borderId="73" xfId="0" applyBorder="1" applyAlignment="1">
      <alignment horizontal="right"/>
    </xf>
    <xf numFmtId="0" fontId="34" fillId="0" borderId="89" xfId="0" applyFont="1" applyBorder="1" applyAlignment="1">
      <alignment horizontal="right"/>
    </xf>
    <xf numFmtId="176" fontId="0" fillId="0" borderId="90" xfId="0" applyNumberFormat="1" applyBorder="1"/>
    <xf numFmtId="165" fontId="34" fillId="0" borderId="91" xfId="2" applyNumberFormat="1" applyFont="1" applyBorder="1"/>
    <xf numFmtId="0" fontId="0" fillId="0" borderId="91" xfId="0" applyBorder="1"/>
    <xf numFmtId="0" fontId="34" fillId="0" borderId="90" xfId="0" applyFont="1" applyBorder="1" applyAlignment="1">
      <alignment horizontal="right"/>
    </xf>
    <xf numFmtId="0" fontId="7" fillId="0" borderId="73" xfId="0" applyFont="1" applyBorder="1" applyAlignment="1">
      <alignment wrapText="1"/>
    </xf>
    <xf numFmtId="0" fontId="7" fillId="0" borderId="73" xfId="0" applyFont="1" applyBorder="1" applyAlignment="1">
      <alignment horizontal="center" wrapText="1"/>
    </xf>
    <xf numFmtId="14" fontId="7" fillId="0" borderId="73" xfId="0" applyNumberFormat="1" applyFont="1" applyBorder="1" applyAlignment="1">
      <alignment wrapText="1"/>
    </xf>
    <xf numFmtId="14" fontId="0" fillId="0" borderId="73" xfId="0" applyNumberFormat="1" applyBorder="1" applyAlignment="1">
      <alignment horizontal="left"/>
    </xf>
    <xf numFmtId="0" fontId="30" fillId="0" borderId="73" xfId="0" applyFont="1" applyBorder="1"/>
    <xf numFmtId="166" fontId="30" fillId="0" borderId="73" xfId="0" applyNumberFormat="1" applyFont="1" applyBorder="1"/>
    <xf numFmtId="0" fontId="30" fillId="0" borderId="0" xfId="0" applyFont="1"/>
    <xf numFmtId="0" fontId="1" fillId="76" borderId="73" xfId="0" applyFont="1" applyFill="1" applyBorder="1" applyAlignment="1">
      <alignment horizontal="center"/>
    </xf>
    <xf numFmtId="166" fontId="0" fillId="0" borderId="73" xfId="1" applyNumberFormat="1" applyFont="1" applyBorder="1" applyAlignment="1">
      <alignment horizontal="center"/>
    </xf>
    <xf numFmtId="166" fontId="0" fillId="0" borderId="73" xfId="1" applyNumberFormat="1" applyFont="1" applyBorder="1"/>
    <xf numFmtId="0" fontId="1" fillId="59" borderId="73" xfId="0" applyFont="1" applyFill="1" applyBorder="1" applyAlignment="1">
      <alignment horizontal="center" wrapText="1"/>
    </xf>
    <xf numFmtId="1" fontId="1" fillId="59" borderId="73" xfId="0" applyNumberFormat="1" applyFont="1" applyFill="1" applyBorder="1" applyAlignment="1">
      <alignment horizontal="center" wrapText="1"/>
    </xf>
    <xf numFmtId="0" fontId="49" fillId="61" borderId="73" xfId="0" applyFont="1" applyFill="1" applyBorder="1" applyAlignment="1">
      <alignment horizontal="left"/>
    </xf>
    <xf numFmtId="176" fontId="36" fillId="61" borderId="73" xfId="0" applyNumberFormat="1" applyFont="1" applyFill="1" applyBorder="1" applyAlignment="1">
      <alignment horizontal="center"/>
    </xf>
    <xf numFmtId="176" fontId="49" fillId="61" borderId="73" xfId="0" applyNumberFormat="1" applyFont="1" applyFill="1" applyBorder="1"/>
    <xf numFmtId="0" fontId="49" fillId="60" borderId="73" xfId="0" applyFont="1" applyFill="1" applyBorder="1" applyAlignment="1">
      <alignment horizontal="left"/>
    </xf>
    <xf numFmtId="176" fontId="36" fillId="60" borderId="73" xfId="0" applyNumberFormat="1" applyFont="1" applyFill="1" applyBorder="1" applyAlignment="1">
      <alignment horizontal="center"/>
    </xf>
    <xf numFmtId="176" fontId="49" fillId="60" borderId="73" xfId="0" applyNumberFormat="1" applyFont="1" applyFill="1" applyBorder="1"/>
    <xf numFmtId="176" fontId="8" fillId="70" borderId="73" xfId="0" applyNumberFormat="1" applyFont="1" applyFill="1" applyBorder="1" applyAlignment="1">
      <alignment horizontal="center"/>
    </xf>
    <xf numFmtId="0" fontId="50" fillId="70" borderId="73" xfId="0" applyFont="1" applyFill="1" applyBorder="1" applyAlignment="1">
      <alignment horizontal="left"/>
    </xf>
    <xf numFmtId="0" fontId="50" fillId="70" borderId="73" xfId="0" applyFont="1" applyFill="1" applyBorder="1" applyAlignment="1">
      <alignment horizontal="left" wrapText="1"/>
    </xf>
    <xf numFmtId="176" fontId="37" fillId="70" borderId="73" xfId="0" applyNumberFormat="1" applyFont="1" applyFill="1" applyBorder="1" applyAlignment="1">
      <alignment horizontal="center"/>
    </xf>
    <xf numFmtId="176" fontId="50" fillId="64" borderId="73" xfId="0" applyNumberFormat="1" applyFont="1" applyFill="1" applyBorder="1"/>
    <xf numFmtId="0" fontId="1" fillId="75" borderId="73" xfId="0" applyFont="1" applyFill="1" applyBorder="1" applyAlignment="1">
      <alignment horizontal="left" wrapText="1"/>
    </xf>
    <xf numFmtId="176" fontId="8" fillId="75" borderId="73" xfId="0" applyNumberFormat="1" applyFont="1" applyFill="1" applyBorder="1" applyAlignment="1">
      <alignment horizontal="center"/>
    </xf>
    <xf numFmtId="0" fontId="27" fillId="75" borderId="73" xfId="0" applyFont="1" applyFill="1" applyBorder="1" applyAlignment="1">
      <alignment horizontal="left" wrapText="1"/>
    </xf>
    <xf numFmtId="0" fontId="27" fillId="75" borderId="73" xfId="0" applyFont="1" applyFill="1" applyBorder="1" applyAlignment="1">
      <alignment horizontal="left"/>
    </xf>
    <xf numFmtId="176" fontId="9" fillId="75" borderId="73" xfId="0" applyNumberFormat="1" applyFont="1" applyFill="1" applyBorder="1" applyAlignment="1">
      <alignment horizontal="center"/>
    </xf>
    <xf numFmtId="176" fontId="27" fillId="65" borderId="73" xfId="0" applyNumberFormat="1" applyFont="1" applyFill="1" applyBorder="1"/>
    <xf numFmtId="172" fontId="53" fillId="21" borderId="24" xfId="3" applyNumberFormat="1" applyFont="1" applyFill="1" applyBorder="1" applyAlignment="1">
      <alignment horizontal="right" vertical="center"/>
    </xf>
    <xf numFmtId="172" fontId="53" fillId="21" borderId="76" xfId="3" applyNumberFormat="1" applyFont="1" applyFill="1" applyBorder="1" applyAlignment="1">
      <alignment horizontal="right" vertical="center"/>
    </xf>
    <xf numFmtId="172" fontId="54" fillId="21" borderId="24" xfId="3" applyNumberFormat="1" applyFont="1" applyFill="1" applyBorder="1" applyAlignment="1">
      <alignment horizontal="right" vertical="center"/>
    </xf>
    <xf numFmtId="172" fontId="54" fillId="21" borderId="76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73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1" fontId="14" fillId="77" borderId="0" xfId="0" applyNumberFormat="1" applyFont="1" applyFill="1" applyAlignment="1">
      <alignment horizontal="center"/>
    </xf>
    <xf numFmtId="0" fontId="55" fillId="78" borderId="73" xfId="4" applyFont="1" applyFill="1" applyBorder="1"/>
    <xf numFmtId="0" fontId="55" fillId="78" borderId="73" xfId="4" applyFont="1" applyFill="1" applyBorder="1" applyAlignment="1">
      <alignment horizontal="center"/>
    </xf>
    <xf numFmtId="0" fontId="32" fillId="78" borderId="73" xfId="4" applyFont="1" applyFill="1" applyBorder="1" applyAlignment="1">
      <alignment horizontal="center"/>
    </xf>
    <xf numFmtId="0" fontId="32" fillId="78" borderId="73" xfId="4" applyFont="1" applyFill="1" applyBorder="1"/>
    <xf numFmtId="0" fontId="56" fillId="78" borderId="73" xfId="4" applyFont="1" applyFill="1" applyBorder="1" applyAlignment="1">
      <alignment horizontal="left"/>
    </xf>
    <xf numFmtId="0" fontId="56" fillId="78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center"/>
    </xf>
    <xf numFmtId="0" fontId="57" fillId="71" borderId="73" xfId="4" applyFont="1" applyFill="1" applyBorder="1" applyAlignment="1">
      <alignment horizontal="left"/>
    </xf>
    <xf numFmtId="0" fontId="56" fillId="79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lef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73" xfId="4" applyNumberFormat="1" applyFont="1" applyBorder="1" applyAlignment="1">
      <alignment horizontal="right"/>
    </xf>
    <xf numFmtId="2" fontId="62" fillId="0" borderId="73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5" borderId="73" xfId="4" applyFont="1" applyFill="1" applyBorder="1" applyAlignment="1">
      <alignment horizontal="center"/>
    </xf>
    <xf numFmtId="0" fontId="55" fillId="42" borderId="73" xfId="4" applyFont="1" applyFill="1" applyBorder="1"/>
    <xf numFmtId="0" fontId="55" fillId="42" borderId="73" xfId="4" applyFont="1" applyFill="1" applyBorder="1" applyAlignment="1">
      <alignment horizontal="center"/>
    </xf>
    <xf numFmtId="0" fontId="32" fillId="42" borderId="73" xfId="4" applyFont="1" applyFill="1" applyBorder="1" applyAlignment="1">
      <alignment horizontal="center"/>
    </xf>
    <xf numFmtId="0" fontId="32" fillId="42" borderId="73" xfId="4" applyFont="1" applyFill="1" applyBorder="1"/>
    <xf numFmtId="0" fontId="56" fillId="42" borderId="73" xfId="4" applyFont="1" applyFill="1" applyBorder="1"/>
    <xf numFmtId="0" fontId="56" fillId="42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center"/>
    </xf>
    <xf numFmtId="0" fontId="33" fillId="42" borderId="73" xfId="4" applyFont="1" applyFill="1" applyBorder="1"/>
    <xf numFmtId="0" fontId="56" fillId="42" borderId="73" xfId="4" applyFont="1" applyFill="1" applyBorder="1" applyAlignment="1">
      <alignment horizontal="left"/>
    </xf>
    <xf numFmtId="0" fontId="56" fillId="31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80" borderId="73" xfId="4" applyFont="1" applyFill="1" applyBorder="1"/>
    <xf numFmtId="0" fontId="55" fillId="80" borderId="73" xfId="4" applyFont="1" applyFill="1" applyBorder="1" applyAlignment="1">
      <alignment horizontal="center"/>
    </xf>
    <xf numFmtId="0" fontId="32" fillId="80" borderId="73" xfId="4" applyFont="1" applyFill="1" applyBorder="1" applyAlignment="1">
      <alignment horizontal="center"/>
    </xf>
    <xf numFmtId="0" fontId="63" fillId="80" borderId="73" xfId="4" applyFont="1" applyFill="1" applyBorder="1"/>
    <xf numFmtId="0" fontId="32" fillId="80" borderId="73" xfId="4" applyFont="1" applyFill="1" applyBorder="1"/>
    <xf numFmtId="0" fontId="56" fillId="80" borderId="73" xfId="4" applyFont="1" applyFill="1" applyBorder="1"/>
    <xf numFmtId="0" fontId="56" fillId="80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center"/>
    </xf>
    <xf numFmtId="0" fontId="33" fillId="80" borderId="73" xfId="4" applyFont="1" applyFill="1" applyBorder="1"/>
    <xf numFmtId="0" fontId="56" fillId="80" borderId="73" xfId="4" applyFont="1" applyFill="1" applyBorder="1" applyAlignment="1">
      <alignment horizontal="left"/>
    </xf>
    <xf numFmtId="0" fontId="56" fillId="81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left"/>
    </xf>
    <xf numFmtId="0" fontId="56" fillId="60" borderId="73" xfId="4" applyFont="1" applyFill="1" applyBorder="1"/>
    <xf numFmtId="0" fontId="56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/>
    <xf numFmtId="0" fontId="56" fillId="60" borderId="73" xfId="4" applyFont="1" applyFill="1" applyBorder="1" applyAlignment="1">
      <alignment horizontal="left"/>
    </xf>
    <xf numFmtId="0" fontId="56" fillId="82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76" xfId="4" applyFont="1" applyBorder="1"/>
    <xf numFmtId="177" fontId="59" fillId="0" borderId="76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9" fontId="31" fillId="0" borderId="0" xfId="4" applyNumberFormat="1" applyFont="1"/>
    <xf numFmtId="0" fontId="65" fillId="0" borderId="0" xfId="4" applyFont="1"/>
    <xf numFmtId="177" fontId="58" fillId="0" borderId="0" xfId="4" applyNumberFormat="1" applyFont="1" applyAlignment="1">
      <alignment horizontal="center"/>
    </xf>
    <xf numFmtId="49" fontId="61" fillId="0" borderId="0" xfId="4" applyNumberFormat="1" applyFont="1" applyFill="1" applyAlignment="1">
      <alignment horizontal="center"/>
    </xf>
    <xf numFmtId="0" fontId="8" fillId="0" borderId="73" xfId="0" applyFont="1" applyBorder="1" applyAlignment="1">
      <alignment horizontal="left"/>
    </xf>
    <xf numFmtId="176" fontId="66" fillId="64" borderId="73" xfId="0" applyNumberFormat="1" applyFont="1" applyFill="1" applyBorder="1"/>
    <xf numFmtId="176" fontId="66" fillId="64" borderId="73" xfId="0" applyNumberFormat="1" applyFont="1" applyFill="1" applyBorder="1" applyAlignment="1">
      <alignment horizontal="center"/>
    </xf>
    <xf numFmtId="176" fontId="67" fillId="64" borderId="73" xfId="0" applyNumberFormat="1" applyFont="1" applyFill="1" applyBorder="1"/>
    <xf numFmtId="176" fontId="66" fillId="65" borderId="73" xfId="0" applyNumberFormat="1" applyFont="1" applyFill="1" applyBorder="1"/>
    <xf numFmtId="0" fontId="0" fillId="0" borderId="0" xfId="0" applyAlignment="1">
      <alignment horizontal="center"/>
    </xf>
    <xf numFmtId="176" fontId="0" fillId="64" borderId="73" xfId="0" applyNumberFormat="1" applyFont="1" applyFill="1" applyBorder="1"/>
    <xf numFmtId="176" fontId="0" fillId="64" borderId="73" xfId="0" applyNumberFormat="1" applyFont="1" applyFill="1" applyBorder="1" applyAlignment="1">
      <alignment horizontal="center"/>
    </xf>
    <xf numFmtId="176" fontId="0" fillId="65" borderId="73" xfId="0" applyNumberFormat="1" applyFont="1" applyFill="1" applyBorder="1"/>
    <xf numFmtId="166" fontId="30" fillId="0" borderId="0" xfId="0" applyNumberFormat="1" applyFont="1"/>
    <xf numFmtId="166" fontId="1" fillId="0" borderId="73" xfId="0" applyNumberFormat="1" applyFont="1" applyBorder="1" applyAlignment="1">
      <alignment horizontal="center"/>
    </xf>
    <xf numFmtId="172" fontId="23" fillId="21" borderId="73" xfId="3" applyNumberFormat="1" applyFont="1" applyFill="1" applyBorder="1" applyAlignment="1">
      <alignment horizontal="center" vertical="center"/>
    </xf>
    <xf numFmtId="0" fontId="0" fillId="73" borderId="7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8" fillId="0" borderId="0" xfId="0" quotePrefix="1" applyFont="1" applyAlignment="1">
      <alignment horizontal="center"/>
    </xf>
    <xf numFmtId="169" fontId="45" fillId="21" borderId="76" xfId="3" applyNumberFormat="1" applyFont="1" applyFill="1" applyBorder="1" applyAlignment="1">
      <alignment horizontal="right" vertical="center"/>
    </xf>
    <xf numFmtId="0" fontId="1" fillId="55" borderId="73" xfId="0" applyFont="1" applyFill="1" applyBorder="1" applyAlignment="1">
      <alignment horizontal="center"/>
    </xf>
    <xf numFmtId="0" fontId="31" fillId="75" borderId="73" xfId="4" applyFont="1" applyFill="1" applyBorder="1" applyAlignment="1">
      <alignment horizontal="right"/>
    </xf>
    <xf numFmtId="0" fontId="34" fillId="0" borderId="92" xfId="0" applyFont="1" applyFill="1" applyBorder="1" applyAlignment="1">
      <alignment horizontal="right"/>
    </xf>
    <xf numFmtId="0" fontId="0" fillId="83" borderId="73" xfId="0" applyFill="1" applyBorder="1" applyAlignment="1">
      <alignment horizontal="center"/>
    </xf>
    <xf numFmtId="0" fontId="34" fillId="0" borderId="73" xfId="0" applyFont="1" applyFill="1" applyBorder="1" applyAlignment="1">
      <alignment horizontal="right"/>
    </xf>
    <xf numFmtId="0" fontId="0" fillId="0" borderId="73" xfId="0" applyFill="1" applyBorder="1" applyAlignment="1">
      <alignment horizontal="right"/>
    </xf>
    <xf numFmtId="166" fontId="0" fillId="0" borderId="0" xfId="1" applyNumberFormat="1" applyFont="1"/>
    <xf numFmtId="0" fontId="8" fillId="0" borderId="73" xfId="0" applyFont="1" applyBorder="1" applyAlignment="1">
      <alignment horizontal="left"/>
    </xf>
    <xf numFmtId="0" fontId="1" fillId="62" borderId="7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62" borderId="7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8" fillId="58" borderId="71" xfId="0" applyFont="1" applyFill="1" applyBorder="1" applyAlignment="1">
      <alignment horizontal="center"/>
    </xf>
    <xf numFmtId="0" fontId="1" fillId="70" borderId="73" xfId="0" applyFont="1" applyFill="1" applyBorder="1" applyAlignment="1">
      <alignment horizontal="left" vertical="top" wrapText="1"/>
    </xf>
    <xf numFmtId="0" fontId="1" fillId="75" borderId="73" xfId="0" applyFont="1" applyFill="1" applyBorder="1" applyAlignment="1">
      <alignment horizontal="left" vertical="top" wrapText="1"/>
    </xf>
    <xf numFmtId="177" fontId="30" fillId="58" borderId="71" xfId="0" applyNumberFormat="1" applyFont="1" applyFill="1" applyBorder="1" applyAlignment="1">
      <alignment horizontal="center"/>
    </xf>
    <xf numFmtId="0" fontId="30" fillId="58" borderId="71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66" borderId="74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7" borderId="75" xfId="0" applyFill="1" applyBorder="1" applyAlignment="1">
      <alignment horizontal="center"/>
    </xf>
    <xf numFmtId="0" fontId="0" fillId="68" borderId="76" xfId="0" applyFill="1" applyBorder="1" applyAlignment="1">
      <alignment horizontal="center"/>
    </xf>
    <xf numFmtId="0" fontId="41" fillId="73" borderId="28" xfId="4" applyFill="1" applyBorder="1" applyAlignment="1">
      <alignment horizontal="right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4"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/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7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102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0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9">
      <pivotArea type="all" dataOnly="0" outline="0" fieldPosition="0"/>
    </format>
    <format dxfId="98">
      <pivotArea field="2" type="button" dataOnly="0" labelOnly="1" outline="0" axis="axisRow" fieldPosition="0"/>
    </format>
    <format dxfId="97">
      <pivotArea dataOnly="0" labelOnly="1" grandRow="1" outline="0" fieldPosition="0"/>
    </format>
    <format dxfId="96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94">
      <pivotArea field="2" type="button" dataOnly="0" labelOnly="1" outline="0" axis="axisRow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8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3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F6" sqref="F6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536</v>
      </c>
      <c r="B1" s="3" t="s">
        <v>219</v>
      </c>
      <c r="C1" s="3" t="s">
        <v>100</v>
      </c>
      <c r="D1" s="3" t="s">
        <v>187</v>
      </c>
      <c r="E1" s="3" t="s">
        <v>537</v>
      </c>
      <c r="F1" s="3" t="s">
        <v>538</v>
      </c>
      <c r="G1" s="3" t="s">
        <v>539</v>
      </c>
      <c r="H1" s="3" t="s">
        <v>543</v>
      </c>
      <c r="I1" s="3" t="s">
        <v>89</v>
      </c>
      <c r="J1" s="3" t="s">
        <v>541</v>
      </c>
      <c r="K1" s="3" t="s">
        <v>540</v>
      </c>
    </row>
    <row r="2" spans="1:11" x14ac:dyDescent="0.25">
      <c r="A2" t="s">
        <v>556</v>
      </c>
      <c r="B2" t="s">
        <v>555</v>
      </c>
      <c r="C2" s="448">
        <v>3109990</v>
      </c>
      <c r="D2" s="448">
        <v>485244</v>
      </c>
      <c r="E2" s="448">
        <v>2884270</v>
      </c>
      <c r="F2">
        <v>417264</v>
      </c>
      <c r="G2" t="s">
        <v>561</v>
      </c>
      <c r="H2" t="s">
        <v>557</v>
      </c>
      <c r="I2" t="s">
        <v>558</v>
      </c>
      <c r="J2" t="s">
        <v>559</v>
      </c>
      <c r="K2" t="s">
        <v>560</v>
      </c>
    </row>
    <row r="3" spans="1:11" x14ac:dyDescent="0.25">
      <c r="A3" s="450" t="s">
        <v>542</v>
      </c>
      <c r="B3" t="s">
        <v>548</v>
      </c>
      <c r="C3" s="448">
        <v>2218380</v>
      </c>
      <c r="D3" s="448">
        <v>439122</v>
      </c>
      <c r="E3" s="448">
        <v>2130650</v>
      </c>
      <c r="F3">
        <v>403908</v>
      </c>
      <c r="G3" t="s">
        <v>546</v>
      </c>
      <c r="H3" t="s">
        <v>544</v>
      </c>
      <c r="I3" t="s">
        <v>545</v>
      </c>
      <c r="J3" t="s">
        <v>547</v>
      </c>
      <c r="K3" t="s">
        <v>547</v>
      </c>
    </row>
    <row r="4" spans="1:11" x14ac:dyDescent="0.25">
      <c r="A4" s="449" t="s">
        <v>579</v>
      </c>
      <c r="B4" t="s">
        <v>582</v>
      </c>
      <c r="C4" s="448">
        <v>2225100</v>
      </c>
      <c r="D4" s="448">
        <v>417586</v>
      </c>
      <c r="E4" s="448">
        <v>2154750</v>
      </c>
      <c r="F4">
        <v>403098</v>
      </c>
      <c r="G4" t="s">
        <v>581</v>
      </c>
      <c r="H4" t="s">
        <v>580</v>
      </c>
      <c r="I4" t="s">
        <v>565</v>
      </c>
      <c r="J4" t="s">
        <v>565</v>
      </c>
      <c r="K4" t="s">
        <v>547</v>
      </c>
    </row>
    <row r="5" spans="1:11" x14ac:dyDescent="0.25">
      <c r="A5" s="316" t="s">
        <v>549</v>
      </c>
      <c r="B5" t="s">
        <v>555</v>
      </c>
      <c r="C5" s="448">
        <v>2301580</v>
      </c>
      <c r="D5" s="448">
        <v>379880</v>
      </c>
      <c r="E5" s="448">
        <v>2237810</v>
      </c>
      <c r="F5">
        <v>364254</v>
      </c>
      <c r="G5" t="s">
        <v>554</v>
      </c>
      <c r="H5" t="s">
        <v>550</v>
      </c>
      <c r="I5" t="s">
        <v>551</v>
      </c>
      <c r="J5" t="s">
        <v>552</v>
      </c>
      <c r="K5" t="s">
        <v>553</v>
      </c>
    </row>
    <row r="6" spans="1:11" x14ac:dyDescent="0.25">
      <c r="A6" s="447" t="s">
        <v>562</v>
      </c>
      <c r="B6" t="s">
        <v>566</v>
      </c>
      <c r="C6" s="448">
        <v>1508850</v>
      </c>
      <c r="D6" s="448">
        <v>366854</v>
      </c>
      <c r="E6" s="448">
        <v>1190260</v>
      </c>
      <c r="F6">
        <v>277768</v>
      </c>
      <c r="G6" t="s">
        <v>564</v>
      </c>
      <c r="H6" t="s">
        <v>563</v>
      </c>
      <c r="I6" t="s">
        <v>547</v>
      </c>
      <c r="J6" t="s">
        <v>559</v>
      </c>
      <c r="K6" t="s">
        <v>565</v>
      </c>
    </row>
    <row r="7" spans="1:11" x14ac:dyDescent="0.25">
      <c r="A7" s="447" t="s">
        <v>576</v>
      </c>
      <c r="B7" t="s">
        <v>555</v>
      </c>
      <c r="C7" s="448">
        <v>1565290</v>
      </c>
      <c r="D7" s="448">
        <v>325982</v>
      </c>
      <c r="E7" s="448">
        <v>1444630</v>
      </c>
      <c r="F7">
        <v>267216</v>
      </c>
      <c r="G7" t="s">
        <v>578</v>
      </c>
      <c r="H7" t="s">
        <v>577</v>
      </c>
      <c r="I7" t="s">
        <v>565</v>
      </c>
      <c r="J7" t="s">
        <v>565</v>
      </c>
      <c r="K7" t="s">
        <v>553</v>
      </c>
    </row>
    <row r="8" spans="1:11" x14ac:dyDescent="0.25">
      <c r="A8" s="447" t="s">
        <v>567</v>
      </c>
      <c r="B8" t="s">
        <v>555</v>
      </c>
      <c r="C8" s="448">
        <v>786840</v>
      </c>
      <c r="D8" s="448">
        <v>259780</v>
      </c>
      <c r="E8" s="448">
        <v>745500</v>
      </c>
      <c r="F8">
        <v>248346</v>
      </c>
      <c r="G8" t="s">
        <v>569</v>
      </c>
      <c r="H8" t="s">
        <v>568</v>
      </c>
      <c r="I8" t="s">
        <v>570</v>
      </c>
      <c r="J8" t="s">
        <v>571</v>
      </c>
      <c r="K8" t="s">
        <v>572</v>
      </c>
    </row>
    <row r="9" spans="1:11" x14ac:dyDescent="0.25">
      <c r="A9" s="447" t="s">
        <v>573</v>
      </c>
      <c r="B9" t="s">
        <v>555</v>
      </c>
      <c r="C9" s="448">
        <v>1052180</v>
      </c>
      <c r="D9" s="448">
        <v>251518</v>
      </c>
      <c r="E9" s="448">
        <v>955350</v>
      </c>
      <c r="F9">
        <v>219508</v>
      </c>
      <c r="G9" t="s">
        <v>575</v>
      </c>
      <c r="H9" t="s">
        <v>574</v>
      </c>
      <c r="I9" t="s">
        <v>547</v>
      </c>
      <c r="J9" t="s">
        <v>565</v>
      </c>
      <c r="K9" t="s">
        <v>572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8" sqref="A8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7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51" t="s">
        <v>243</v>
      </c>
      <c r="B1" s="551"/>
      <c r="C1" s="551"/>
      <c r="D1" s="551"/>
      <c r="E1" s="551"/>
      <c r="X1" t="s">
        <v>193</v>
      </c>
      <c r="AA1" t="s">
        <v>244</v>
      </c>
      <c r="AE1" t="s">
        <v>245</v>
      </c>
      <c r="AI1" t="s">
        <v>246</v>
      </c>
      <c r="AM1" t="s">
        <v>247</v>
      </c>
      <c r="AQ1" t="s">
        <v>248</v>
      </c>
      <c r="AX1" t="s">
        <v>249</v>
      </c>
      <c r="BE1" t="s">
        <v>250</v>
      </c>
      <c r="BJ1" t="s">
        <v>251</v>
      </c>
      <c r="BO1" t="s">
        <v>252</v>
      </c>
      <c r="BT1" t="s">
        <v>253</v>
      </c>
      <c r="BY1" t="s">
        <v>254</v>
      </c>
      <c r="CD1" t="s">
        <v>122</v>
      </c>
      <c r="CH1" t="s">
        <v>21</v>
      </c>
    </row>
    <row r="2" spans="1:89" x14ac:dyDescent="0.25">
      <c r="A2" s="142" t="s">
        <v>84</v>
      </c>
      <c r="B2" s="142" t="s">
        <v>186</v>
      </c>
      <c r="C2" s="142" t="s">
        <v>86</v>
      </c>
      <c r="D2" s="143" t="s">
        <v>185</v>
      </c>
      <c r="E2" s="142" t="s">
        <v>255</v>
      </c>
      <c r="F2" s="144" t="s">
        <v>256</v>
      </c>
      <c r="G2" s="144" t="s">
        <v>98</v>
      </c>
      <c r="H2" s="144" t="s">
        <v>99</v>
      </c>
      <c r="I2" s="145" t="s">
        <v>96</v>
      </c>
      <c r="J2" s="146" t="s">
        <v>257</v>
      </c>
      <c r="K2" s="146" t="s">
        <v>14</v>
      </c>
      <c r="L2" s="146" t="s">
        <v>37</v>
      </c>
      <c r="M2" s="146" t="s">
        <v>166</v>
      </c>
      <c r="N2" s="146" t="s">
        <v>30</v>
      </c>
      <c r="O2" s="146" t="s">
        <v>168</v>
      </c>
      <c r="P2" s="146" t="s">
        <v>169</v>
      </c>
      <c r="Q2" s="146" t="s">
        <v>170</v>
      </c>
      <c r="R2" s="147" t="s">
        <v>258</v>
      </c>
      <c r="S2" s="147" t="s">
        <v>113</v>
      </c>
      <c r="T2" s="147" t="s">
        <v>259</v>
      </c>
      <c r="U2" s="147" t="s">
        <v>260</v>
      </c>
      <c r="V2" s="147" t="s">
        <v>115</v>
      </c>
      <c r="W2" s="147" t="s">
        <v>116</v>
      </c>
      <c r="X2" s="148" t="s">
        <v>261</v>
      </c>
      <c r="Y2" s="148" t="s">
        <v>262</v>
      </c>
      <c r="Z2" s="148" t="s">
        <v>261</v>
      </c>
      <c r="AA2" s="149" t="s">
        <v>261</v>
      </c>
      <c r="AB2" s="149" t="s">
        <v>262</v>
      </c>
      <c r="AC2" s="149" t="s">
        <v>261</v>
      </c>
      <c r="AD2" s="149" t="s">
        <v>28</v>
      </c>
      <c r="AE2" s="149" t="s">
        <v>261</v>
      </c>
      <c r="AF2" s="149" t="s">
        <v>262</v>
      </c>
      <c r="AG2" s="149" t="s">
        <v>261</v>
      </c>
      <c r="AH2" s="149" t="s">
        <v>28</v>
      </c>
      <c r="AI2" s="148" t="s">
        <v>261</v>
      </c>
      <c r="AJ2" s="148" t="s">
        <v>262</v>
      </c>
      <c r="AK2" s="148" t="s">
        <v>28</v>
      </c>
      <c r="AL2" s="148" t="s">
        <v>263</v>
      </c>
      <c r="AM2" s="148" t="s">
        <v>261</v>
      </c>
      <c r="AN2" s="148" t="s">
        <v>262</v>
      </c>
      <c r="AO2" s="148" t="s">
        <v>28</v>
      </c>
      <c r="AP2" s="148" t="s">
        <v>263</v>
      </c>
      <c r="AQ2" s="148" t="s">
        <v>261</v>
      </c>
      <c r="AR2" s="148" t="s">
        <v>262</v>
      </c>
      <c r="AS2" s="148" t="s">
        <v>261</v>
      </c>
      <c r="AT2" s="148" t="s">
        <v>28</v>
      </c>
      <c r="AU2" s="148" t="s">
        <v>263</v>
      </c>
      <c r="AV2" s="148" t="s">
        <v>264</v>
      </c>
      <c r="AW2" s="148" t="s">
        <v>263</v>
      </c>
      <c r="AX2" s="148" t="s">
        <v>261</v>
      </c>
      <c r="AY2" s="148" t="s">
        <v>262</v>
      </c>
      <c r="AZ2" s="148" t="s">
        <v>261</v>
      </c>
      <c r="BA2" s="148" t="s">
        <v>28</v>
      </c>
      <c r="BB2" s="148" t="s">
        <v>263</v>
      </c>
      <c r="BC2" s="148" t="s">
        <v>264</v>
      </c>
      <c r="BD2" s="148" t="s">
        <v>263</v>
      </c>
      <c r="BE2" s="149" t="s">
        <v>261</v>
      </c>
      <c r="BF2" s="149" t="s">
        <v>262</v>
      </c>
      <c r="BG2" s="149" t="s">
        <v>28</v>
      </c>
      <c r="BH2" s="149" t="s">
        <v>263</v>
      </c>
      <c r="BI2" s="149" t="s">
        <v>264</v>
      </c>
      <c r="BJ2" s="149" t="s">
        <v>261</v>
      </c>
      <c r="BK2" s="149" t="s">
        <v>262</v>
      </c>
      <c r="BL2" s="149" t="s">
        <v>28</v>
      </c>
      <c r="BM2" s="149" t="s">
        <v>263</v>
      </c>
      <c r="BN2" s="149" t="s">
        <v>264</v>
      </c>
      <c r="BO2" s="148" t="s">
        <v>261</v>
      </c>
      <c r="BP2" s="148" t="s">
        <v>262</v>
      </c>
      <c r="BQ2" s="148" t="s">
        <v>28</v>
      </c>
      <c r="BR2" s="148" t="s">
        <v>263</v>
      </c>
      <c r="BS2" s="148" t="s">
        <v>264</v>
      </c>
      <c r="BT2" s="148" t="s">
        <v>261</v>
      </c>
      <c r="BU2" s="148" t="s">
        <v>262</v>
      </c>
      <c r="BV2" s="148" t="s">
        <v>28</v>
      </c>
      <c r="BW2" s="148" t="s">
        <v>263</v>
      </c>
      <c r="BX2" s="148" t="s">
        <v>264</v>
      </c>
      <c r="BY2" s="148" t="s">
        <v>261</v>
      </c>
      <c r="BZ2" s="148" t="s">
        <v>262</v>
      </c>
      <c r="CA2" s="148" t="s">
        <v>28</v>
      </c>
      <c r="CB2" s="148" t="s">
        <v>263</v>
      </c>
      <c r="CC2" s="148" t="s">
        <v>264</v>
      </c>
      <c r="CD2" s="149" t="s">
        <v>28</v>
      </c>
      <c r="CE2" s="149" t="s">
        <v>263</v>
      </c>
      <c r="CF2" s="149" t="s">
        <v>264</v>
      </c>
      <c r="CG2" s="149" t="s">
        <v>263</v>
      </c>
      <c r="CH2" s="148" t="s">
        <v>263</v>
      </c>
      <c r="CI2" s="148" t="s">
        <v>264</v>
      </c>
      <c r="CJ2" s="148" t="s">
        <v>263</v>
      </c>
      <c r="CK2" s="148" t="s">
        <v>28</v>
      </c>
    </row>
    <row r="3" spans="1:89" x14ac:dyDescent="0.25">
      <c r="A3" t="str">
        <f>PLANTILLA!D5</f>
        <v>I. Shirazi</v>
      </c>
      <c r="B3" s="57">
        <f>PLANTILLA!E5</f>
        <v>20</v>
      </c>
      <c r="C3" s="95">
        <f ca="1">PLANTILLA!F5</f>
        <v>88</v>
      </c>
      <c r="D3" s="57">
        <f>PLANTILLA!G5</f>
        <v>0</v>
      </c>
      <c r="E3" s="201">
        <f>PLANTILLA!O5</f>
        <v>44735</v>
      </c>
      <c r="F3" s="95">
        <f>PLANTILLA!Q5</f>
        <v>6</v>
      </c>
      <c r="G3" s="115">
        <f t="shared" ref="G3:G4" si="0">(F3/7)^0.5</f>
        <v>0.92582009977255142</v>
      </c>
      <c r="H3" s="115">
        <f t="shared" ref="H3:H4" si="1">IF(F3=7,1,((F3+0.99)/7)^0.5)</f>
        <v>0.99928545900129484</v>
      </c>
      <c r="I3" s="150">
        <f ca="1">PLANTILLA!P5</f>
        <v>0.26826417179081041</v>
      </c>
      <c r="J3" s="151">
        <f>PLANTILLA!I5</f>
        <v>0.5</v>
      </c>
      <c r="K3" s="48">
        <f>PLANTILLA!X5</f>
        <v>7</v>
      </c>
      <c r="L3" s="48">
        <f>PLANTILLA!Y5</f>
        <v>5</v>
      </c>
      <c r="M3" s="48">
        <f>PLANTILLA!Z5</f>
        <v>0</v>
      </c>
      <c r="N3" s="48">
        <f>PLANTILLA!AA5</f>
        <v>0</v>
      </c>
      <c r="O3" s="48">
        <f>PLANTILLA!AB5</f>
        <v>0</v>
      </c>
      <c r="P3" s="48">
        <f>PLANTILLA!AC5</f>
        <v>0</v>
      </c>
      <c r="Q3" s="48">
        <f>PLANTILLA!AD5</f>
        <v>12</v>
      </c>
      <c r="R3" s="151">
        <f t="shared" ref="R3:R4" si="2">((2*(O3+1))+(L3+1))/8</f>
        <v>1</v>
      </c>
      <c r="S3" s="151">
        <f t="shared" ref="S3:S4" ca="1" si="3">1.66*(P3+(LOG(J3)*4/3)+I3)+0.55*(Q3+(LOG(J3)*4/3)+I3)-7.6</f>
        <v>-1.2941712342321718</v>
      </c>
      <c r="T3" s="48">
        <f t="shared" ref="T3:T4" si="4">(0.5*P3+0.3*Q3)/10</f>
        <v>0.36</v>
      </c>
      <c r="U3" s="48">
        <f t="shared" ref="U3:U4" si="5">(0.4*L3+0.3*Q3)/10</f>
        <v>0.55999999999999994</v>
      </c>
      <c r="V3" s="151">
        <f t="shared" ref="V3:V4" ca="1" si="6">IF(TODAY()-E3&gt;335,(Q3+1+(LOG(J3)*4/3))*(F3/7)^0.5,(Q3+((TODAY()-E3)^0.5)/(336^0.5)+(LOG(J3)*4/3))*(F3/7)^0.5)</f>
        <v>11.069442363663825</v>
      </c>
      <c r="W3" s="151">
        <f t="shared" ref="W3:W4" ca="1" si="7">IF(F3=7,V3,IF(TODAY()-E3&gt;335,(Q3+1+(LOG(J3)*4/3))*((F3+0.99)/7)^0.5,(Q3+((TODAY()-E3)^0.5)/(336^0.5)+(LOG(J3)*4/3))*((F3+0.99)/7)^0.5))</f>
        <v>11.947820960011237</v>
      </c>
      <c r="X3" s="71">
        <f t="shared" ref="X3:X4" ca="1" si="8">((K3+I3+(LOG(J3)*4/3))*0.597)+((L3+I3+(LOG(J3)*4/3))*0.276)</f>
        <v>5.4427957070205029</v>
      </c>
      <c r="Y3" s="71">
        <f t="shared" ref="Y3:Y4" ca="1" si="9">((K3+I3+(LOG(J3)*4/3))*0.866)+((L3+I3+(LOG(J3)*4/3))*0.425)</f>
        <v>8.0151560799123356</v>
      </c>
      <c r="Z3" s="71">
        <f t="shared" ref="Z3:Z4" ca="1" si="10">X3</f>
        <v>5.4427957070205029</v>
      </c>
      <c r="AA3" s="71">
        <f t="shared" ref="AA3:AA4" ca="1" si="11">((L3+I3+(LOG(J3)*4/3))*0.516)</f>
        <v>2.5113156756272388</v>
      </c>
      <c r="AB3" s="71">
        <f t="shared" ref="AB3:AB4" ca="1" si="12">(L3+I3+(LOG(J3)*4/3))*1</f>
        <v>4.866890844238835</v>
      </c>
      <c r="AC3" s="71">
        <f t="shared" ref="AC3:AC4" ca="1" si="13">AA3/2</f>
        <v>1.2556578378136194</v>
      </c>
      <c r="AD3" s="71">
        <f t="shared" ref="AD3:AD4" ca="1" si="14">(M3+I3+(LOG(J3)*4/3))*0.238</f>
        <v>-3.1679979071157147E-2</v>
      </c>
      <c r="AE3" s="71">
        <f t="shared" ref="AE3:AE4" ca="1" si="15">((L3+I3+(LOG(J3)*4/3))*0.378)</f>
        <v>1.8396847391222797</v>
      </c>
      <c r="AF3" s="71">
        <f t="shared" ref="AF3:AF4" ca="1" si="16">(L3+I3+(LOG(J3)*4/3))*0.723</f>
        <v>3.5187620803846777</v>
      </c>
      <c r="AG3" s="71">
        <f t="shared" ref="AG3:AG4" ca="1" si="17">AE3/2</f>
        <v>0.91984236956113985</v>
      </c>
      <c r="AH3" s="71">
        <f t="shared" ref="AH3:AH4" ca="1" si="18">(M3+I3+(LOG(J3)*4/3))*0.385</f>
        <v>-5.1247024968048331E-2</v>
      </c>
      <c r="AI3" s="71">
        <f t="shared" ref="AI3:AI4" ca="1" si="19">((L3+I3+(LOG(J3)*4/3))*0.92)</f>
        <v>4.4775395766997281</v>
      </c>
      <c r="AJ3" s="71">
        <f t="shared" ref="AJ3:AJ4" ca="1" si="20">(L3+I3+(LOG(J3)*4/3))*0.414</f>
        <v>2.0148928095148775</v>
      </c>
      <c r="AK3" s="71">
        <f t="shared" ref="AK3:AK4" ca="1" si="21">((M3+I3+(LOG(J3)*4/3))*0.167)</f>
        <v>-2.2229229012114472E-2</v>
      </c>
      <c r="AL3" s="71">
        <f t="shared" ref="AL3:AL4" ca="1" si="22">(N3+I3+(LOG(J3)*4/3))*0.588</f>
        <v>-7.8268183587564724E-2</v>
      </c>
      <c r="AM3" s="71">
        <f t="shared" ref="AM3:AM4" ca="1" si="23">((L3+I3+(LOG(J3)*4/3))*0.754)</f>
        <v>3.6696356965560817</v>
      </c>
      <c r="AN3" s="71">
        <f t="shared" ref="AN3:AN4" ca="1" si="24">((L3+I3+(LOG(J3)*4/3))*0.708)</f>
        <v>3.4457587177210951</v>
      </c>
      <c r="AO3" s="71">
        <f t="shared" ref="AO3:AO4" ca="1" si="25">((Q3+I3+(LOG(J3)*4/3))*0.167)</f>
        <v>1.9817707709878858</v>
      </c>
      <c r="AP3" s="71">
        <f t="shared" ref="AP3:AP4" ca="1" si="26">((R3+I3+(LOG(J3)*4/3))*0.288)</f>
        <v>0.24966456314078458</v>
      </c>
      <c r="AQ3" s="71">
        <f t="shared" ref="AQ3:AQ4" ca="1" si="27">((L3+I3+(LOG(J3)*4/3))*0.27)</f>
        <v>1.3140605279444855</v>
      </c>
      <c r="AR3" s="71">
        <f t="shared" ref="AR3:AR4" ca="1" si="28">((L3+I3+(LOG(J3)*4/3))*0.594)</f>
        <v>2.8909331614778679</v>
      </c>
      <c r="AS3" s="71">
        <f t="shared" ref="AS3:AS4" ca="1" si="29">AQ3/2</f>
        <v>0.65703026397224273</v>
      </c>
      <c r="AT3" s="71">
        <f t="shared" ref="AT3:AT4" ca="1" si="30">((M3+I3+(LOG(J3)*4/3))*0.944)</f>
        <v>-0.12565504303853928</v>
      </c>
      <c r="AU3" s="71">
        <f t="shared" ref="AU3:AU4" ca="1" si="31">((O3+I3+(LOG(J3)*4/3))*0.13)</f>
        <v>-1.7304190248951384E-2</v>
      </c>
      <c r="AV3" s="71">
        <f t="shared" ref="AV3:AV4" ca="1" si="32">((P3+I3+(LOG(J3)*4/3))*0.173)+((O3+I3+(LOG(J3)*4/3))*0.12)</f>
        <v>-3.9000982638021195E-2</v>
      </c>
      <c r="AW3" s="71">
        <f t="shared" ref="AW3:AW4" ca="1" si="33">AU3/2</f>
        <v>-8.6520951244756922E-3</v>
      </c>
      <c r="AX3" s="71">
        <f t="shared" ref="AX3:AX4" ca="1" si="34">((L3+I3+(LOG(J3)*4/3))*0.189)</f>
        <v>0.91984236956113985</v>
      </c>
      <c r="AY3" s="71">
        <f t="shared" ref="AY3:AY4" ca="1" si="35">((L3+I3+(LOG(J3)*4/3))*0.4)</f>
        <v>1.9467563376955341</v>
      </c>
      <c r="AZ3" s="71">
        <f t="shared" ref="AZ3:AZ4" ca="1" si="36">AX3/2</f>
        <v>0.45992118478056992</v>
      </c>
      <c r="BA3" s="71">
        <f t="shared" ref="BA3:BA4" ca="1" si="37">((M3+I3+(LOG(J3)*4/3))*1)</f>
        <v>-0.1331091557611645</v>
      </c>
      <c r="BB3" s="71">
        <f t="shared" ref="BB3:BB4" ca="1" si="38">((O3+I3+(LOG(J3)*4/3))*0.253)</f>
        <v>-3.3676616407574619E-2</v>
      </c>
      <c r="BC3" s="71">
        <f t="shared" ref="BC3:BC4" ca="1" si="39">((P3+I3+(LOG(J3)*4/3))*0.21)+((O3+I3+(LOG(J3)*4/3))*0.341)</f>
        <v>-7.3343144824401643E-2</v>
      </c>
      <c r="BD3" s="71">
        <f t="shared" ref="BD3:BD4" ca="1" si="40">BB3/2</f>
        <v>-1.683830820378731E-2</v>
      </c>
      <c r="BE3" s="71">
        <f t="shared" ref="BE3:BE4" ca="1" si="41">((L3+I3+(LOG(J3)*4/3))*0.291)</f>
        <v>1.4162652356735008</v>
      </c>
      <c r="BF3" s="71">
        <f t="shared" ref="BF3:BF4" ca="1" si="42">((L3+I3+(LOG(J3)*4/3))*0.348)</f>
        <v>1.6936780137951144</v>
      </c>
      <c r="BG3" s="71">
        <f t="shared" ref="BG3:BG4" ca="1" si="43">((M3+I3+(LOG(J3)*4/3))*0.881)</f>
        <v>-0.11726916622558592</v>
      </c>
      <c r="BH3" s="71">
        <f t="shared" ref="BH3:BH4" ca="1" si="44">((N3+I3+(LOG(J3)*4/3))*0.574)+((O3+I3+(LOG(J3)*4/3))*0.315)</f>
        <v>-0.11833403947167523</v>
      </c>
      <c r="BI3" s="71">
        <f t="shared" ref="BI3:BI4" ca="1" si="45">((O3+I3+(LOG(J3)*4/3))*0.241)</f>
        <v>-3.2079306538440641E-2</v>
      </c>
      <c r="BJ3" s="71">
        <f t="shared" ref="BJ3:BJ4" ca="1" si="46">((L3+I3+(LOG(J3)*4/3))*0.485)</f>
        <v>2.3604420594558349</v>
      </c>
      <c r="BK3" s="71">
        <f t="shared" ref="BK3:BK4" ca="1" si="47">((L3+I3+(LOG(J3)*4/3))*0.264)</f>
        <v>1.2848591828790525</v>
      </c>
      <c r="BL3" s="71">
        <f t="shared" ref="BL3:BL4" ca="1" si="48">((M3+I3+(LOG(J3)*4/3))*0.381)</f>
        <v>-5.0714588345003676E-2</v>
      </c>
      <c r="BM3" s="71">
        <f t="shared" ref="BM3:BM4" ca="1" si="49">((N3+I3+(LOG(J3)*4/3))*0.673)+((O3+I3+(LOG(J3)*4/3))*0.201)</f>
        <v>-0.11633740213525778</v>
      </c>
      <c r="BN3" s="71">
        <f t="shared" ref="BN3:BN4" ca="1" si="50">((O3+I3+(LOG(J3)*4/3))*0.052)</f>
        <v>-6.9216760995805537E-3</v>
      </c>
      <c r="BO3" s="71">
        <f t="shared" ref="BO3:BO4" ca="1" si="51">((L3+I3+(LOG(J3)*4/3))*0.18)</f>
        <v>0.87604035196299024</v>
      </c>
      <c r="BP3" s="71">
        <f t="shared" ref="BP3:BP4" ca="1" si="52">(L3+I3+(LOG(J3)*4/3))*0.068</f>
        <v>0.3309485774082408</v>
      </c>
      <c r="BQ3" s="71">
        <f t="shared" ref="BQ3:BQ4" ca="1" si="53">((M3+I3+(LOG(J3)*4/3))*0.305)</f>
        <v>-4.0598292507155173E-2</v>
      </c>
      <c r="BR3" s="71">
        <f t="shared" ref="BR3:BR4" ca="1" si="54">((N3+I3+(LOG(J3)*4/3))*1)+((O3+I3+(LOG(J3)*4/3))*0.286)</f>
        <v>-0.17117837430885754</v>
      </c>
      <c r="BS3" s="71">
        <f t="shared" ref="BS3:BS4" ca="1" si="55">((O3+I3+(LOG(J3)*4/3))*0.135)</f>
        <v>-1.796973602775721E-2</v>
      </c>
      <c r="BT3" s="71">
        <f t="shared" ref="BT3:BT4" ca="1" si="56">((L3+I3+(LOG(J3)*4/3))*0.284)</f>
        <v>1.382196999763829</v>
      </c>
      <c r="BU3" s="71">
        <f t="shared" ref="BU3:BU4" ca="1" si="57">(L3+I3+(LOG(J3)*4/3))*0.244</f>
        <v>1.1875213659942758</v>
      </c>
      <c r="BV3" s="71">
        <f t="shared" ref="BV3:BV4" ca="1" si="58">((M3+I3+(LOG(J3)*4/3))*0.455)</f>
        <v>-6.0564665871329852E-2</v>
      </c>
      <c r="BW3" s="71">
        <f t="shared" ref="BW3:BW4" ca="1" si="59">((N3+I3+(LOG(J3)*4/3))*0.864)+((O3+I3+(LOG(J3)*4/3))*0.244)</f>
        <v>-0.14748494458337025</v>
      </c>
      <c r="BX3" s="71">
        <f t="shared" ref="BX3:BX4" ca="1" si="60">((O3+I3+(LOG(J3)*4/3))*0.121)</f>
        <v>-1.6106207847100904E-2</v>
      </c>
      <c r="BY3" s="71">
        <f t="shared" ref="BY3:BY4" ca="1" si="61">((L3+I3+(LOG(J3)*4/3))*0.284)</f>
        <v>1.382196999763829</v>
      </c>
      <c r="BZ3" s="71">
        <f t="shared" ref="BZ3:BZ4" ca="1" si="62">((L3+I3+(LOG(J3)*4/3))*0.244)</f>
        <v>1.1875213659942758</v>
      </c>
      <c r="CA3" s="71">
        <f t="shared" ref="CA3:CA4" ca="1" si="63">((M3+I3+(LOG(J3)*4/3))*0.631)</f>
        <v>-8.3991877285294794E-2</v>
      </c>
      <c r="CB3" s="71">
        <f t="shared" ref="CB3:CB4" ca="1" si="64">((N3+I3+(LOG(J3)*4/3))*0.702)+((O3+I3+(LOG(J3)*4/3))*0.193)</f>
        <v>-0.11913269440624222</v>
      </c>
      <c r="CC3" s="71">
        <f t="shared" ref="CC3:CC4" ca="1" si="65">((O3+I3+(LOG(J3)*4/3))*0.148)</f>
        <v>-1.9700155052652345E-2</v>
      </c>
      <c r="CD3" s="71">
        <f t="shared" ref="CD3:CD4" ca="1" si="66">((M3+I3+(LOG(J3)*4/3))*0.406)</f>
        <v>-5.4042317239032793E-2</v>
      </c>
      <c r="CE3" s="71">
        <f t="shared" ref="CE3:CE4" ca="1" si="67">IF(D3="TEC",((N3+I3+(LOG(J3)*4/3))*0.15)+((O3+I3+(LOG(J3)*4/3))*0.324)+((P3+I3+(LOG(J3)*4/3))*0.127),(((N3+I3+(LOG(J3)*4/3))*0.144)+((O3+I3+(LOG(J3)*4/3))*0.25)+((P3+I3+(LOG(J3)*4/3))*0.127)))</f>
        <v>-6.9349870151566698E-2</v>
      </c>
      <c r="CF3" s="71">
        <f t="shared" ref="CF3:CF4" ca="1" si="68">((O3+I3+(LOG(J3)*4/3))*0.543)+((P3+I3+(LOG(J3)*4/3))*0.583)</f>
        <v>-0.14988090938707122</v>
      </c>
      <c r="CG3" s="71">
        <f t="shared" ref="CG3:CG4" ca="1" si="69">CE3</f>
        <v>-6.9349870151566698E-2</v>
      </c>
      <c r="CH3" s="71">
        <f t="shared" ref="CH3:CH4" ca="1" si="70">((P3+1+(LOG(J3)*4/3))*0.26)+((N3+I3+(LOG(J3)*4/3))*0.221)+((O3+I3+(LOG(J3)*4/3))*0.142)</f>
        <v>0.1073243112951838</v>
      </c>
      <c r="CI3" s="71">
        <f t="shared" ref="CI3:CI4" ca="1" si="71">((P3+I3+(LOG(J3)*4/3))*1)+((O3+I3+(LOG(J3)*4/3))*0.369)</f>
        <v>-0.18222643423703419</v>
      </c>
      <c r="CJ3" s="71">
        <f t="shared" ref="CJ3:CJ4" ca="1" si="72">CH3</f>
        <v>0.1073243112951838</v>
      </c>
      <c r="CK3" s="71">
        <f t="shared" ref="CK3:CK4" ca="1" si="73">((M3+I3+(LOG(J3)*4/3))*0.25)</f>
        <v>-3.3277288940291125E-2</v>
      </c>
    </row>
    <row r="4" spans="1:89" x14ac:dyDescent="0.25">
      <c r="A4" t="str">
        <f>PLANTILLA!D4</f>
        <v>L. Guangwei</v>
      </c>
      <c r="B4" s="57">
        <f>PLANTILLA!E4</f>
        <v>29</v>
      </c>
      <c r="C4" s="95">
        <f ca="1">PLANTILLA!F4</f>
        <v>59</v>
      </c>
      <c r="D4" s="57" t="str">
        <f>PLANTILLA!G4</f>
        <v>IMP</v>
      </c>
      <c r="E4" s="201">
        <f>PLANTILLA!O4</f>
        <v>43878</v>
      </c>
      <c r="F4" s="95">
        <f>PLANTILLA!Q4</f>
        <v>5</v>
      </c>
      <c r="G4" s="115">
        <f t="shared" si="0"/>
        <v>0.84515425472851657</v>
      </c>
      <c r="H4" s="115">
        <f t="shared" si="1"/>
        <v>0.92504826128926143</v>
      </c>
      <c r="I4" s="150">
        <f ca="1">PLANTILLA!P4</f>
        <v>1</v>
      </c>
      <c r="J4" s="151">
        <f>PLANTILLA!I4</f>
        <v>9</v>
      </c>
      <c r="K4" s="48">
        <f>PLANTILLA!X4</f>
        <v>15</v>
      </c>
      <c r="L4" s="48">
        <f>PLANTILLA!Y4</f>
        <v>9.4444444444444446</v>
      </c>
      <c r="M4" s="48">
        <f>PLANTILLA!Z4</f>
        <v>3</v>
      </c>
      <c r="N4" s="48">
        <f>PLANTILLA!AA4</f>
        <v>1</v>
      </c>
      <c r="O4" s="48">
        <f>PLANTILLA!AB4</f>
        <v>5</v>
      </c>
      <c r="P4" s="48">
        <f>PLANTILLA!AC4</f>
        <v>5.6</v>
      </c>
      <c r="Q4" s="48">
        <f>PLANTILLA!AD4</f>
        <v>22</v>
      </c>
      <c r="R4" s="151">
        <f t="shared" si="2"/>
        <v>2.8055555555555554</v>
      </c>
      <c r="S4" s="151">
        <f t="shared" ca="1" si="3"/>
        <v>18.817834594481212</v>
      </c>
      <c r="T4" s="48">
        <f t="shared" si="4"/>
        <v>0.93999999999999984</v>
      </c>
      <c r="U4" s="48">
        <f t="shared" si="5"/>
        <v>1.0377777777777779</v>
      </c>
      <c r="V4" s="151">
        <f t="shared" ca="1" si="6"/>
        <v>20.513857347949831</v>
      </c>
      <c r="W4" s="151">
        <f t="shared" ca="1" si="7"/>
        <v>22.453070508593214</v>
      </c>
      <c r="X4" s="71">
        <f t="shared" ca="1" si="8"/>
        <v>13.545404947654042</v>
      </c>
      <c r="Y4" s="71">
        <f t="shared" ca="1" si="9"/>
        <v>19.937458328470449</v>
      </c>
      <c r="Z4" s="71">
        <f t="shared" ca="1" si="10"/>
        <v>13.545404947654042</v>
      </c>
      <c r="AA4" s="71">
        <f t="shared" ca="1" si="11"/>
        <v>6.0458521798275893</v>
      </c>
      <c r="AB4" s="71">
        <f t="shared" ca="1" si="12"/>
        <v>11.716767790363544</v>
      </c>
      <c r="AC4" s="71">
        <f t="shared" ca="1" si="13"/>
        <v>3.0229260899137946</v>
      </c>
      <c r="AD4" s="71">
        <f t="shared" ca="1" si="14"/>
        <v>1.2548129563287456</v>
      </c>
      <c r="AE4" s="71">
        <f t="shared" ca="1" si="15"/>
        <v>4.4289382247574194</v>
      </c>
      <c r="AF4" s="71">
        <f t="shared" ca="1" si="16"/>
        <v>8.4712231124328419</v>
      </c>
      <c r="AG4" s="71">
        <f t="shared" ca="1" si="17"/>
        <v>2.2144691123787097</v>
      </c>
      <c r="AH4" s="71">
        <f t="shared" ca="1" si="18"/>
        <v>2.0298444881788535</v>
      </c>
      <c r="AI4" s="71">
        <f t="shared" ca="1" si="19"/>
        <v>10.779426367134461</v>
      </c>
      <c r="AJ4" s="71">
        <f t="shared" ca="1" si="20"/>
        <v>4.850741865210507</v>
      </c>
      <c r="AK4" s="71">
        <f t="shared" ca="1" si="21"/>
        <v>0.88047799876848964</v>
      </c>
      <c r="AL4" s="71">
        <f t="shared" ca="1" si="22"/>
        <v>1.9241261274004304</v>
      </c>
      <c r="AM4" s="71">
        <f t="shared" ca="1" si="23"/>
        <v>8.8344429139341116</v>
      </c>
      <c r="AN4" s="71">
        <f t="shared" ca="1" si="24"/>
        <v>8.2954715955773892</v>
      </c>
      <c r="AO4" s="71">
        <f t="shared" ca="1" si="25"/>
        <v>4.0534779987684901</v>
      </c>
      <c r="AP4" s="71">
        <f t="shared" ca="1" si="26"/>
        <v>1.4624291236247005</v>
      </c>
      <c r="AQ4" s="71">
        <f t="shared" ca="1" si="27"/>
        <v>3.163527303398157</v>
      </c>
      <c r="AR4" s="71">
        <f t="shared" ca="1" si="28"/>
        <v>6.959760067475945</v>
      </c>
      <c r="AS4" s="71">
        <f t="shared" ca="1" si="29"/>
        <v>1.5817636516990785</v>
      </c>
      <c r="AT4" s="71">
        <f t="shared" ca="1" si="30"/>
        <v>4.9770732385476295</v>
      </c>
      <c r="AU4" s="71">
        <f t="shared" ca="1" si="31"/>
        <v>0.94540203496948294</v>
      </c>
      <c r="AV4" s="71">
        <f t="shared" ca="1" si="32"/>
        <v>2.2345907403542959</v>
      </c>
      <c r="AW4" s="71">
        <f t="shared" ca="1" si="33"/>
        <v>0.47270101748474147</v>
      </c>
      <c r="AX4" s="71">
        <f t="shared" ca="1" si="34"/>
        <v>2.2144691123787097</v>
      </c>
      <c r="AY4" s="71">
        <f t="shared" ca="1" si="35"/>
        <v>4.6867071161454179</v>
      </c>
      <c r="AZ4" s="71">
        <f t="shared" ca="1" si="36"/>
        <v>1.1072345561893548</v>
      </c>
      <c r="BA4" s="71">
        <f t="shared" ca="1" si="37"/>
        <v>5.2723233459190997</v>
      </c>
      <c r="BB4" s="71">
        <f t="shared" ca="1" si="38"/>
        <v>1.8398978065175322</v>
      </c>
      <c r="BC4" s="71">
        <f t="shared" ca="1" si="39"/>
        <v>4.1330501636014239</v>
      </c>
      <c r="BD4" s="71">
        <f t="shared" ca="1" si="40"/>
        <v>0.9199489032587661</v>
      </c>
      <c r="BE4" s="71">
        <f t="shared" ca="1" si="41"/>
        <v>3.4095794269957911</v>
      </c>
      <c r="BF4" s="71">
        <f t="shared" ca="1" si="42"/>
        <v>4.0774351910465132</v>
      </c>
      <c r="BG4" s="71">
        <f t="shared" ca="1" si="43"/>
        <v>4.644916867754727</v>
      </c>
      <c r="BH4" s="71">
        <f t="shared" ca="1" si="44"/>
        <v>4.1690954545220791</v>
      </c>
      <c r="BI4" s="71">
        <f t="shared" ca="1" si="45"/>
        <v>1.7526299263665031</v>
      </c>
      <c r="BJ4" s="71">
        <f t="shared" ca="1" si="46"/>
        <v>5.6826323783263186</v>
      </c>
      <c r="BK4" s="71">
        <f t="shared" ca="1" si="47"/>
        <v>3.093226696655976</v>
      </c>
      <c r="BL4" s="71">
        <f t="shared" ca="1" si="48"/>
        <v>2.0087551947951772</v>
      </c>
      <c r="BM4" s="71">
        <f t="shared" ca="1" si="49"/>
        <v>3.6640106043332938</v>
      </c>
      <c r="BN4" s="71">
        <f t="shared" ca="1" si="50"/>
        <v>0.37816081398779317</v>
      </c>
      <c r="BO4" s="71">
        <f t="shared" ca="1" si="51"/>
        <v>2.109018202265438</v>
      </c>
      <c r="BP4" s="71">
        <f t="shared" ca="1" si="52"/>
        <v>0.79674020974472104</v>
      </c>
      <c r="BQ4" s="71">
        <f t="shared" ca="1" si="53"/>
        <v>1.6080586205053253</v>
      </c>
      <c r="BR4" s="71">
        <f t="shared" ca="1" si="54"/>
        <v>5.3522078228519625</v>
      </c>
      <c r="BS4" s="71">
        <f t="shared" ca="1" si="55"/>
        <v>0.98176365169907853</v>
      </c>
      <c r="BT4" s="71">
        <f t="shared" ca="1" si="56"/>
        <v>3.3275620524632461</v>
      </c>
      <c r="BU4" s="71">
        <f t="shared" ca="1" si="57"/>
        <v>2.8588913408487047</v>
      </c>
      <c r="BV4" s="71">
        <f t="shared" ca="1" si="58"/>
        <v>2.3989071223931906</v>
      </c>
      <c r="BW4" s="71">
        <f t="shared" ca="1" si="59"/>
        <v>4.6017342672783625</v>
      </c>
      <c r="BX4" s="71">
        <f t="shared" ca="1" si="60"/>
        <v>0.87995112485621108</v>
      </c>
      <c r="BY4" s="71">
        <f t="shared" ca="1" si="61"/>
        <v>3.3275620524632461</v>
      </c>
      <c r="BZ4" s="71">
        <f t="shared" ca="1" si="62"/>
        <v>2.8588913408487047</v>
      </c>
      <c r="CA4" s="71">
        <f t="shared" ca="1" si="63"/>
        <v>3.3268360312749521</v>
      </c>
      <c r="CB4" s="71">
        <f t="shared" ca="1" si="64"/>
        <v>3.7007293945975941</v>
      </c>
      <c r="CC4" s="71">
        <f t="shared" ca="1" si="65"/>
        <v>1.0763038551960267</v>
      </c>
      <c r="CD4" s="71">
        <f t="shared" ca="1" si="66"/>
        <v>2.1405632784431545</v>
      </c>
      <c r="CE4" s="71">
        <f t="shared" ca="1" si="67"/>
        <v>3.2890804632238506</v>
      </c>
      <c r="CF4" s="71">
        <f t="shared" ca="1" si="68"/>
        <v>8.5384360875049055</v>
      </c>
      <c r="CG4" s="71">
        <f t="shared" ca="1" si="69"/>
        <v>3.2890804632238506</v>
      </c>
      <c r="CH4" s="71">
        <f t="shared" ca="1" si="70"/>
        <v>3.8026574445075991</v>
      </c>
      <c r="CI4" s="71">
        <f t="shared" ca="1" si="71"/>
        <v>10.555810660563246</v>
      </c>
      <c r="CJ4" s="71">
        <f t="shared" ca="1" si="72"/>
        <v>3.8026574445075991</v>
      </c>
      <c r="CK4" s="71">
        <f t="shared" ca="1" si="73"/>
        <v>1.3180808364797749</v>
      </c>
    </row>
    <row r="5" spans="1:89" x14ac:dyDescent="0.25">
      <c r="A5" t="str">
        <f>PLANTILLA!D6</f>
        <v>V. Gardner</v>
      </c>
      <c r="B5" s="446">
        <f>PLANTILLA!E6</f>
        <v>28</v>
      </c>
      <c r="C5" s="95">
        <f ca="1">PLANTILLA!F6</f>
        <v>100</v>
      </c>
      <c r="D5" s="446">
        <f>PLANTILLA!G6</f>
        <v>0</v>
      </c>
      <c r="E5" s="201">
        <f>PLANTILLA!O6</f>
        <v>43756</v>
      </c>
      <c r="F5" s="95">
        <f>PLANTILLA!Q6</f>
        <v>7</v>
      </c>
      <c r="G5" s="115">
        <f t="shared" ref="G5:G19" si="74">(F5/7)^0.5</f>
        <v>1</v>
      </c>
      <c r="H5" s="115">
        <f t="shared" ref="H5:H19" si="75">IF(F5=7,1,((F5+0.99)/7)^0.5)</f>
        <v>1</v>
      </c>
      <c r="I5" s="150">
        <f ca="1">PLANTILLA!P6</f>
        <v>1</v>
      </c>
      <c r="J5" s="151">
        <f>PLANTILLA!I6</f>
        <v>8</v>
      </c>
      <c r="K5" s="48">
        <f>PLANTILLA!X6</f>
        <v>0</v>
      </c>
      <c r="L5" s="48">
        <f>PLANTILLA!Y6</f>
        <v>15</v>
      </c>
      <c r="M5" s="48">
        <f>PLANTILLA!Z6</f>
        <v>8.375</v>
      </c>
      <c r="N5" s="48">
        <f>PLANTILLA!AA6</f>
        <v>3</v>
      </c>
      <c r="O5" s="48">
        <f>PLANTILLA!AB6</f>
        <v>5</v>
      </c>
      <c r="P5" s="48">
        <f>PLANTILLA!AC6</f>
        <v>7.333333333333333</v>
      </c>
      <c r="Q5" s="48">
        <f>PLANTILLA!AD6</f>
        <v>19</v>
      </c>
      <c r="R5" s="151">
        <f t="shared" ref="R5:R19" si="76">((2*(O5+1))+(L5+1))/8</f>
        <v>3.5</v>
      </c>
      <c r="S5" s="151">
        <f t="shared" ref="S5:S19" ca="1" si="77">1.66*(P5+(LOG(J5)*4/3)+I5)+0.55*(Q5+(LOG(J5)*4/3)+I5)-7.6</f>
        <v>19.894438495002923</v>
      </c>
      <c r="T5" s="48">
        <f t="shared" ref="T5:T19" si="78">(0.5*P5+0.3*Q5)/10</f>
        <v>0.93666666666666676</v>
      </c>
      <c r="U5" s="48">
        <f t="shared" ref="U5:U19" si="79">(0.4*L5+0.3*Q5)/10</f>
        <v>1.17</v>
      </c>
      <c r="V5" s="151">
        <f t="shared" ref="V5:V19" ca="1" si="80">IF(TODAY()-E5&gt;335,(Q5+1+(LOG(J5)*4/3))*(F5/7)^0.5,(Q5+((TODAY()-E5)^0.5)/(336^0.5)+(LOG(J5)*4/3))*(F5/7)^0.5)</f>
        <v>21.204119982655925</v>
      </c>
      <c r="W5" s="151">
        <f t="shared" ref="W5:W19" ca="1" si="81">IF(F5=7,V5,IF(TODAY()-E5&gt;335,(Q5+1+(LOG(J5)*4/3))*((F5+0.99)/7)^0.5,(Q5+((TODAY()-E5)^0.5)/(336^0.5)+(LOG(J5)*4/3))*((F5+0.99)/7)^0.5))</f>
        <v>21.204119982655925</v>
      </c>
      <c r="X5" s="71">
        <f t="shared" ref="X5:X19" ca="1" si="82">((K5+I5+(LOG(J5)*4/3))*0.597)+((L5+I5+(LOG(J5)*4/3))*0.276)</f>
        <v>6.0641967448586227</v>
      </c>
      <c r="Y5" s="71">
        <f t="shared" ref="Y5:Y19" ca="1" si="83">((K5+I5+(LOG(J5)*4/3))*0.866)+((L5+I5+(LOG(J5)*4/3))*0.425)</f>
        <v>9.2205188976087982</v>
      </c>
      <c r="Z5" s="71">
        <f t="shared" ref="Z5:Z19" ca="1" si="84">X5</f>
        <v>6.0641967448586227</v>
      </c>
      <c r="AA5" s="71">
        <f t="shared" ref="AA5:AA19" ca="1" si="85">((L5+I5+(LOG(J5)*4/3))*0.516)</f>
        <v>8.8773259110504572</v>
      </c>
      <c r="AB5" s="71">
        <f t="shared" ref="AB5:AB19" ca="1" si="86">(L5+I5+(LOG(J5)*4/3))*1</f>
        <v>17.204119982655925</v>
      </c>
      <c r="AC5" s="71">
        <f t="shared" ref="AC5:AC19" ca="1" si="87">AA5/2</f>
        <v>4.4386629555252286</v>
      </c>
      <c r="AD5" s="71">
        <f t="shared" ref="AD5:AD19" ca="1" si="88">(M5+I5+(LOG(J5)*4/3))*0.238</f>
        <v>2.5178305558721101</v>
      </c>
      <c r="AE5" s="71">
        <f t="shared" ref="AE5:AE19" ca="1" si="89">((L5+I5+(LOG(J5)*4/3))*0.378)</f>
        <v>6.5031573534439397</v>
      </c>
      <c r="AF5" s="71">
        <f t="shared" ref="AF5:AF19" ca="1" si="90">(L5+I5+(LOG(J5)*4/3))*0.723</f>
        <v>12.438578747460234</v>
      </c>
      <c r="AG5" s="71">
        <f t="shared" ref="AG5:AG19" ca="1" si="91">AE5/2</f>
        <v>3.2515786767219699</v>
      </c>
      <c r="AH5" s="71">
        <f t="shared" ref="AH5:AH19" ca="1" si="92">(M5+I5+(LOG(J5)*4/3))*0.385</f>
        <v>4.0729611933225316</v>
      </c>
      <c r="AI5" s="71">
        <f t="shared" ref="AI5:AI19" ca="1" si="93">((L5+I5+(LOG(J5)*4/3))*0.92)</f>
        <v>15.827790384043452</v>
      </c>
      <c r="AJ5" s="71">
        <f t="shared" ref="AJ5:AJ19" ca="1" si="94">(L5+I5+(LOG(J5)*4/3))*0.414</f>
        <v>7.1225056728195524</v>
      </c>
      <c r="AK5" s="71">
        <f t="shared" ref="AK5:AK19" ca="1" si="95">((M5+I5+(LOG(J5)*4/3))*0.167)</f>
        <v>1.7667130371035396</v>
      </c>
      <c r="AL5" s="71">
        <f t="shared" ref="AL5:AL19" ca="1" si="96">(N5+I5+(LOG(J5)*4/3))*0.588</f>
        <v>3.0600225498016838</v>
      </c>
      <c r="AM5" s="71">
        <f t="shared" ref="AM5:AM19" ca="1" si="97">((L5+I5+(LOG(J5)*4/3))*0.754)</f>
        <v>12.971906466922567</v>
      </c>
      <c r="AN5" s="71">
        <f t="shared" ref="AN5:AN19" ca="1" si="98">((L5+I5+(LOG(J5)*4/3))*0.708)</f>
        <v>12.180516947720394</v>
      </c>
      <c r="AO5" s="71">
        <f t="shared" ref="AO5:AO19" ca="1" si="99">((Q5+I5+(LOG(J5)*4/3))*0.167)</f>
        <v>3.5410880371035396</v>
      </c>
      <c r="AP5" s="71">
        <f t="shared" ref="AP5:AP19" ca="1" si="100">((R5+I5+(LOG(J5)*4/3))*0.288)</f>
        <v>1.6427865550049063</v>
      </c>
      <c r="AQ5" s="71">
        <f t="shared" ref="AQ5:AQ19" ca="1" si="101">((L5+I5+(LOG(J5)*4/3))*0.27)</f>
        <v>4.6451123953171001</v>
      </c>
      <c r="AR5" s="71">
        <f t="shared" ref="AR5:AR19" ca="1" si="102">((L5+I5+(LOG(J5)*4/3))*0.594)</f>
        <v>10.219247269697618</v>
      </c>
      <c r="AS5" s="71">
        <f t="shared" ref="AS5:AS19" ca="1" si="103">AQ5/2</f>
        <v>2.32255619765855</v>
      </c>
      <c r="AT5" s="71">
        <f t="shared" ref="AT5:AT19" ca="1" si="104">((M5+I5+(LOG(J5)*4/3))*0.944)</f>
        <v>9.9866892636271931</v>
      </c>
      <c r="AU5" s="71">
        <f t="shared" ref="AU5:AU19" ca="1" si="105">((O5+I5+(LOG(J5)*4/3))*0.13)</f>
        <v>0.93653559774527029</v>
      </c>
      <c r="AV5" s="71">
        <f t="shared" ref="AV5:AV19" ca="1" si="106">((P5+I5+(LOG(J5)*4/3))*0.173)+((O5+I5+(LOG(J5)*4/3))*0.12)</f>
        <v>2.5144738215848523</v>
      </c>
      <c r="AW5" s="71">
        <f t="shared" ref="AW5:AW19" ca="1" si="107">AU5/2</f>
        <v>0.46826779887263514</v>
      </c>
      <c r="AX5" s="71">
        <f t="shared" ref="AX5:AX19" ca="1" si="108">((L5+I5+(LOG(J5)*4/3))*0.189)</f>
        <v>3.2515786767219699</v>
      </c>
      <c r="AY5" s="71">
        <f t="shared" ref="AY5:AY19" ca="1" si="109">((L5+I5+(LOG(J5)*4/3))*0.4)</f>
        <v>6.8816479930623702</v>
      </c>
      <c r="AZ5" s="71">
        <f t="shared" ref="AZ5:AZ19" ca="1" si="110">AX5/2</f>
        <v>1.6257893383609849</v>
      </c>
      <c r="BA5" s="71">
        <f t="shared" ref="BA5:BA19" ca="1" si="111">((M5+I5+(LOG(J5)*4/3))*1)</f>
        <v>10.579119982655925</v>
      </c>
      <c r="BB5" s="71">
        <f t="shared" ref="BB5:BB19" ca="1" si="112">((O5+I5+(LOG(J5)*4/3))*0.253)</f>
        <v>1.8226423556119491</v>
      </c>
      <c r="BC5" s="71">
        <f t="shared" ref="BC5:BC19" ca="1" si="113">((P5+I5+(LOG(J5)*4/3))*0.21)+((O5+I5+(LOG(J5)*4/3))*0.341)</f>
        <v>4.459470110443414</v>
      </c>
      <c r="BD5" s="71">
        <f t="shared" ref="BD5:BD19" ca="1" si="114">BB5/2</f>
        <v>0.91132117780597455</v>
      </c>
      <c r="BE5" s="71">
        <f t="shared" ref="BE5:BE19" ca="1" si="115">((L5+I5+(LOG(J5)*4/3))*0.291)</f>
        <v>5.0063989149528743</v>
      </c>
      <c r="BF5" s="71">
        <f t="shared" ref="BF5:BF19" ca="1" si="116">((L5+I5+(LOG(J5)*4/3))*0.348)</f>
        <v>5.9870337539642611</v>
      </c>
      <c r="BG5" s="71">
        <f t="shared" ref="BG5:BG19" ca="1" si="117">((M5+I5+(LOG(J5)*4/3))*0.881)</f>
        <v>9.3202047047198704</v>
      </c>
      <c r="BH5" s="71">
        <f t="shared" ref="BH5:BH19" ca="1" si="118">((N5+I5+(LOG(J5)*4/3))*0.574)+((O5+I5+(LOG(J5)*4/3))*0.315)</f>
        <v>5.2564626645811172</v>
      </c>
      <c r="BI5" s="71">
        <f t="shared" ref="BI5:BI19" ca="1" si="119">((O5+I5+(LOG(J5)*4/3))*0.241)</f>
        <v>1.736192915820078</v>
      </c>
      <c r="BJ5" s="71">
        <f t="shared" ref="BJ5:BJ19" ca="1" si="120">((L5+I5+(LOG(J5)*4/3))*0.485)</f>
        <v>8.3439981915881241</v>
      </c>
      <c r="BK5" s="71">
        <f t="shared" ref="BK5:BK19" ca="1" si="121">((L5+I5+(LOG(J5)*4/3))*0.264)</f>
        <v>4.5418876754211643</v>
      </c>
      <c r="BL5" s="71">
        <f t="shared" ref="BL5:BL19" ca="1" si="122">((M5+I5+(LOG(J5)*4/3))*0.381)</f>
        <v>4.0306447133919079</v>
      </c>
      <c r="BM5" s="71">
        <f t="shared" ref="BM5:BM19" ca="1" si="123">((N5+I5+(LOG(J5)*4/3))*0.673)+((O5+I5+(LOG(J5)*4/3))*0.201)</f>
        <v>4.9504008648412787</v>
      </c>
      <c r="BN5" s="71">
        <f t="shared" ref="BN5:BN19" ca="1" si="124">((O5+I5+(LOG(J5)*4/3))*0.052)</f>
        <v>0.37461423909810809</v>
      </c>
      <c r="BO5" s="71">
        <f t="shared" ref="BO5:BO19" ca="1" si="125">((L5+I5+(LOG(J5)*4/3))*0.18)</f>
        <v>3.0967415968780663</v>
      </c>
      <c r="BP5" s="71">
        <f t="shared" ref="BP5:BP19" ca="1" si="126">(L5+I5+(LOG(J5)*4/3))*0.068</f>
        <v>1.1698801588206029</v>
      </c>
      <c r="BQ5" s="71">
        <f t="shared" ref="BQ5:BQ19" ca="1" si="127">((M5+I5+(LOG(J5)*4/3))*0.305)</f>
        <v>3.226631594710057</v>
      </c>
      <c r="BR5" s="71">
        <f t="shared" ref="BR5:BR19" ca="1" si="128">((N5+I5+(LOG(J5)*4/3))*1)+((O5+I5+(LOG(J5)*4/3))*0.286)</f>
        <v>7.2644982976955195</v>
      </c>
      <c r="BS5" s="71">
        <f t="shared" ref="BS5:BS19" ca="1" si="129">((O5+I5+(LOG(J5)*4/3))*0.135)</f>
        <v>0.97255619765854995</v>
      </c>
      <c r="BT5" s="71">
        <f t="shared" ref="BT5:BT19" ca="1" si="130">((L5+I5+(LOG(J5)*4/3))*0.284)</f>
        <v>4.8859700750742823</v>
      </c>
      <c r="BU5" s="71">
        <f t="shared" ref="BU5:BU19" ca="1" si="131">(L5+I5+(LOG(J5)*4/3))*0.244</f>
        <v>4.1978052757680455</v>
      </c>
      <c r="BV5" s="71">
        <f t="shared" ref="BV5:BV19" ca="1" si="132">((M5+I5+(LOG(J5)*4/3))*0.455)</f>
        <v>4.813499592108446</v>
      </c>
      <c r="BW5" s="71">
        <f t="shared" ref="BW5:BW19" ca="1" si="133">((N5+I5+(LOG(J5)*4/3))*0.864)+((O5+I5+(LOG(J5)*4/3))*0.244)</f>
        <v>6.2541649407827649</v>
      </c>
      <c r="BX5" s="71">
        <f t="shared" ref="BX5:BX19" ca="1" si="134">((O5+I5+(LOG(J5)*4/3))*0.121)</f>
        <v>0.87169851790136688</v>
      </c>
      <c r="BY5" s="71">
        <f t="shared" ref="BY5:BY19" ca="1" si="135">((L5+I5+(LOG(J5)*4/3))*0.284)</f>
        <v>4.8859700750742823</v>
      </c>
      <c r="BZ5" s="71">
        <f t="shared" ref="BZ5:BZ19" ca="1" si="136">((L5+I5+(LOG(J5)*4/3))*0.244)</f>
        <v>4.1978052757680455</v>
      </c>
      <c r="CA5" s="71">
        <f t="shared" ref="CA5:CA19" ca="1" si="137">((M5+I5+(LOG(J5)*4/3))*0.631)</f>
        <v>6.6754247090558891</v>
      </c>
      <c r="CB5" s="71">
        <f t="shared" ref="CB5:CB19" ca="1" si="138">((N5+I5+(LOG(J5)*4/3))*0.702)+((O5+I5+(LOG(J5)*4/3))*0.193)</f>
        <v>5.0436873844770531</v>
      </c>
      <c r="CC5" s="71">
        <f t="shared" ref="CC5:CC19" ca="1" si="139">((O5+I5+(LOG(J5)*4/3))*0.148)</f>
        <v>1.0662097574330769</v>
      </c>
      <c r="CD5" s="71">
        <f t="shared" ref="CD5:CD19" ca="1" si="140">((M5+I5+(LOG(J5)*4/3))*0.406)</f>
        <v>4.2951227129583058</v>
      </c>
      <c r="CE5" s="71">
        <f t="shared" ref="CE5:CE19" ca="1" si="141">IF(D5="TEC",((N5+I5+(LOG(J5)*4/3))*0.15)+((O5+I5+(LOG(J5)*4/3))*0.324)+((P5+I5+(LOG(J5)*4/3))*0.127),(((N5+I5+(LOG(J5)*4/3))*0.144)+((O5+I5+(LOG(J5)*4/3))*0.25)+((P5+I5+(LOG(J5)*4/3))*0.127)))</f>
        <v>3.76167984429707</v>
      </c>
      <c r="CF5" s="71">
        <f t="shared" ref="CF5:CF19" ca="1" si="142">((O5+I5+(LOG(J5)*4/3))*0.543)+((P5+I5+(LOG(J5)*4/3))*0.583)</f>
        <v>9.4721724338039053</v>
      </c>
      <c r="CG5" s="71">
        <f t="shared" ref="CG5:CG19" ca="1" si="143">CE5</f>
        <v>3.76167984429707</v>
      </c>
      <c r="CH5" s="71">
        <f t="shared" ref="CH5:CH19" ca="1" si="144">((P5+1+(LOG(J5)*4/3))*0.26)+((N5+I5+(LOG(J5)*4/3))*0.221)+((O5+I5+(LOG(J5)*4/3))*0.142)</f>
        <v>4.6528334158613074</v>
      </c>
      <c r="CI5" s="71">
        <f t="shared" ref="CI5:CI19" ca="1" si="145">((P5+I5+(LOG(J5)*4/3))*1)+((O5+I5+(LOG(J5)*4/3))*0.369)</f>
        <v>12.195773589589294</v>
      </c>
      <c r="CJ5" s="71">
        <f t="shared" ref="CJ5:CJ19" ca="1" si="146">CH5</f>
        <v>4.6528334158613074</v>
      </c>
      <c r="CK5" s="71">
        <f t="shared" ref="CK5:CK19" ca="1" si="147">((M5+I5+(LOG(J5)*4/3))*0.25)</f>
        <v>2.6447799956639813</v>
      </c>
    </row>
    <row r="6" spans="1:89" x14ac:dyDescent="0.25">
      <c r="A6" t="e">
        <f>PLANTILLA!#REF!</f>
        <v>#REF!</v>
      </c>
      <c r="B6" s="446" t="e">
        <f>PLANTILLA!#REF!</f>
        <v>#REF!</v>
      </c>
      <c r="C6" s="95" t="e">
        <f>PLANTILLA!#REF!</f>
        <v>#REF!</v>
      </c>
      <c r="D6" s="446" t="e">
        <f>PLANTILLA!#REF!</f>
        <v>#REF!</v>
      </c>
      <c r="E6" s="201" t="e">
        <f>PLANTILLA!#REF!</f>
        <v>#REF!</v>
      </c>
      <c r="F6" s="95" t="e">
        <f>PLANTILLA!#REF!</f>
        <v>#REF!</v>
      </c>
      <c r="G6" s="115" t="e">
        <f t="shared" si="74"/>
        <v>#REF!</v>
      </c>
      <c r="H6" s="115" t="e">
        <f t="shared" si="75"/>
        <v>#REF!</v>
      </c>
      <c r="I6" s="150" t="e">
        <f>PLANTILLA!#REF!</f>
        <v>#REF!</v>
      </c>
      <c r="J6" s="151" t="e">
        <f>PLANTILLA!#REF!</f>
        <v>#REF!</v>
      </c>
      <c r="K6" s="48" t="e">
        <f>PLANTILLA!#REF!</f>
        <v>#REF!</v>
      </c>
      <c r="L6" s="48" t="e">
        <f>PLANTILLA!#REF!</f>
        <v>#REF!</v>
      </c>
      <c r="M6" s="48" t="e">
        <f>PLANTILLA!#REF!</f>
        <v>#REF!</v>
      </c>
      <c r="N6" s="48" t="e">
        <f>PLANTILLA!#REF!</f>
        <v>#REF!</v>
      </c>
      <c r="O6" s="48" t="e">
        <f>PLANTILLA!#REF!</f>
        <v>#REF!</v>
      </c>
      <c r="P6" s="48" t="e">
        <f>PLANTILLA!#REF!</f>
        <v>#REF!</v>
      </c>
      <c r="Q6" s="48" t="e">
        <f>PLANTILLA!#REF!</f>
        <v>#REF!</v>
      </c>
      <c r="R6" s="151" t="e">
        <f t="shared" si="76"/>
        <v>#REF!</v>
      </c>
      <c r="S6" s="151" t="e">
        <f t="shared" si="77"/>
        <v>#REF!</v>
      </c>
      <c r="T6" s="48" t="e">
        <f t="shared" si="78"/>
        <v>#REF!</v>
      </c>
      <c r="U6" s="48" t="e">
        <f t="shared" si="79"/>
        <v>#REF!</v>
      </c>
      <c r="V6" s="151" t="e">
        <f t="shared" ca="1" si="80"/>
        <v>#REF!</v>
      </c>
      <c r="W6" s="151" t="e">
        <f t="shared" ca="1" si="81"/>
        <v>#REF!</v>
      </c>
      <c r="X6" s="71" t="e">
        <f t="shared" si="82"/>
        <v>#REF!</v>
      </c>
      <c r="Y6" s="71" t="e">
        <f t="shared" si="83"/>
        <v>#REF!</v>
      </c>
      <c r="Z6" s="71" t="e">
        <f t="shared" si="84"/>
        <v>#REF!</v>
      </c>
      <c r="AA6" s="71" t="e">
        <f t="shared" si="85"/>
        <v>#REF!</v>
      </c>
      <c r="AB6" s="71" t="e">
        <f t="shared" si="86"/>
        <v>#REF!</v>
      </c>
      <c r="AC6" s="71" t="e">
        <f t="shared" si="87"/>
        <v>#REF!</v>
      </c>
      <c r="AD6" s="71" t="e">
        <f t="shared" si="88"/>
        <v>#REF!</v>
      </c>
      <c r="AE6" s="71" t="e">
        <f t="shared" si="89"/>
        <v>#REF!</v>
      </c>
      <c r="AF6" s="71" t="e">
        <f t="shared" si="90"/>
        <v>#REF!</v>
      </c>
      <c r="AG6" s="71" t="e">
        <f t="shared" si="91"/>
        <v>#REF!</v>
      </c>
      <c r="AH6" s="71" t="e">
        <f t="shared" si="92"/>
        <v>#REF!</v>
      </c>
      <c r="AI6" s="71" t="e">
        <f t="shared" si="93"/>
        <v>#REF!</v>
      </c>
      <c r="AJ6" s="71" t="e">
        <f t="shared" si="94"/>
        <v>#REF!</v>
      </c>
      <c r="AK6" s="71" t="e">
        <f t="shared" si="95"/>
        <v>#REF!</v>
      </c>
      <c r="AL6" s="71" t="e">
        <f t="shared" si="96"/>
        <v>#REF!</v>
      </c>
      <c r="AM6" s="71" t="e">
        <f t="shared" si="97"/>
        <v>#REF!</v>
      </c>
      <c r="AN6" s="71" t="e">
        <f t="shared" si="98"/>
        <v>#REF!</v>
      </c>
      <c r="AO6" s="71" t="e">
        <f t="shared" si="99"/>
        <v>#REF!</v>
      </c>
      <c r="AP6" s="71" t="e">
        <f t="shared" si="100"/>
        <v>#REF!</v>
      </c>
      <c r="AQ6" s="71" t="e">
        <f t="shared" si="101"/>
        <v>#REF!</v>
      </c>
      <c r="AR6" s="71" t="e">
        <f t="shared" si="102"/>
        <v>#REF!</v>
      </c>
      <c r="AS6" s="71" t="e">
        <f t="shared" si="103"/>
        <v>#REF!</v>
      </c>
      <c r="AT6" s="71" t="e">
        <f t="shared" si="104"/>
        <v>#REF!</v>
      </c>
      <c r="AU6" s="71" t="e">
        <f t="shared" si="105"/>
        <v>#REF!</v>
      </c>
      <c r="AV6" s="71" t="e">
        <f t="shared" si="106"/>
        <v>#REF!</v>
      </c>
      <c r="AW6" s="71" t="e">
        <f t="shared" si="107"/>
        <v>#REF!</v>
      </c>
      <c r="AX6" s="71" t="e">
        <f t="shared" si="108"/>
        <v>#REF!</v>
      </c>
      <c r="AY6" s="71" t="e">
        <f t="shared" si="109"/>
        <v>#REF!</v>
      </c>
      <c r="AZ6" s="71" t="e">
        <f t="shared" si="110"/>
        <v>#REF!</v>
      </c>
      <c r="BA6" s="71" t="e">
        <f t="shared" si="111"/>
        <v>#REF!</v>
      </c>
      <c r="BB6" s="71" t="e">
        <f t="shared" si="112"/>
        <v>#REF!</v>
      </c>
      <c r="BC6" s="71" t="e">
        <f t="shared" si="113"/>
        <v>#REF!</v>
      </c>
      <c r="BD6" s="71" t="e">
        <f t="shared" si="114"/>
        <v>#REF!</v>
      </c>
      <c r="BE6" s="71" t="e">
        <f t="shared" si="115"/>
        <v>#REF!</v>
      </c>
      <c r="BF6" s="71" t="e">
        <f t="shared" si="116"/>
        <v>#REF!</v>
      </c>
      <c r="BG6" s="71" t="e">
        <f t="shared" si="117"/>
        <v>#REF!</v>
      </c>
      <c r="BH6" s="71" t="e">
        <f t="shared" si="118"/>
        <v>#REF!</v>
      </c>
      <c r="BI6" s="71" t="e">
        <f t="shared" si="119"/>
        <v>#REF!</v>
      </c>
      <c r="BJ6" s="71" t="e">
        <f t="shared" si="120"/>
        <v>#REF!</v>
      </c>
      <c r="BK6" s="71" t="e">
        <f t="shared" si="121"/>
        <v>#REF!</v>
      </c>
      <c r="BL6" s="71" t="e">
        <f t="shared" si="122"/>
        <v>#REF!</v>
      </c>
      <c r="BM6" s="71" t="e">
        <f t="shared" si="123"/>
        <v>#REF!</v>
      </c>
      <c r="BN6" s="71" t="e">
        <f t="shared" si="124"/>
        <v>#REF!</v>
      </c>
      <c r="BO6" s="71" t="e">
        <f t="shared" si="125"/>
        <v>#REF!</v>
      </c>
      <c r="BP6" s="71" t="e">
        <f t="shared" si="126"/>
        <v>#REF!</v>
      </c>
      <c r="BQ6" s="71" t="e">
        <f t="shared" si="127"/>
        <v>#REF!</v>
      </c>
      <c r="BR6" s="71" t="e">
        <f t="shared" si="128"/>
        <v>#REF!</v>
      </c>
      <c r="BS6" s="71" t="e">
        <f t="shared" si="129"/>
        <v>#REF!</v>
      </c>
      <c r="BT6" s="71" t="e">
        <f t="shared" si="130"/>
        <v>#REF!</v>
      </c>
      <c r="BU6" s="71" t="e">
        <f t="shared" si="131"/>
        <v>#REF!</v>
      </c>
      <c r="BV6" s="71" t="e">
        <f t="shared" si="132"/>
        <v>#REF!</v>
      </c>
      <c r="BW6" s="71" t="e">
        <f t="shared" si="133"/>
        <v>#REF!</v>
      </c>
      <c r="BX6" s="71" t="e">
        <f t="shared" si="134"/>
        <v>#REF!</v>
      </c>
      <c r="BY6" s="71" t="e">
        <f t="shared" si="135"/>
        <v>#REF!</v>
      </c>
      <c r="BZ6" s="71" t="e">
        <f t="shared" si="136"/>
        <v>#REF!</v>
      </c>
      <c r="CA6" s="71" t="e">
        <f t="shared" si="137"/>
        <v>#REF!</v>
      </c>
      <c r="CB6" s="71" t="e">
        <f t="shared" si="138"/>
        <v>#REF!</v>
      </c>
      <c r="CC6" s="71" t="e">
        <f t="shared" si="139"/>
        <v>#REF!</v>
      </c>
      <c r="CD6" s="71" t="e">
        <f t="shared" si="140"/>
        <v>#REF!</v>
      </c>
      <c r="CE6" s="71" t="e">
        <f t="shared" si="141"/>
        <v>#REF!</v>
      </c>
      <c r="CF6" s="71" t="e">
        <f t="shared" si="142"/>
        <v>#REF!</v>
      </c>
      <c r="CG6" s="71" t="e">
        <f t="shared" si="143"/>
        <v>#REF!</v>
      </c>
      <c r="CH6" s="71" t="e">
        <f t="shared" si="144"/>
        <v>#REF!</v>
      </c>
      <c r="CI6" s="71" t="e">
        <f t="shared" si="145"/>
        <v>#REF!</v>
      </c>
      <c r="CJ6" s="71" t="e">
        <f t="shared" si="146"/>
        <v>#REF!</v>
      </c>
      <c r="CK6" s="71" t="e">
        <f t="shared" si="147"/>
        <v>#REF!</v>
      </c>
    </row>
    <row r="7" spans="1:89" x14ac:dyDescent="0.25">
      <c r="A7" t="str">
        <f>PLANTILLA!D7</f>
        <v>S. Swärdborn</v>
      </c>
      <c r="B7" s="446">
        <f>PLANTILLA!E7</f>
        <v>28</v>
      </c>
      <c r="C7" s="95">
        <f ca="1">PLANTILLA!F7</f>
        <v>88</v>
      </c>
      <c r="D7" s="446" t="str">
        <f>PLANTILLA!G7</f>
        <v>IMP</v>
      </c>
      <c r="E7" s="201">
        <f>PLANTILLA!O7</f>
        <v>43884</v>
      </c>
      <c r="F7" s="95">
        <f>PLANTILLA!Q7</f>
        <v>6</v>
      </c>
      <c r="G7" s="115">
        <f t="shared" si="74"/>
        <v>0.92582009977255142</v>
      </c>
      <c r="H7" s="115">
        <f t="shared" si="75"/>
        <v>0.99928545900129484</v>
      </c>
      <c r="I7" s="150">
        <f ca="1">PLANTILLA!P7</f>
        <v>1</v>
      </c>
      <c r="J7" s="151">
        <f>PLANTILLA!I7</f>
        <v>8</v>
      </c>
      <c r="K7" s="48">
        <f>PLANTILLA!X7</f>
        <v>0</v>
      </c>
      <c r="L7" s="48">
        <f>PLANTILLA!Y7</f>
        <v>14.85</v>
      </c>
      <c r="M7" s="48">
        <f>PLANTILLA!Z7</f>
        <v>10</v>
      </c>
      <c r="N7" s="48">
        <f>PLANTILLA!AA7</f>
        <v>1</v>
      </c>
      <c r="O7" s="48">
        <f>PLANTILLA!AB7</f>
        <v>3</v>
      </c>
      <c r="P7" s="48">
        <f>PLANTILLA!AC7</f>
        <v>7.916666666666667</v>
      </c>
      <c r="Q7" s="48">
        <f>PLANTILLA!AD7</f>
        <v>18.75</v>
      </c>
      <c r="R7" s="151">
        <f t="shared" si="76"/>
        <v>2.9812500000000002</v>
      </c>
      <c r="S7" s="151">
        <f t="shared" ca="1" si="77"/>
        <v>20.725271828336261</v>
      </c>
      <c r="T7" s="48">
        <f t="shared" si="78"/>
        <v>0.95833333333333337</v>
      </c>
      <c r="U7" s="48">
        <f t="shared" si="79"/>
        <v>1.1565000000000001</v>
      </c>
      <c r="V7" s="151">
        <f t="shared" ca="1" si="80"/>
        <v>19.399745452988522</v>
      </c>
      <c r="W7" s="151">
        <f t="shared" ca="1" si="81"/>
        <v>20.939147404836529</v>
      </c>
      <c r="X7" s="71">
        <f t="shared" ca="1" si="82"/>
        <v>6.0227967448586224</v>
      </c>
      <c r="Y7" s="71">
        <f t="shared" ca="1" si="83"/>
        <v>9.1567688976087975</v>
      </c>
      <c r="Z7" s="71">
        <f t="shared" ca="1" si="84"/>
        <v>6.0227967448586224</v>
      </c>
      <c r="AA7" s="71">
        <f t="shared" ca="1" si="85"/>
        <v>8.7999259110504564</v>
      </c>
      <c r="AB7" s="71">
        <f t="shared" ca="1" si="86"/>
        <v>17.054119982655923</v>
      </c>
      <c r="AC7" s="71">
        <f t="shared" ca="1" si="87"/>
        <v>4.3999629555252282</v>
      </c>
      <c r="AD7" s="71">
        <f t="shared" ca="1" si="88"/>
        <v>2.9045805558721098</v>
      </c>
      <c r="AE7" s="71">
        <f t="shared" ca="1" si="89"/>
        <v>6.4464573534439387</v>
      </c>
      <c r="AF7" s="71">
        <f t="shared" ca="1" si="90"/>
        <v>12.330128747460233</v>
      </c>
      <c r="AG7" s="71">
        <f t="shared" ca="1" si="91"/>
        <v>3.2232286767219693</v>
      </c>
      <c r="AH7" s="71">
        <f t="shared" ca="1" si="92"/>
        <v>4.698586193322531</v>
      </c>
      <c r="AI7" s="71">
        <f t="shared" ca="1" si="93"/>
        <v>15.68979038404345</v>
      </c>
      <c r="AJ7" s="71">
        <f t="shared" ca="1" si="94"/>
        <v>7.0604056728195514</v>
      </c>
      <c r="AK7" s="71">
        <f t="shared" ca="1" si="95"/>
        <v>2.0380880371035395</v>
      </c>
      <c r="AL7" s="71">
        <f t="shared" ca="1" si="96"/>
        <v>1.8840225498016838</v>
      </c>
      <c r="AM7" s="71">
        <f t="shared" ca="1" si="97"/>
        <v>12.858806466922566</v>
      </c>
      <c r="AN7" s="71">
        <f t="shared" ca="1" si="98"/>
        <v>12.074316947720392</v>
      </c>
      <c r="AO7" s="71">
        <f t="shared" ca="1" si="99"/>
        <v>3.4993380371035396</v>
      </c>
      <c r="AP7" s="71">
        <f t="shared" ca="1" si="100"/>
        <v>1.4933865550049064</v>
      </c>
      <c r="AQ7" s="71">
        <f t="shared" ca="1" si="101"/>
        <v>4.6046123953170994</v>
      </c>
      <c r="AR7" s="71">
        <f t="shared" ca="1" si="102"/>
        <v>10.130147269697618</v>
      </c>
      <c r="AS7" s="71">
        <f t="shared" ca="1" si="103"/>
        <v>2.3023061976585497</v>
      </c>
      <c r="AT7" s="71">
        <f t="shared" ca="1" si="104"/>
        <v>11.520689263627192</v>
      </c>
      <c r="AU7" s="71">
        <f t="shared" ca="1" si="105"/>
        <v>0.67653559774527028</v>
      </c>
      <c r="AV7" s="71">
        <f t="shared" ca="1" si="106"/>
        <v>2.3753904882515195</v>
      </c>
      <c r="AW7" s="71">
        <f t="shared" ca="1" si="107"/>
        <v>0.33826779887263514</v>
      </c>
      <c r="AX7" s="71">
        <f t="shared" ca="1" si="108"/>
        <v>3.2232286767219693</v>
      </c>
      <c r="AY7" s="71">
        <f t="shared" ca="1" si="109"/>
        <v>6.8216479930623697</v>
      </c>
      <c r="AZ7" s="71">
        <f t="shared" ca="1" si="110"/>
        <v>1.6116143383609847</v>
      </c>
      <c r="BA7" s="71">
        <f t="shared" ca="1" si="111"/>
        <v>12.204119982655925</v>
      </c>
      <c r="BB7" s="71">
        <f t="shared" ca="1" si="112"/>
        <v>1.3166423556119491</v>
      </c>
      <c r="BC7" s="71">
        <f t="shared" ca="1" si="113"/>
        <v>3.899970110443415</v>
      </c>
      <c r="BD7" s="71">
        <f t="shared" ca="1" si="114"/>
        <v>0.65832117780597454</v>
      </c>
      <c r="BE7" s="71">
        <f t="shared" ca="1" si="115"/>
        <v>4.962748914952873</v>
      </c>
      <c r="BF7" s="71">
        <f t="shared" ca="1" si="116"/>
        <v>5.934833753964261</v>
      </c>
      <c r="BG7" s="71">
        <f t="shared" ca="1" si="117"/>
        <v>10.751829704719871</v>
      </c>
      <c r="BH7" s="71">
        <f t="shared" ca="1" si="118"/>
        <v>3.4784626645811172</v>
      </c>
      <c r="BI7" s="71">
        <f t="shared" ca="1" si="119"/>
        <v>1.254192915820078</v>
      </c>
      <c r="BJ7" s="71">
        <f t="shared" ca="1" si="120"/>
        <v>8.2712481915881231</v>
      </c>
      <c r="BK7" s="71">
        <f t="shared" ca="1" si="121"/>
        <v>4.5022876754211643</v>
      </c>
      <c r="BL7" s="71">
        <f t="shared" ca="1" si="122"/>
        <v>4.6497697133919074</v>
      </c>
      <c r="BM7" s="71">
        <f t="shared" ca="1" si="123"/>
        <v>3.2024008648412785</v>
      </c>
      <c r="BN7" s="71">
        <f t="shared" ca="1" si="124"/>
        <v>0.27061423909810811</v>
      </c>
      <c r="BO7" s="71">
        <f t="shared" ca="1" si="125"/>
        <v>3.0697415968780661</v>
      </c>
      <c r="BP7" s="71">
        <f t="shared" ca="1" si="126"/>
        <v>1.1596801588206029</v>
      </c>
      <c r="BQ7" s="71">
        <f t="shared" ca="1" si="127"/>
        <v>3.722256594710057</v>
      </c>
      <c r="BR7" s="71">
        <f t="shared" ca="1" si="128"/>
        <v>4.6924982976955194</v>
      </c>
      <c r="BS7" s="71">
        <f t="shared" ca="1" si="129"/>
        <v>0.70255619765854993</v>
      </c>
      <c r="BT7" s="71">
        <f t="shared" ca="1" si="130"/>
        <v>4.8433700750742821</v>
      </c>
      <c r="BU7" s="71">
        <f t="shared" ca="1" si="131"/>
        <v>4.1612052757680447</v>
      </c>
      <c r="BV7" s="71">
        <f t="shared" ca="1" si="132"/>
        <v>5.5528745921084459</v>
      </c>
      <c r="BW7" s="71">
        <f t="shared" ca="1" si="133"/>
        <v>4.0381649407827647</v>
      </c>
      <c r="BX7" s="71">
        <f t="shared" ca="1" si="134"/>
        <v>0.62969851790136688</v>
      </c>
      <c r="BY7" s="71">
        <f t="shared" ca="1" si="135"/>
        <v>4.8433700750742821</v>
      </c>
      <c r="BZ7" s="71">
        <f t="shared" ca="1" si="136"/>
        <v>4.1612052757680447</v>
      </c>
      <c r="CA7" s="71">
        <f t="shared" ca="1" si="137"/>
        <v>7.7007997090558886</v>
      </c>
      <c r="CB7" s="71">
        <f t="shared" ca="1" si="138"/>
        <v>3.2536873844770531</v>
      </c>
      <c r="CC7" s="71">
        <f t="shared" ca="1" si="139"/>
        <v>0.77020975743307685</v>
      </c>
      <c r="CD7" s="71">
        <f t="shared" ca="1" si="140"/>
        <v>4.9548727129583057</v>
      </c>
      <c r="CE7" s="71">
        <f t="shared" ca="1" si="141"/>
        <v>3.0477631776304035</v>
      </c>
      <c r="CF7" s="71">
        <f t="shared" ca="1" si="142"/>
        <v>8.7262557671372392</v>
      </c>
      <c r="CG7" s="71">
        <f t="shared" ca="1" si="143"/>
        <v>3.0477631776304035</v>
      </c>
      <c r="CH7" s="71">
        <f t="shared" ca="1" si="144"/>
        <v>4.0785000825279747</v>
      </c>
      <c r="CI7" s="71">
        <f t="shared" ca="1" si="145"/>
        <v>12.04110692292263</v>
      </c>
      <c r="CJ7" s="71">
        <f t="shared" ca="1" si="146"/>
        <v>4.0785000825279747</v>
      </c>
      <c r="CK7" s="71">
        <f t="shared" ca="1" si="147"/>
        <v>3.0510299956639813</v>
      </c>
    </row>
    <row r="8" spans="1:89" x14ac:dyDescent="0.25">
      <c r="A8" t="str">
        <f>PLANTILLA!D8</f>
        <v>A. Grimaud</v>
      </c>
      <c r="B8" s="446">
        <f>PLANTILLA!E8</f>
        <v>28</v>
      </c>
      <c r="C8" s="95">
        <f ca="1">PLANTILLA!F8</f>
        <v>111</v>
      </c>
      <c r="D8" s="446" t="str">
        <f>PLANTILLA!G8</f>
        <v>RAP</v>
      </c>
      <c r="E8" s="201">
        <f>PLANTILLA!O8</f>
        <v>43739</v>
      </c>
      <c r="F8" s="95">
        <f>PLANTILLA!Q8</f>
        <v>6</v>
      </c>
      <c r="G8" s="115">
        <f t="shared" si="74"/>
        <v>0.92582009977255142</v>
      </c>
      <c r="H8" s="115">
        <f t="shared" si="75"/>
        <v>0.99928545900129484</v>
      </c>
      <c r="I8" s="150">
        <f ca="1">PLANTILLA!P8</f>
        <v>1</v>
      </c>
      <c r="J8" s="151">
        <f>PLANTILLA!I8</f>
        <v>8</v>
      </c>
      <c r="K8" s="48">
        <f>PLANTILLA!X8</f>
        <v>0</v>
      </c>
      <c r="L8" s="48">
        <f>PLANTILLA!Y8</f>
        <v>14.9</v>
      </c>
      <c r="M8" s="48">
        <f>PLANTILLA!Z8</f>
        <v>10.222222222222221</v>
      </c>
      <c r="N8" s="48">
        <f>PLANTILLA!AA8</f>
        <v>3</v>
      </c>
      <c r="O8" s="48">
        <f>PLANTILLA!AB8</f>
        <v>3</v>
      </c>
      <c r="P8" s="48">
        <f>PLANTILLA!AC8</f>
        <v>7.25</v>
      </c>
      <c r="Q8" s="48">
        <f>PLANTILLA!AD8</f>
        <v>18.2</v>
      </c>
      <c r="R8" s="151">
        <f t="shared" si="76"/>
        <v>2.9874999999999998</v>
      </c>
      <c r="S8" s="151">
        <f t="shared" ca="1" si="77"/>
        <v>19.31610516166959</v>
      </c>
      <c r="T8" s="48">
        <f t="shared" si="78"/>
        <v>0.90850000000000009</v>
      </c>
      <c r="U8" s="48">
        <f t="shared" si="79"/>
        <v>1.1420000000000001</v>
      </c>
      <c r="V8" s="151">
        <f t="shared" ca="1" si="80"/>
        <v>18.890544398113619</v>
      </c>
      <c r="W8" s="151">
        <f t="shared" ca="1" si="81"/>
        <v>20.389540402385819</v>
      </c>
      <c r="X8" s="71">
        <f t="shared" ca="1" si="82"/>
        <v>6.0365967448586222</v>
      </c>
      <c r="Y8" s="71">
        <f t="shared" ca="1" si="83"/>
        <v>9.1780188976087977</v>
      </c>
      <c r="Z8" s="71">
        <f t="shared" ca="1" si="84"/>
        <v>6.0365967448586222</v>
      </c>
      <c r="AA8" s="71">
        <f t="shared" ca="1" si="85"/>
        <v>8.8257259110504567</v>
      </c>
      <c r="AB8" s="71">
        <f t="shared" ca="1" si="86"/>
        <v>17.104119982655924</v>
      </c>
      <c r="AC8" s="71">
        <f t="shared" ca="1" si="87"/>
        <v>4.4128629555252283</v>
      </c>
      <c r="AD8" s="71">
        <f t="shared" ca="1" si="88"/>
        <v>2.9574694447609988</v>
      </c>
      <c r="AE8" s="71">
        <f t="shared" ca="1" si="89"/>
        <v>6.465357353443939</v>
      </c>
      <c r="AF8" s="71">
        <f t="shared" ca="1" si="90"/>
        <v>12.366278747460232</v>
      </c>
      <c r="AG8" s="71">
        <f t="shared" ca="1" si="91"/>
        <v>3.2326786767219695</v>
      </c>
      <c r="AH8" s="71">
        <f t="shared" ca="1" si="92"/>
        <v>4.7841417488780866</v>
      </c>
      <c r="AI8" s="71">
        <f t="shared" ca="1" si="93"/>
        <v>15.735790384043451</v>
      </c>
      <c r="AJ8" s="71">
        <f t="shared" ca="1" si="94"/>
        <v>7.0811056728195521</v>
      </c>
      <c r="AK8" s="71">
        <f t="shared" ca="1" si="95"/>
        <v>2.0751991482146508</v>
      </c>
      <c r="AL8" s="71">
        <f t="shared" ca="1" si="96"/>
        <v>3.0600225498016838</v>
      </c>
      <c r="AM8" s="71">
        <f t="shared" ca="1" si="97"/>
        <v>12.896506466922567</v>
      </c>
      <c r="AN8" s="71">
        <f t="shared" ca="1" si="98"/>
        <v>12.109716947720393</v>
      </c>
      <c r="AO8" s="71">
        <f t="shared" ca="1" si="99"/>
        <v>3.4074880371035396</v>
      </c>
      <c r="AP8" s="71">
        <f t="shared" ca="1" si="100"/>
        <v>1.4951865550049062</v>
      </c>
      <c r="AQ8" s="71">
        <f t="shared" ca="1" si="101"/>
        <v>4.6181123953170999</v>
      </c>
      <c r="AR8" s="71">
        <f t="shared" ca="1" si="102"/>
        <v>10.159847269697618</v>
      </c>
      <c r="AS8" s="71">
        <f t="shared" ca="1" si="103"/>
        <v>2.30905619765855</v>
      </c>
      <c r="AT8" s="71">
        <f t="shared" ca="1" si="104"/>
        <v>11.730467041404969</v>
      </c>
      <c r="AU8" s="71">
        <f t="shared" ca="1" si="105"/>
        <v>0.67653559774527028</v>
      </c>
      <c r="AV8" s="71">
        <f t="shared" ca="1" si="106"/>
        <v>2.2600571549181856</v>
      </c>
      <c r="AW8" s="71">
        <f t="shared" ca="1" si="107"/>
        <v>0.33826779887263514</v>
      </c>
      <c r="AX8" s="71">
        <f t="shared" ca="1" si="108"/>
        <v>3.2326786767219695</v>
      </c>
      <c r="AY8" s="71">
        <f t="shared" ca="1" si="109"/>
        <v>6.8416479930623701</v>
      </c>
      <c r="AZ8" s="71">
        <f t="shared" ca="1" si="110"/>
        <v>1.6163393383609848</v>
      </c>
      <c r="BA8" s="71">
        <f t="shared" ca="1" si="111"/>
        <v>12.426342204878146</v>
      </c>
      <c r="BB8" s="71">
        <f t="shared" ca="1" si="112"/>
        <v>1.3166423556119491</v>
      </c>
      <c r="BC8" s="71">
        <f t="shared" ca="1" si="113"/>
        <v>3.7599701104434144</v>
      </c>
      <c r="BD8" s="71">
        <f t="shared" ca="1" si="114"/>
        <v>0.65832117780597454</v>
      </c>
      <c r="BE8" s="71">
        <f t="shared" ca="1" si="115"/>
        <v>4.9772989149528737</v>
      </c>
      <c r="BF8" s="71">
        <f t="shared" ca="1" si="116"/>
        <v>5.9522337539642614</v>
      </c>
      <c r="BG8" s="71">
        <f t="shared" ca="1" si="117"/>
        <v>10.947607482497647</v>
      </c>
      <c r="BH8" s="71">
        <f t="shared" ca="1" si="118"/>
        <v>4.6264626645811173</v>
      </c>
      <c r="BI8" s="71">
        <f t="shared" ca="1" si="119"/>
        <v>1.254192915820078</v>
      </c>
      <c r="BJ8" s="71">
        <f t="shared" ca="1" si="120"/>
        <v>8.2954981915881234</v>
      </c>
      <c r="BK8" s="71">
        <f t="shared" ca="1" si="121"/>
        <v>4.5154876754211637</v>
      </c>
      <c r="BL8" s="71">
        <f t="shared" ca="1" si="122"/>
        <v>4.7344363800585736</v>
      </c>
      <c r="BM8" s="71">
        <f t="shared" ca="1" si="123"/>
        <v>4.5484008648412786</v>
      </c>
      <c r="BN8" s="71">
        <f t="shared" ca="1" si="124"/>
        <v>0.27061423909810811</v>
      </c>
      <c r="BO8" s="71">
        <f t="shared" ca="1" si="125"/>
        <v>3.078741596878066</v>
      </c>
      <c r="BP8" s="71">
        <f t="shared" ca="1" si="126"/>
        <v>1.1630801588206028</v>
      </c>
      <c r="BQ8" s="71">
        <f t="shared" ca="1" si="127"/>
        <v>3.7900343724878347</v>
      </c>
      <c r="BR8" s="71">
        <f t="shared" ca="1" si="128"/>
        <v>6.6924982976955194</v>
      </c>
      <c r="BS8" s="71">
        <f t="shared" ca="1" si="129"/>
        <v>0.70255619765854993</v>
      </c>
      <c r="BT8" s="71">
        <f t="shared" ca="1" si="130"/>
        <v>4.8575700750742818</v>
      </c>
      <c r="BU8" s="71">
        <f t="shared" ca="1" si="131"/>
        <v>4.1734052757680455</v>
      </c>
      <c r="BV8" s="71">
        <f t="shared" ca="1" si="132"/>
        <v>5.6539857032195568</v>
      </c>
      <c r="BW8" s="71">
        <f t="shared" ca="1" si="133"/>
        <v>5.7661649407827644</v>
      </c>
      <c r="BX8" s="71">
        <f t="shared" ca="1" si="134"/>
        <v>0.62969851790136688</v>
      </c>
      <c r="BY8" s="71">
        <f t="shared" ca="1" si="135"/>
        <v>4.8575700750742818</v>
      </c>
      <c r="BZ8" s="71">
        <f t="shared" ca="1" si="136"/>
        <v>4.1734052757680455</v>
      </c>
      <c r="CA8" s="71">
        <f t="shared" ca="1" si="137"/>
        <v>7.8410219312781102</v>
      </c>
      <c r="CB8" s="71">
        <f t="shared" ca="1" si="138"/>
        <v>4.657687384477053</v>
      </c>
      <c r="CC8" s="71">
        <f t="shared" ca="1" si="139"/>
        <v>0.77020975743307685</v>
      </c>
      <c r="CD8" s="71">
        <f t="shared" ca="1" si="140"/>
        <v>5.0450949351805274</v>
      </c>
      <c r="CE8" s="71">
        <f t="shared" ca="1" si="141"/>
        <v>3.2510965109637366</v>
      </c>
      <c r="CF8" s="71">
        <f t="shared" ca="1" si="142"/>
        <v>8.3375891004705718</v>
      </c>
      <c r="CG8" s="71">
        <f t="shared" ca="1" si="143"/>
        <v>3.2510965109637366</v>
      </c>
      <c r="CH8" s="71">
        <f t="shared" ca="1" si="144"/>
        <v>4.3471667491946411</v>
      </c>
      <c r="CI8" s="71">
        <f t="shared" ca="1" si="145"/>
        <v>11.374440256255962</v>
      </c>
      <c r="CJ8" s="71">
        <f t="shared" ca="1" si="146"/>
        <v>4.3471667491946411</v>
      </c>
      <c r="CK8" s="71">
        <f t="shared" ca="1" si="147"/>
        <v>3.1065855512195366</v>
      </c>
    </row>
    <row r="9" spans="1:89" x14ac:dyDescent="0.25">
      <c r="A9" t="str">
        <f>PLANTILLA!D9</f>
        <v>E. Deus</v>
      </c>
      <c r="B9" s="446">
        <f>PLANTILLA!E9</f>
        <v>28</v>
      </c>
      <c r="C9" s="95">
        <f ca="1">PLANTILLA!F9</f>
        <v>27</v>
      </c>
      <c r="D9" s="446" t="str">
        <f>PLANTILLA!G9</f>
        <v>IMP</v>
      </c>
      <c r="E9" s="201">
        <f>PLANTILLA!O9</f>
        <v>43898</v>
      </c>
      <c r="F9" s="95">
        <f>PLANTILLA!Q9</f>
        <v>7</v>
      </c>
      <c r="G9" s="115">
        <f t="shared" si="74"/>
        <v>1</v>
      </c>
      <c r="H9" s="115">
        <f t="shared" si="75"/>
        <v>1</v>
      </c>
      <c r="I9" s="150">
        <f ca="1">PLANTILLA!P9</f>
        <v>1</v>
      </c>
      <c r="J9" s="151">
        <f>PLANTILLA!I9</f>
        <v>7</v>
      </c>
      <c r="K9" s="48">
        <f>PLANTILLA!X9</f>
        <v>0</v>
      </c>
      <c r="L9" s="48">
        <f>PLANTILLA!Y9</f>
        <v>14.1</v>
      </c>
      <c r="M9" s="48">
        <f>PLANTILLA!Z9</f>
        <v>9.375</v>
      </c>
      <c r="N9" s="48">
        <f>PLANTILLA!AA9</f>
        <v>1</v>
      </c>
      <c r="O9" s="48">
        <f>PLANTILLA!AB9</f>
        <v>6</v>
      </c>
      <c r="P9" s="48">
        <f>PLANTILLA!AC9</f>
        <v>6.4</v>
      </c>
      <c r="Q9" s="48">
        <f>PLANTILLA!AD9</f>
        <v>19.2</v>
      </c>
      <c r="R9" s="151">
        <f t="shared" si="76"/>
        <v>3.6375000000000002</v>
      </c>
      <c r="S9" s="151">
        <f t="shared" ca="1" si="77"/>
        <v>18.284222224575345</v>
      </c>
      <c r="T9" s="48">
        <f t="shared" si="78"/>
        <v>0.89600000000000013</v>
      </c>
      <c r="U9" s="48">
        <f t="shared" si="79"/>
        <v>1.1400000000000001</v>
      </c>
      <c r="V9" s="151">
        <f t="shared" ca="1" si="80"/>
        <v>21.326797386685676</v>
      </c>
      <c r="W9" s="151">
        <f t="shared" ca="1" si="81"/>
        <v>21.326797386685676</v>
      </c>
      <c r="X9" s="71">
        <f t="shared" ca="1" si="82"/>
        <v>5.7482941185765952</v>
      </c>
      <c r="Y9" s="71">
        <f t="shared" ca="1" si="83"/>
        <v>8.7381954262112078</v>
      </c>
      <c r="Z9" s="71">
        <f t="shared" ca="1" si="84"/>
        <v>5.7482941185765952</v>
      </c>
      <c r="AA9" s="71">
        <f t="shared" ca="1" si="85"/>
        <v>8.3730274515298078</v>
      </c>
      <c r="AB9" s="71">
        <f t="shared" ca="1" si="86"/>
        <v>16.226797386685675</v>
      </c>
      <c r="AC9" s="71">
        <f t="shared" ca="1" si="87"/>
        <v>4.1865137257649039</v>
      </c>
      <c r="AD9" s="71">
        <f t="shared" ca="1" si="88"/>
        <v>2.7374277780311904</v>
      </c>
      <c r="AE9" s="71">
        <f t="shared" ca="1" si="89"/>
        <v>6.1337294121671855</v>
      </c>
      <c r="AF9" s="71">
        <f t="shared" ca="1" si="90"/>
        <v>11.731974510573743</v>
      </c>
      <c r="AG9" s="71">
        <f t="shared" ca="1" si="91"/>
        <v>3.0668647060835927</v>
      </c>
      <c r="AH9" s="71">
        <f t="shared" ca="1" si="92"/>
        <v>4.4281919938739849</v>
      </c>
      <c r="AI9" s="71">
        <f t="shared" ca="1" si="93"/>
        <v>14.928653595750822</v>
      </c>
      <c r="AJ9" s="71">
        <f t="shared" ca="1" si="94"/>
        <v>6.7178941180878695</v>
      </c>
      <c r="AK9" s="71">
        <f t="shared" ca="1" si="95"/>
        <v>1.920800163576508</v>
      </c>
      <c r="AL9" s="71">
        <f t="shared" ca="1" si="96"/>
        <v>1.8385568633711773</v>
      </c>
      <c r="AM9" s="71">
        <f t="shared" ca="1" si="97"/>
        <v>12.235005229560999</v>
      </c>
      <c r="AN9" s="71">
        <f t="shared" ca="1" si="98"/>
        <v>11.488572549773457</v>
      </c>
      <c r="AO9" s="71">
        <f t="shared" ca="1" si="99"/>
        <v>3.5615751635765083</v>
      </c>
      <c r="AP9" s="71">
        <f t="shared" ca="1" si="100"/>
        <v>1.6601176473654746</v>
      </c>
      <c r="AQ9" s="71">
        <f t="shared" ca="1" si="101"/>
        <v>4.3812352944051325</v>
      </c>
      <c r="AR9" s="71">
        <f t="shared" ca="1" si="102"/>
        <v>9.6387176476912906</v>
      </c>
      <c r="AS9" s="71">
        <f t="shared" ca="1" si="103"/>
        <v>2.1906176472025662</v>
      </c>
      <c r="AT9" s="71">
        <f t="shared" ca="1" si="104"/>
        <v>10.857696733031277</v>
      </c>
      <c r="AU9" s="71">
        <f t="shared" ca="1" si="105"/>
        <v>1.0564836602691379</v>
      </c>
      <c r="AV9" s="71">
        <f t="shared" ca="1" si="106"/>
        <v>2.4503516342989027</v>
      </c>
      <c r="AW9" s="71">
        <f t="shared" ca="1" si="107"/>
        <v>0.52824183013456893</v>
      </c>
      <c r="AX9" s="71">
        <f t="shared" ca="1" si="108"/>
        <v>3.0668647060835927</v>
      </c>
      <c r="AY9" s="71">
        <f t="shared" ca="1" si="109"/>
        <v>6.4907189546742705</v>
      </c>
      <c r="AZ9" s="71">
        <f t="shared" ca="1" si="110"/>
        <v>1.5334323530417964</v>
      </c>
      <c r="BA9" s="71">
        <f t="shared" ca="1" si="111"/>
        <v>11.501797386685675</v>
      </c>
      <c r="BB9" s="71">
        <f t="shared" ca="1" si="112"/>
        <v>2.056079738831476</v>
      </c>
      <c r="BC9" s="71">
        <f t="shared" ca="1" si="113"/>
        <v>4.5618653600638073</v>
      </c>
      <c r="BD9" s="71">
        <f t="shared" ca="1" si="114"/>
        <v>1.028039869415738</v>
      </c>
      <c r="BE9" s="71">
        <f t="shared" ca="1" si="115"/>
        <v>4.7219980395255314</v>
      </c>
      <c r="BF9" s="71">
        <f t="shared" ca="1" si="116"/>
        <v>5.6469254905666144</v>
      </c>
      <c r="BG9" s="71">
        <f t="shared" ca="1" si="117"/>
        <v>10.13308349767008</v>
      </c>
      <c r="BH9" s="71">
        <f t="shared" ca="1" si="118"/>
        <v>4.3547228767635655</v>
      </c>
      <c r="BI9" s="71">
        <f t="shared" ca="1" si="119"/>
        <v>1.9585581701912478</v>
      </c>
      <c r="BJ9" s="71">
        <f t="shared" ca="1" si="120"/>
        <v>7.8699967325425524</v>
      </c>
      <c r="BK9" s="71">
        <f t="shared" ca="1" si="121"/>
        <v>4.2838745100850186</v>
      </c>
      <c r="BL9" s="71">
        <f t="shared" ca="1" si="122"/>
        <v>4.3821848043272427</v>
      </c>
      <c r="BM9" s="71">
        <f t="shared" ca="1" si="123"/>
        <v>3.7378209159632805</v>
      </c>
      <c r="BN9" s="71">
        <f t="shared" ca="1" si="124"/>
        <v>0.42259346410765508</v>
      </c>
      <c r="BO9" s="71">
        <f t="shared" ca="1" si="125"/>
        <v>2.9208235296034215</v>
      </c>
      <c r="BP9" s="71">
        <f t="shared" ca="1" si="126"/>
        <v>1.1034222222946259</v>
      </c>
      <c r="BQ9" s="71">
        <f t="shared" ca="1" si="127"/>
        <v>3.5080482029391309</v>
      </c>
      <c r="BR9" s="71">
        <f t="shared" ca="1" si="128"/>
        <v>5.4510614392777788</v>
      </c>
      <c r="BS9" s="71">
        <f t="shared" ca="1" si="129"/>
        <v>1.0971176472025663</v>
      </c>
      <c r="BT9" s="71">
        <f t="shared" ca="1" si="130"/>
        <v>4.6084104578187315</v>
      </c>
      <c r="BU9" s="71">
        <f t="shared" ca="1" si="131"/>
        <v>3.9593385623513044</v>
      </c>
      <c r="BV9" s="71">
        <f t="shared" ca="1" si="132"/>
        <v>5.2333178109419825</v>
      </c>
      <c r="BW9" s="71">
        <f t="shared" ca="1" si="133"/>
        <v>4.6844915044477284</v>
      </c>
      <c r="BX9" s="71">
        <f t="shared" ca="1" si="134"/>
        <v>0.98334248378896671</v>
      </c>
      <c r="BY9" s="71">
        <f t="shared" ca="1" si="135"/>
        <v>4.6084104578187315</v>
      </c>
      <c r="BZ9" s="71">
        <f t="shared" ca="1" si="136"/>
        <v>3.9593385623513044</v>
      </c>
      <c r="CA9" s="71">
        <f t="shared" ca="1" si="137"/>
        <v>7.257634150998661</v>
      </c>
      <c r="CB9" s="71">
        <f t="shared" ca="1" si="138"/>
        <v>3.7634836610836797</v>
      </c>
      <c r="CC9" s="71">
        <f t="shared" ca="1" si="139"/>
        <v>1.20276601322948</v>
      </c>
      <c r="CD9" s="71">
        <f t="shared" ca="1" si="140"/>
        <v>4.6697297389943841</v>
      </c>
      <c r="CE9" s="71">
        <f t="shared" ca="1" si="141"/>
        <v>3.5648614384632369</v>
      </c>
      <c r="CF9" s="71">
        <f t="shared" ca="1" si="142"/>
        <v>9.3839738574080691</v>
      </c>
      <c r="CG9" s="71">
        <f t="shared" ca="1" si="143"/>
        <v>3.5648614384632369</v>
      </c>
      <c r="CH9" s="71">
        <f t="shared" ca="1" si="144"/>
        <v>4.0619947719051765</v>
      </c>
      <c r="CI9" s="71">
        <f t="shared" ca="1" si="145"/>
        <v>11.52558562237269</v>
      </c>
      <c r="CJ9" s="71">
        <f t="shared" ca="1" si="146"/>
        <v>4.0619947719051765</v>
      </c>
      <c r="CK9" s="71">
        <f t="shared" ca="1" si="147"/>
        <v>2.8754493466714188</v>
      </c>
    </row>
    <row r="10" spans="1:89" x14ac:dyDescent="0.25">
      <c r="A10" t="str">
        <f>PLANTILLA!D12</f>
        <v>T. McPhail</v>
      </c>
      <c r="B10" s="446">
        <f>PLANTILLA!E12</f>
        <v>28</v>
      </c>
      <c r="C10" s="95">
        <f ca="1">PLANTILLA!F12</f>
        <v>8</v>
      </c>
      <c r="D10" s="446" t="str">
        <f>PLANTILLA!G12</f>
        <v>IMP</v>
      </c>
      <c r="E10" s="201">
        <f>PLANTILLA!O12</f>
        <v>44751</v>
      </c>
      <c r="F10" s="95">
        <f>PLANTILLA!Q12</f>
        <v>5</v>
      </c>
      <c r="G10" s="115">
        <f t="shared" si="74"/>
        <v>0.84515425472851657</v>
      </c>
      <c r="H10" s="115">
        <f t="shared" si="75"/>
        <v>0.92504826128926143</v>
      </c>
      <c r="I10" s="150">
        <f ca="1">PLANTILLA!P12</f>
        <v>0.199166215696265</v>
      </c>
      <c r="J10" s="151">
        <f>PLANTILLA!I12</f>
        <v>8</v>
      </c>
      <c r="K10" s="48">
        <f>PLANTILLA!X12</f>
        <v>0</v>
      </c>
      <c r="L10" s="48">
        <f>PLANTILLA!Y12</f>
        <v>13</v>
      </c>
      <c r="M10" s="48">
        <f>PLANTILLA!Z12</f>
        <v>14</v>
      </c>
      <c r="N10" s="48">
        <f>PLANTILLA!AA12</f>
        <v>4</v>
      </c>
      <c r="O10" s="48">
        <f>PLANTILLA!AB12</f>
        <v>5</v>
      </c>
      <c r="P10" s="48">
        <f>PLANTILLA!AC12</f>
        <v>9</v>
      </c>
      <c r="Q10" s="48">
        <f>PLANTILLA!AD12</f>
        <v>16</v>
      </c>
      <c r="R10" s="151">
        <f t="shared" si="76"/>
        <v>3.25</v>
      </c>
      <c r="S10" s="151">
        <f t="shared" ca="1" si="77"/>
        <v>19.241262498358338</v>
      </c>
      <c r="T10" s="48">
        <f t="shared" si="78"/>
        <v>0.93</v>
      </c>
      <c r="U10" s="48">
        <f t="shared" si="79"/>
        <v>1</v>
      </c>
      <c r="V10" s="151">
        <f t="shared" ca="1" si="80"/>
        <v>14.779713914076526</v>
      </c>
      <c r="W10" s="151">
        <f t="shared" ca="1" si="81"/>
        <v>16.176867810907424</v>
      </c>
      <c r="X10" s="71">
        <f t="shared" ca="1" si="82"/>
        <v>4.8130688511614625</v>
      </c>
      <c r="Y10" s="71">
        <f t="shared" ca="1" si="83"/>
        <v>7.3366424820726763</v>
      </c>
      <c r="Z10" s="71">
        <f t="shared" ca="1" si="84"/>
        <v>4.8130688511614625</v>
      </c>
      <c r="AA10" s="71">
        <f t="shared" ca="1" si="85"/>
        <v>7.4320956783497296</v>
      </c>
      <c r="AB10" s="71">
        <f t="shared" ca="1" si="86"/>
        <v>14.403286198352189</v>
      </c>
      <c r="AC10" s="71">
        <f t="shared" ca="1" si="87"/>
        <v>3.7160478391748648</v>
      </c>
      <c r="AD10" s="71">
        <f t="shared" ca="1" si="88"/>
        <v>3.6659821152078207</v>
      </c>
      <c r="AE10" s="71">
        <f t="shared" ca="1" si="89"/>
        <v>5.4444421829771272</v>
      </c>
      <c r="AF10" s="71">
        <f t="shared" ca="1" si="90"/>
        <v>10.413575921408633</v>
      </c>
      <c r="AG10" s="71">
        <f t="shared" ca="1" si="91"/>
        <v>2.7222210914885636</v>
      </c>
      <c r="AH10" s="71">
        <f t="shared" ca="1" si="92"/>
        <v>5.9302651863655926</v>
      </c>
      <c r="AI10" s="71">
        <f t="shared" ca="1" si="93"/>
        <v>13.251023302484015</v>
      </c>
      <c r="AJ10" s="71">
        <f t="shared" ca="1" si="94"/>
        <v>5.9629604861178063</v>
      </c>
      <c r="AK10" s="71">
        <f t="shared" ca="1" si="95"/>
        <v>2.5723487951248156</v>
      </c>
      <c r="AL10" s="71">
        <f t="shared" ca="1" si="96"/>
        <v>3.1771322846310879</v>
      </c>
      <c r="AM10" s="71">
        <f t="shared" ca="1" si="97"/>
        <v>10.860077793557551</v>
      </c>
      <c r="AN10" s="71">
        <f t="shared" ca="1" si="98"/>
        <v>10.19752662843335</v>
      </c>
      <c r="AO10" s="71">
        <f t="shared" ca="1" si="99"/>
        <v>2.9063487951248161</v>
      </c>
      <c r="AP10" s="71">
        <f t="shared" ca="1" si="100"/>
        <v>1.3401464251254305</v>
      </c>
      <c r="AQ10" s="71">
        <f t="shared" ca="1" si="101"/>
        <v>3.8888872735550915</v>
      </c>
      <c r="AR10" s="71">
        <f t="shared" ca="1" si="102"/>
        <v>8.5555520018211997</v>
      </c>
      <c r="AS10" s="71">
        <f t="shared" ca="1" si="103"/>
        <v>1.9444436367775457</v>
      </c>
      <c r="AT10" s="71">
        <f t="shared" ca="1" si="104"/>
        <v>14.540702171244465</v>
      </c>
      <c r="AU10" s="71">
        <f t="shared" ca="1" si="105"/>
        <v>0.83242720578578477</v>
      </c>
      <c r="AV10" s="71">
        <f t="shared" ca="1" si="106"/>
        <v>2.5681628561171914</v>
      </c>
      <c r="AW10" s="71">
        <f t="shared" ca="1" si="107"/>
        <v>0.41621360289289239</v>
      </c>
      <c r="AX10" s="71">
        <f t="shared" ca="1" si="108"/>
        <v>2.7222210914885636</v>
      </c>
      <c r="AY10" s="71">
        <f t="shared" ca="1" si="109"/>
        <v>5.7613144793408759</v>
      </c>
      <c r="AZ10" s="71">
        <f t="shared" ca="1" si="110"/>
        <v>1.3611105457442818</v>
      </c>
      <c r="BA10" s="71">
        <f t="shared" ca="1" si="111"/>
        <v>15.403286198352189</v>
      </c>
      <c r="BB10" s="71">
        <f t="shared" ca="1" si="112"/>
        <v>1.6200314081831042</v>
      </c>
      <c r="BC10" s="71">
        <f t="shared" ca="1" si="113"/>
        <v>4.3682106952920563</v>
      </c>
      <c r="BD10" s="71">
        <f t="shared" ca="1" si="114"/>
        <v>0.8100157040915521</v>
      </c>
      <c r="BE10" s="71">
        <f t="shared" ca="1" si="115"/>
        <v>4.191356283720487</v>
      </c>
      <c r="BF10" s="71">
        <f t="shared" ca="1" si="116"/>
        <v>5.012343597026562</v>
      </c>
      <c r="BG10" s="71">
        <f t="shared" ca="1" si="117"/>
        <v>13.570295140748279</v>
      </c>
      <c r="BH10" s="71">
        <f t="shared" ca="1" si="118"/>
        <v>5.1185214303350968</v>
      </c>
      <c r="BI10" s="71">
        <f t="shared" ca="1" si="119"/>
        <v>1.5431919738028779</v>
      </c>
      <c r="BJ10" s="71">
        <f t="shared" ca="1" si="120"/>
        <v>6.9855938062008116</v>
      </c>
      <c r="BK10" s="71">
        <f t="shared" ca="1" si="121"/>
        <v>3.8024675563649781</v>
      </c>
      <c r="BL10" s="71">
        <f t="shared" ca="1" si="122"/>
        <v>5.8686520415721839</v>
      </c>
      <c r="BM10" s="71">
        <f t="shared" ca="1" si="123"/>
        <v>4.9234721373598145</v>
      </c>
      <c r="BN10" s="71">
        <f t="shared" ca="1" si="124"/>
        <v>0.33297088231431388</v>
      </c>
      <c r="BO10" s="71">
        <f t="shared" ca="1" si="125"/>
        <v>2.5925915157033939</v>
      </c>
      <c r="BP10" s="71">
        <f t="shared" ca="1" si="126"/>
        <v>0.9794234614879489</v>
      </c>
      <c r="BQ10" s="71">
        <f t="shared" ca="1" si="127"/>
        <v>4.6980022904974179</v>
      </c>
      <c r="BR10" s="71">
        <f t="shared" ca="1" si="128"/>
        <v>7.2346260510809168</v>
      </c>
      <c r="BS10" s="71">
        <f t="shared" ca="1" si="129"/>
        <v>0.86444363677754577</v>
      </c>
      <c r="BT10" s="71">
        <f t="shared" ca="1" si="130"/>
        <v>4.0905332803320213</v>
      </c>
      <c r="BU10" s="71">
        <f t="shared" ca="1" si="131"/>
        <v>3.514401832397934</v>
      </c>
      <c r="BV10" s="71">
        <f t="shared" ca="1" si="132"/>
        <v>7.0084952202502464</v>
      </c>
      <c r="BW10" s="71">
        <f t="shared" ca="1" si="133"/>
        <v>6.2308411077742267</v>
      </c>
      <c r="BX10" s="71">
        <f t="shared" ca="1" si="134"/>
        <v>0.77479763000061497</v>
      </c>
      <c r="BY10" s="71">
        <f t="shared" ca="1" si="135"/>
        <v>4.0905332803320213</v>
      </c>
      <c r="BZ10" s="71">
        <f t="shared" ca="1" si="136"/>
        <v>3.514401832397934</v>
      </c>
      <c r="CA10" s="71">
        <f t="shared" ca="1" si="137"/>
        <v>9.7194735911602308</v>
      </c>
      <c r="CB10" s="71">
        <f t="shared" ca="1" si="138"/>
        <v>5.0289411475252095</v>
      </c>
      <c r="CC10" s="71">
        <f t="shared" ca="1" si="139"/>
        <v>0.94768635735612416</v>
      </c>
      <c r="CD10" s="71">
        <f t="shared" ca="1" si="140"/>
        <v>6.2537341965309894</v>
      </c>
      <c r="CE10" s="71">
        <f t="shared" ca="1" si="141"/>
        <v>3.7001121093414908</v>
      </c>
      <c r="CF10" s="71">
        <f t="shared" ca="1" si="142"/>
        <v>9.542100259344565</v>
      </c>
      <c r="CG10" s="71">
        <f t="shared" ca="1" si="143"/>
        <v>3.7001121093414908</v>
      </c>
      <c r="CH10" s="71">
        <f t="shared" ca="1" si="144"/>
        <v>5.0164640854923848</v>
      </c>
      <c r="CI10" s="71">
        <f t="shared" ca="1" si="145"/>
        <v>12.766098805544146</v>
      </c>
      <c r="CJ10" s="71">
        <f t="shared" ca="1" si="146"/>
        <v>5.0164640854923848</v>
      </c>
      <c r="CK10" s="71">
        <f t="shared" ca="1" si="147"/>
        <v>3.8508215495880473</v>
      </c>
    </row>
    <row r="11" spans="1:89" x14ac:dyDescent="0.25">
      <c r="A11" t="str">
        <f>PLANTILLA!D15</f>
        <v>P. Tuderek</v>
      </c>
      <c r="B11" s="446">
        <f>PLANTILLA!E15</f>
        <v>28</v>
      </c>
      <c r="C11" s="95">
        <f ca="1">PLANTILLA!F15</f>
        <v>89</v>
      </c>
      <c r="D11" s="446" t="str">
        <f>PLANTILLA!G15</f>
        <v>CAB</v>
      </c>
      <c r="E11" s="201">
        <f>PLANTILLA!O15</f>
        <v>43626</v>
      </c>
      <c r="F11" s="95">
        <f>PLANTILLA!Q15</f>
        <v>7</v>
      </c>
      <c r="G11" s="115">
        <f t="shared" si="74"/>
        <v>1</v>
      </c>
      <c r="H11" s="115">
        <f t="shared" si="75"/>
        <v>1</v>
      </c>
      <c r="I11" s="150">
        <f ca="1">PLANTILLA!P15</f>
        <v>1</v>
      </c>
      <c r="J11" s="151">
        <f>PLANTILLA!I15</f>
        <v>7</v>
      </c>
      <c r="K11" s="48">
        <f>PLANTILLA!X15</f>
        <v>0</v>
      </c>
      <c r="L11" s="48">
        <f>PLANTILLA!Y15</f>
        <v>11.307692307692308</v>
      </c>
      <c r="M11" s="48">
        <f>PLANTILLA!Z15</f>
        <v>14.333333333333334</v>
      </c>
      <c r="N11" s="48">
        <f>PLANTILLA!AA15</f>
        <v>2</v>
      </c>
      <c r="O11" s="48">
        <f>PLANTILLA!AB15</f>
        <v>3</v>
      </c>
      <c r="P11" s="48">
        <f>PLANTILLA!AC15</f>
        <v>8</v>
      </c>
      <c r="Q11" s="48">
        <f>PLANTILLA!AD15</f>
        <v>20.166666666666668</v>
      </c>
      <c r="R11" s="151">
        <f t="shared" si="76"/>
        <v>2.5384615384615383</v>
      </c>
      <c r="S11" s="151">
        <f t="shared" ca="1" si="77"/>
        <v>21.47188889124201</v>
      </c>
      <c r="T11" s="48">
        <f t="shared" si="78"/>
        <v>1.0050000000000001</v>
      </c>
      <c r="U11" s="48">
        <f t="shared" si="79"/>
        <v>1.0573076923076923</v>
      </c>
      <c r="V11" s="151">
        <f t="shared" ca="1" si="80"/>
        <v>22.293464053352345</v>
      </c>
      <c r="W11" s="151">
        <f t="shared" ca="1" si="81"/>
        <v>22.293464053352345</v>
      </c>
      <c r="X11" s="71">
        <f t="shared" ca="1" si="82"/>
        <v>4.977617195499672</v>
      </c>
      <c r="Y11" s="71">
        <f t="shared" ca="1" si="83"/>
        <v>7.5514646569804382</v>
      </c>
      <c r="Z11" s="71">
        <f t="shared" ca="1" si="84"/>
        <v>4.977617195499672</v>
      </c>
      <c r="AA11" s="71">
        <f t="shared" ca="1" si="85"/>
        <v>6.9321966822990397</v>
      </c>
      <c r="AB11" s="71">
        <f t="shared" ca="1" si="86"/>
        <v>13.434489694377984</v>
      </c>
      <c r="AC11" s="71">
        <f t="shared" ca="1" si="87"/>
        <v>3.4660983411495199</v>
      </c>
      <c r="AD11" s="71">
        <f t="shared" ca="1" si="88"/>
        <v>3.917511111364524</v>
      </c>
      <c r="AE11" s="71">
        <f t="shared" ca="1" si="89"/>
        <v>5.0782371044748782</v>
      </c>
      <c r="AF11" s="71">
        <f t="shared" ca="1" si="90"/>
        <v>9.7131360490352812</v>
      </c>
      <c r="AG11" s="71">
        <f t="shared" ca="1" si="91"/>
        <v>2.5391185522374391</v>
      </c>
      <c r="AH11" s="71">
        <f t="shared" ca="1" si="92"/>
        <v>6.3371503272073184</v>
      </c>
      <c r="AI11" s="71">
        <f t="shared" ca="1" si="93"/>
        <v>12.359730518827746</v>
      </c>
      <c r="AJ11" s="71">
        <f t="shared" ca="1" si="94"/>
        <v>5.5618787334724846</v>
      </c>
      <c r="AK11" s="71">
        <f t="shared" ca="1" si="95"/>
        <v>2.7488418302431747</v>
      </c>
      <c r="AL11" s="71">
        <f t="shared" ca="1" si="96"/>
        <v>2.4265568633711769</v>
      </c>
      <c r="AM11" s="71">
        <f t="shared" ca="1" si="97"/>
        <v>10.129605229560999</v>
      </c>
      <c r="AN11" s="71">
        <f t="shared" ca="1" si="98"/>
        <v>9.5116187036196127</v>
      </c>
      <c r="AO11" s="71">
        <f t="shared" ca="1" si="99"/>
        <v>3.7230084969098418</v>
      </c>
      <c r="AP11" s="71">
        <f t="shared" ca="1" si="100"/>
        <v>1.3435945704423975</v>
      </c>
      <c r="AQ11" s="71">
        <f t="shared" ca="1" si="101"/>
        <v>3.6273122174820558</v>
      </c>
      <c r="AR11" s="71">
        <f t="shared" ca="1" si="102"/>
        <v>7.9800868784605221</v>
      </c>
      <c r="AS11" s="71">
        <f t="shared" ca="1" si="103"/>
        <v>1.8136561087410279</v>
      </c>
      <c r="AT11" s="71">
        <f t="shared" ca="1" si="104"/>
        <v>15.538363399697944</v>
      </c>
      <c r="AU11" s="71">
        <f t="shared" ca="1" si="105"/>
        <v>0.66648366026913786</v>
      </c>
      <c r="AV11" s="71">
        <f t="shared" ca="1" si="106"/>
        <v>2.3671516342989025</v>
      </c>
      <c r="AW11" s="71">
        <f t="shared" ca="1" si="107"/>
        <v>0.33324183013456893</v>
      </c>
      <c r="AX11" s="71">
        <f t="shared" ca="1" si="108"/>
        <v>2.5391185522374391</v>
      </c>
      <c r="AY11" s="71">
        <f t="shared" ca="1" si="109"/>
        <v>5.3737958777511938</v>
      </c>
      <c r="AZ11" s="71">
        <f t="shared" ca="1" si="110"/>
        <v>1.2695592761187195</v>
      </c>
      <c r="BA11" s="71">
        <f t="shared" ca="1" si="111"/>
        <v>16.460130720019009</v>
      </c>
      <c r="BB11" s="71">
        <f t="shared" ca="1" si="112"/>
        <v>1.2970797388314759</v>
      </c>
      <c r="BC11" s="71">
        <f t="shared" ca="1" si="113"/>
        <v>3.874865360063807</v>
      </c>
      <c r="BD11" s="71">
        <f t="shared" ca="1" si="114"/>
        <v>0.64853986941573794</v>
      </c>
      <c r="BE11" s="71">
        <f t="shared" ca="1" si="115"/>
        <v>3.9094365010639929</v>
      </c>
      <c r="BF11" s="71">
        <f t="shared" ca="1" si="116"/>
        <v>4.6752024136435377</v>
      </c>
      <c r="BG11" s="71">
        <f t="shared" ca="1" si="117"/>
        <v>14.501375164336746</v>
      </c>
      <c r="BH11" s="71">
        <f t="shared" ca="1" si="118"/>
        <v>3.9837228767635651</v>
      </c>
      <c r="BI11" s="71">
        <f t="shared" ca="1" si="119"/>
        <v>1.2355581701912477</v>
      </c>
      <c r="BJ11" s="71">
        <f t="shared" ca="1" si="120"/>
        <v>6.5157275017733216</v>
      </c>
      <c r="BK11" s="71">
        <f t="shared" ca="1" si="121"/>
        <v>3.5467052793157881</v>
      </c>
      <c r="BL11" s="71">
        <f t="shared" ca="1" si="122"/>
        <v>6.2713098043272426</v>
      </c>
      <c r="BM11" s="71">
        <f t="shared" ca="1" si="123"/>
        <v>3.8078209159632803</v>
      </c>
      <c r="BN11" s="71">
        <f t="shared" ca="1" si="124"/>
        <v>0.26659346410765511</v>
      </c>
      <c r="BO11" s="71">
        <f t="shared" ca="1" si="125"/>
        <v>2.418208144988037</v>
      </c>
      <c r="BP11" s="71">
        <f t="shared" ca="1" si="126"/>
        <v>0.913545299217703</v>
      </c>
      <c r="BQ11" s="71">
        <f t="shared" ca="1" si="127"/>
        <v>5.0203398696057979</v>
      </c>
      <c r="BR11" s="71">
        <f t="shared" ca="1" si="128"/>
        <v>5.5930614392777782</v>
      </c>
      <c r="BS11" s="71">
        <f t="shared" ca="1" si="129"/>
        <v>0.69211764720256619</v>
      </c>
      <c r="BT11" s="71">
        <f t="shared" ca="1" si="130"/>
        <v>3.815395073203347</v>
      </c>
      <c r="BU11" s="71">
        <f t="shared" ca="1" si="131"/>
        <v>3.2780154854282277</v>
      </c>
      <c r="BV11" s="71">
        <f t="shared" ca="1" si="132"/>
        <v>7.4893594776086498</v>
      </c>
      <c r="BW11" s="71">
        <f t="shared" ca="1" si="133"/>
        <v>4.8164915044477281</v>
      </c>
      <c r="BX11" s="71">
        <f t="shared" ca="1" si="134"/>
        <v>0.62034248378896673</v>
      </c>
      <c r="BY11" s="71">
        <f t="shared" ca="1" si="135"/>
        <v>3.815395073203347</v>
      </c>
      <c r="BZ11" s="71">
        <f t="shared" ca="1" si="136"/>
        <v>3.2780154854282277</v>
      </c>
      <c r="CA11" s="71">
        <f t="shared" ca="1" si="137"/>
        <v>10.386342484331994</v>
      </c>
      <c r="CB11" s="71">
        <f t="shared" ca="1" si="138"/>
        <v>3.886483661083679</v>
      </c>
      <c r="CC11" s="71">
        <f t="shared" ca="1" si="139"/>
        <v>0.7587660132294799</v>
      </c>
      <c r="CD11" s="71">
        <f t="shared" ca="1" si="140"/>
        <v>6.6828130723277184</v>
      </c>
      <c r="CE11" s="71">
        <f t="shared" ca="1" si="141"/>
        <v>3.1620614384632368</v>
      </c>
      <c r="CF11" s="71">
        <f t="shared" ca="1" si="142"/>
        <v>8.6877738574080716</v>
      </c>
      <c r="CG11" s="71">
        <f t="shared" ca="1" si="143"/>
        <v>3.1620614384632368</v>
      </c>
      <c r="CH11" s="71">
        <f t="shared" ca="1" si="144"/>
        <v>4.272994771905176</v>
      </c>
      <c r="CI11" s="71">
        <f t="shared" ca="1" si="145"/>
        <v>12.01858562237269</v>
      </c>
      <c r="CJ11" s="71">
        <f t="shared" ca="1" si="146"/>
        <v>4.272994771905176</v>
      </c>
      <c r="CK11" s="71">
        <f t="shared" ca="1" si="147"/>
        <v>4.1150326800047523</v>
      </c>
    </row>
    <row r="12" spans="1:89" x14ac:dyDescent="0.25">
      <c r="A12" t="str">
        <f>PLANTILLA!D13</f>
        <v>R. Forsyth</v>
      </c>
      <c r="B12" s="446">
        <f>PLANTILLA!E13</f>
        <v>29</v>
      </c>
      <c r="C12" s="95">
        <f ca="1">PLANTILLA!F13</f>
        <v>32</v>
      </c>
      <c r="D12" s="446" t="str">
        <f>PLANTILLA!G13</f>
        <v>POT</v>
      </c>
      <c r="E12" s="201">
        <f>PLANTILLA!O13</f>
        <v>43626</v>
      </c>
      <c r="F12" s="95">
        <f>PLANTILLA!Q13</f>
        <v>6</v>
      </c>
      <c r="G12" s="115">
        <f t="shared" si="74"/>
        <v>0.92582009977255142</v>
      </c>
      <c r="H12" s="115">
        <f t="shared" si="75"/>
        <v>0.99928545900129484</v>
      </c>
      <c r="I12" s="150">
        <f ca="1">PLANTILLA!P13</f>
        <v>1</v>
      </c>
      <c r="J12" s="151">
        <f>PLANTILLA!I13</f>
        <v>8</v>
      </c>
      <c r="K12" s="48">
        <f>PLANTILLA!X13</f>
        <v>0</v>
      </c>
      <c r="L12" s="48">
        <f>PLANTILLA!Y13</f>
        <v>11.76923076923077</v>
      </c>
      <c r="M12" s="48">
        <f>PLANTILLA!Z13</f>
        <v>15</v>
      </c>
      <c r="N12" s="48">
        <f>PLANTILLA!AA13</f>
        <v>3</v>
      </c>
      <c r="O12" s="48">
        <f>PLANTILLA!AB13</f>
        <v>4</v>
      </c>
      <c r="P12" s="48">
        <f>PLANTILLA!AC13</f>
        <v>7.5</v>
      </c>
      <c r="Q12" s="48">
        <f>PLANTILLA!AD13</f>
        <v>19</v>
      </c>
      <c r="R12" s="151">
        <f t="shared" si="76"/>
        <v>2.8461538461538463</v>
      </c>
      <c r="S12" s="151">
        <f t="shared" ca="1" si="77"/>
        <v>20.171105161669594</v>
      </c>
      <c r="T12" s="48">
        <f t="shared" si="78"/>
        <v>0.94499999999999995</v>
      </c>
      <c r="U12" s="48">
        <f t="shared" si="79"/>
        <v>1.0407692307692309</v>
      </c>
      <c r="V12" s="151">
        <f t="shared" ca="1" si="80"/>
        <v>19.63120047793166</v>
      </c>
      <c r="W12" s="151">
        <f t="shared" ca="1" si="81"/>
        <v>21.188968769586854</v>
      </c>
      <c r="X12" s="71">
        <f t="shared" ca="1" si="82"/>
        <v>5.1725044371663156</v>
      </c>
      <c r="Y12" s="71">
        <f t="shared" ca="1" si="83"/>
        <v>7.8474419745318755</v>
      </c>
      <c r="Z12" s="71">
        <f t="shared" ca="1" si="84"/>
        <v>5.1725044371663156</v>
      </c>
      <c r="AA12" s="71">
        <f t="shared" ca="1" si="85"/>
        <v>7.210248987973535</v>
      </c>
      <c r="AB12" s="71">
        <f t="shared" ca="1" si="86"/>
        <v>13.973350751886695</v>
      </c>
      <c r="AC12" s="71">
        <f t="shared" ca="1" si="87"/>
        <v>3.6051244939867675</v>
      </c>
      <c r="AD12" s="71">
        <f t="shared" ca="1" si="88"/>
        <v>4.0945805558721098</v>
      </c>
      <c r="AE12" s="71">
        <f t="shared" ca="1" si="89"/>
        <v>5.2819265842131706</v>
      </c>
      <c r="AF12" s="71">
        <f t="shared" ca="1" si="90"/>
        <v>10.10273259361408</v>
      </c>
      <c r="AG12" s="71">
        <f t="shared" ca="1" si="91"/>
        <v>2.6409632921065853</v>
      </c>
      <c r="AH12" s="71">
        <f t="shared" ca="1" si="92"/>
        <v>6.6235861933225308</v>
      </c>
      <c r="AI12" s="71">
        <f t="shared" ca="1" si="93"/>
        <v>12.855482691735761</v>
      </c>
      <c r="AJ12" s="71">
        <f t="shared" ca="1" si="94"/>
        <v>5.7849672112810913</v>
      </c>
      <c r="AK12" s="71">
        <f t="shared" ca="1" si="95"/>
        <v>2.8730880371035394</v>
      </c>
      <c r="AL12" s="71">
        <f t="shared" ca="1" si="96"/>
        <v>3.0600225498016838</v>
      </c>
      <c r="AM12" s="71">
        <f t="shared" ca="1" si="97"/>
        <v>10.535906466922569</v>
      </c>
      <c r="AN12" s="71">
        <f t="shared" ca="1" si="98"/>
        <v>9.8931323323357798</v>
      </c>
      <c r="AO12" s="71">
        <f t="shared" ca="1" si="99"/>
        <v>3.5410880371035396</v>
      </c>
      <c r="AP12" s="71">
        <f t="shared" ca="1" si="100"/>
        <v>1.4544788626972138</v>
      </c>
      <c r="AQ12" s="71">
        <f t="shared" ca="1" si="101"/>
        <v>3.7728047030094078</v>
      </c>
      <c r="AR12" s="71">
        <f t="shared" ca="1" si="102"/>
        <v>8.3001703466206962</v>
      </c>
      <c r="AS12" s="71">
        <f t="shared" ca="1" si="103"/>
        <v>1.8864023515047039</v>
      </c>
      <c r="AT12" s="71">
        <f t="shared" ca="1" si="104"/>
        <v>16.240689263627193</v>
      </c>
      <c r="AU12" s="71">
        <f t="shared" ca="1" si="105"/>
        <v>0.80653559774527028</v>
      </c>
      <c r="AV12" s="71">
        <f t="shared" ca="1" si="106"/>
        <v>2.4233071549181857</v>
      </c>
      <c r="AW12" s="71">
        <f t="shared" ca="1" si="107"/>
        <v>0.40326779887263514</v>
      </c>
      <c r="AX12" s="71">
        <f t="shared" ca="1" si="108"/>
        <v>2.6409632921065853</v>
      </c>
      <c r="AY12" s="71">
        <f t="shared" ca="1" si="109"/>
        <v>5.589340300754678</v>
      </c>
      <c r="AZ12" s="71">
        <f t="shared" ca="1" si="110"/>
        <v>1.3204816460532927</v>
      </c>
      <c r="BA12" s="71">
        <f t="shared" ca="1" si="111"/>
        <v>17.204119982655925</v>
      </c>
      <c r="BB12" s="71">
        <f t="shared" ca="1" si="112"/>
        <v>1.569642355611949</v>
      </c>
      <c r="BC12" s="71">
        <f t="shared" ca="1" si="113"/>
        <v>4.1534701104434149</v>
      </c>
      <c r="BD12" s="71">
        <f t="shared" ca="1" si="114"/>
        <v>0.78482117780597449</v>
      </c>
      <c r="BE12" s="71">
        <f t="shared" ca="1" si="115"/>
        <v>4.0662450687990281</v>
      </c>
      <c r="BF12" s="71">
        <f t="shared" ca="1" si="116"/>
        <v>4.86272606165657</v>
      </c>
      <c r="BG12" s="71">
        <f t="shared" ca="1" si="117"/>
        <v>15.15682970471987</v>
      </c>
      <c r="BH12" s="71">
        <f t="shared" ca="1" si="118"/>
        <v>4.9414626645811168</v>
      </c>
      <c r="BI12" s="71">
        <f t="shared" ca="1" si="119"/>
        <v>1.4951929158200779</v>
      </c>
      <c r="BJ12" s="71">
        <f t="shared" ca="1" si="120"/>
        <v>6.7770751146650472</v>
      </c>
      <c r="BK12" s="71">
        <f t="shared" ca="1" si="121"/>
        <v>3.6889645984980879</v>
      </c>
      <c r="BL12" s="71">
        <f t="shared" ca="1" si="122"/>
        <v>6.5547697133919076</v>
      </c>
      <c r="BM12" s="71">
        <f t="shared" ca="1" si="123"/>
        <v>4.7494008648412791</v>
      </c>
      <c r="BN12" s="71">
        <f t="shared" ca="1" si="124"/>
        <v>0.3226142390981081</v>
      </c>
      <c r="BO12" s="71">
        <f t="shared" ca="1" si="125"/>
        <v>2.5152031353396049</v>
      </c>
      <c r="BP12" s="71">
        <f t="shared" ca="1" si="126"/>
        <v>0.95018785112829529</v>
      </c>
      <c r="BQ12" s="71">
        <f t="shared" ca="1" si="127"/>
        <v>5.2472565947100573</v>
      </c>
      <c r="BR12" s="71">
        <f t="shared" ca="1" si="128"/>
        <v>6.9784982976955199</v>
      </c>
      <c r="BS12" s="71">
        <f t="shared" ca="1" si="129"/>
        <v>0.83755619765854994</v>
      </c>
      <c r="BT12" s="71">
        <f t="shared" ca="1" si="130"/>
        <v>3.9684316135358211</v>
      </c>
      <c r="BU12" s="71">
        <f t="shared" ca="1" si="131"/>
        <v>3.4094975834603534</v>
      </c>
      <c r="BV12" s="71">
        <f t="shared" ca="1" si="132"/>
        <v>7.8278745921084463</v>
      </c>
      <c r="BW12" s="71">
        <f t="shared" ca="1" si="133"/>
        <v>6.0101649407827642</v>
      </c>
      <c r="BX12" s="71">
        <f t="shared" ca="1" si="134"/>
        <v>0.75069851790136688</v>
      </c>
      <c r="BY12" s="71">
        <f t="shared" ca="1" si="135"/>
        <v>3.9684316135358211</v>
      </c>
      <c r="BZ12" s="71">
        <f t="shared" ca="1" si="136"/>
        <v>3.4094975834603534</v>
      </c>
      <c r="CA12" s="71">
        <f t="shared" ca="1" si="137"/>
        <v>10.855799709055889</v>
      </c>
      <c r="CB12" s="71">
        <f t="shared" ca="1" si="138"/>
        <v>4.8506873844770526</v>
      </c>
      <c r="CC12" s="71">
        <f t="shared" ca="1" si="139"/>
        <v>0.91820975743307687</v>
      </c>
      <c r="CD12" s="71">
        <f t="shared" ca="1" si="140"/>
        <v>6.9848727129583059</v>
      </c>
      <c r="CE12" s="71">
        <f t="shared" ca="1" si="141"/>
        <v>3.5328465109637368</v>
      </c>
      <c r="CF12" s="71">
        <f t="shared" ca="1" si="142"/>
        <v>9.0263391004705724</v>
      </c>
      <c r="CG12" s="71">
        <f t="shared" ca="1" si="143"/>
        <v>3.5328465109637368</v>
      </c>
      <c r="CH12" s="71">
        <f t="shared" ca="1" si="144"/>
        <v>4.5541667491946409</v>
      </c>
      <c r="CI12" s="71">
        <f t="shared" ca="1" si="145"/>
        <v>11.993440256255962</v>
      </c>
      <c r="CJ12" s="71">
        <f t="shared" ca="1" si="146"/>
        <v>4.5541667491946409</v>
      </c>
      <c r="CK12" s="71">
        <f t="shared" ca="1" si="147"/>
        <v>4.3010299956639813</v>
      </c>
    </row>
    <row r="13" spans="1:89" x14ac:dyDescent="0.25">
      <c r="A13" t="str">
        <f>PLANTILLA!D14</f>
        <v>Dusty Ware</v>
      </c>
      <c r="B13" s="446">
        <f>PLANTILLA!E14</f>
        <v>30</v>
      </c>
      <c r="C13" s="95">
        <f ca="1">PLANTILLA!F14</f>
        <v>14</v>
      </c>
      <c r="D13" s="446" t="str">
        <f>PLANTILLA!G14</f>
        <v>POT</v>
      </c>
      <c r="E13" s="201">
        <f>PLANTILLA!O14</f>
        <v>44354</v>
      </c>
      <c r="F13" s="95">
        <f>PLANTILLA!Q14</f>
        <v>6</v>
      </c>
      <c r="G13" s="115">
        <f t="shared" si="74"/>
        <v>0.92582009977255142</v>
      </c>
      <c r="H13" s="115">
        <f t="shared" si="75"/>
        <v>0.99928545900129484</v>
      </c>
      <c r="I13" s="150">
        <f ca="1">PLANTILLA!P14</f>
        <v>1</v>
      </c>
      <c r="J13" s="151">
        <f>PLANTILLA!I14</f>
        <v>9</v>
      </c>
      <c r="K13" s="48">
        <f>PLANTILLA!X14</f>
        <v>0</v>
      </c>
      <c r="L13" s="48">
        <f>PLANTILLA!Y14</f>
        <v>11.384615384615385</v>
      </c>
      <c r="M13" s="48">
        <f>PLANTILLA!Z14</f>
        <v>15.095238095238095</v>
      </c>
      <c r="N13" s="48">
        <f>PLANTILLA!AA14</f>
        <v>4</v>
      </c>
      <c r="O13" s="48">
        <f>PLANTILLA!AB14</f>
        <v>3</v>
      </c>
      <c r="P13" s="48">
        <f>PLANTILLA!AC14</f>
        <v>9</v>
      </c>
      <c r="Q13" s="48">
        <f>PLANTILLA!AD14</f>
        <v>18.25</v>
      </c>
      <c r="R13" s="151">
        <f t="shared" si="76"/>
        <v>2.5480769230769234</v>
      </c>
      <c r="S13" s="151">
        <f t="shared" ca="1" si="77"/>
        <v>22.399334594481211</v>
      </c>
      <c r="T13" s="48">
        <f t="shared" si="78"/>
        <v>0.99749999999999994</v>
      </c>
      <c r="U13" s="48">
        <f t="shared" si="79"/>
        <v>1.0028846153846154</v>
      </c>
      <c r="V13" s="151">
        <f t="shared" ca="1" si="80"/>
        <v>18.999979447683383</v>
      </c>
      <c r="W13" s="151">
        <f t="shared" ca="1" si="81"/>
        <v>20.507659304499757</v>
      </c>
      <c r="X13" s="71">
        <f t="shared" ca="1" si="82"/>
        <v>5.1258921271412206</v>
      </c>
      <c r="Y13" s="71">
        <f t="shared" ca="1" si="83"/>
        <v>7.7720309780430963</v>
      </c>
      <c r="Z13" s="71">
        <f t="shared" ca="1" si="84"/>
        <v>5.1258921271412206</v>
      </c>
      <c r="AA13" s="71">
        <f t="shared" ca="1" si="85"/>
        <v>7.0469803849557939</v>
      </c>
      <c r="AB13" s="71">
        <f t="shared" ca="1" si="86"/>
        <v>13.656938730534485</v>
      </c>
      <c r="AC13" s="71">
        <f t="shared" ca="1" si="87"/>
        <v>3.523490192477897</v>
      </c>
      <c r="AD13" s="71">
        <f t="shared" ca="1" si="88"/>
        <v>4.1334796229954129</v>
      </c>
      <c r="AE13" s="71">
        <f t="shared" ca="1" si="89"/>
        <v>5.1623228401420356</v>
      </c>
      <c r="AF13" s="71">
        <f t="shared" ca="1" si="90"/>
        <v>9.8739667021764319</v>
      </c>
      <c r="AG13" s="71">
        <f t="shared" ca="1" si="91"/>
        <v>2.5811614200710178</v>
      </c>
      <c r="AH13" s="71">
        <f t="shared" ca="1" si="92"/>
        <v>6.6865111548455207</v>
      </c>
      <c r="AI13" s="71">
        <f t="shared" ca="1" si="93"/>
        <v>12.564383632091726</v>
      </c>
      <c r="AJ13" s="71">
        <f t="shared" ca="1" si="94"/>
        <v>5.653972634441276</v>
      </c>
      <c r="AK13" s="71">
        <f t="shared" ca="1" si="95"/>
        <v>2.900382760673252</v>
      </c>
      <c r="AL13" s="71">
        <f t="shared" ca="1" si="96"/>
        <v>3.6881261274004302</v>
      </c>
      <c r="AM13" s="71">
        <f t="shared" ca="1" si="97"/>
        <v>10.297331802823001</v>
      </c>
      <c r="AN13" s="71">
        <f t="shared" ca="1" si="98"/>
        <v>9.6691126212184155</v>
      </c>
      <c r="AO13" s="71">
        <f t="shared" ca="1" si="99"/>
        <v>3.4272279987684899</v>
      </c>
      <c r="AP13" s="71">
        <f t="shared" ca="1" si="100"/>
        <v>1.3882752774708544</v>
      </c>
      <c r="AQ13" s="71">
        <f t="shared" ca="1" si="101"/>
        <v>3.6873734572443113</v>
      </c>
      <c r="AR13" s="71">
        <f t="shared" ca="1" si="102"/>
        <v>8.1122216059374832</v>
      </c>
      <c r="AS13" s="71">
        <f t="shared" ca="1" si="103"/>
        <v>1.8436867286221557</v>
      </c>
      <c r="AT13" s="71">
        <f t="shared" ca="1" si="104"/>
        <v>16.394978000452394</v>
      </c>
      <c r="AU13" s="71">
        <f t="shared" ca="1" si="105"/>
        <v>0.68540203496948293</v>
      </c>
      <c r="AV13" s="71">
        <f t="shared" ca="1" si="106"/>
        <v>2.5827907403542962</v>
      </c>
      <c r="AW13" s="71">
        <f t="shared" ca="1" si="107"/>
        <v>0.34270101748474147</v>
      </c>
      <c r="AX13" s="71">
        <f t="shared" ca="1" si="108"/>
        <v>2.5811614200710178</v>
      </c>
      <c r="AY13" s="71">
        <f t="shared" ca="1" si="109"/>
        <v>5.4627754922137939</v>
      </c>
      <c r="AZ13" s="71">
        <f t="shared" ca="1" si="110"/>
        <v>1.2905807100355089</v>
      </c>
      <c r="BA13" s="71">
        <f t="shared" ca="1" si="111"/>
        <v>17.367561441157196</v>
      </c>
      <c r="BB13" s="71">
        <f t="shared" ca="1" si="112"/>
        <v>1.3338978065175322</v>
      </c>
      <c r="BC13" s="71">
        <f t="shared" ca="1" si="113"/>
        <v>4.1650501636014239</v>
      </c>
      <c r="BD13" s="71">
        <f t="shared" ca="1" si="114"/>
        <v>0.6669489032587661</v>
      </c>
      <c r="BE13" s="71">
        <f t="shared" ca="1" si="115"/>
        <v>3.9741691705855349</v>
      </c>
      <c r="BF13" s="71">
        <f t="shared" ca="1" si="116"/>
        <v>4.7526146782260001</v>
      </c>
      <c r="BG13" s="71">
        <f t="shared" ca="1" si="117"/>
        <v>15.30082162965949</v>
      </c>
      <c r="BH13" s="71">
        <f t="shared" ca="1" si="118"/>
        <v>5.2610954545220796</v>
      </c>
      <c r="BI13" s="71">
        <f t="shared" ca="1" si="119"/>
        <v>1.2706299263665031</v>
      </c>
      <c r="BJ13" s="71">
        <f t="shared" ca="1" si="120"/>
        <v>6.6236152843092251</v>
      </c>
      <c r="BK13" s="71">
        <f t="shared" ca="1" si="121"/>
        <v>3.6054318248611041</v>
      </c>
      <c r="BL13" s="71">
        <f t="shared" ca="1" si="122"/>
        <v>6.6170409090808917</v>
      </c>
      <c r="BM13" s="71">
        <f t="shared" ca="1" si="123"/>
        <v>5.2810106043332938</v>
      </c>
      <c r="BN13" s="71">
        <f t="shared" ca="1" si="124"/>
        <v>0.27416081398779318</v>
      </c>
      <c r="BO13" s="71">
        <f t="shared" ca="1" si="125"/>
        <v>2.4582489714962072</v>
      </c>
      <c r="BP13" s="71">
        <f t="shared" ca="1" si="126"/>
        <v>0.92867183367634498</v>
      </c>
      <c r="BQ13" s="71">
        <f t="shared" ca="1" si="127"/>
        <v>5.2971062395529449</v>
      </c>
      <c r="BR13" s="71">
        <f t="shared" ca="1" si="128"/>
        <v>7.7802078228519616</v>
      </c>
      <c r="BS13" s="71">
        <f t="shared" ca="1" si="129"/>
        <v>0.71176365169907851</v>
      </c>
      <c r="BT13" s="71">
        <f t="shared" ca="1" si="130"/>
        <v>3.8785705994717934</v>
      </c>
      <c r="BU13" s="71">
        <f t="shared" ca="1" si="131"/>
        <v>3.332293050250414</v>
      </c>
      <c r="BV13" s="71">
        <f t="shared" ca="1" si="132"/>
        <v>7.9022404557265249</v>
      </c>
      <c r="BW13" s="71">
        <f t="shared" ca="1" si="133"/>
        <v>6.7057342672783626</v>
      </c>
      <c r="BX13" s="71">
        <f t="shared" ca="1" si="134"/>
        <v>0.63795112485621108</v>
      </c>
      <c r="BY13" s="71">
        <f t="shared" ca="1" si="135"/>
        <v>3.8785705994717934</v>
      </c>
      <c r="BZ13" s="71">
        <f t="shared" ca="1" si="136"/>
        <v>3.332293050250414</v>
      </c>
      <c r="CA13" s="71">
        <f t="shared" ca="1" si="137"/>
        <v>10.958931269370192</v>
      </c>
      <c r="CB13" s="71">
        <f t="shared" ca="1" si="138"/>
        <v>5.4207293945975943</v>
      </c>
      <c r="CC13" s="71">
        <f t="shared" ca="1" si="139"/>
        <v>0.78030385519602674</v>
      </c>
      <c r="CD13" s="71">
        <f t="shared" ca="1" si="140"/>
        <v>7.0512299451098226</v>
      </c>
      <c r="CE13" s="71">
        <f t="shared" ca="1" si="141"/>
        <v>3.652880463223851</v>
      </c>
      <c r="CF13" s="71">
        <f t="shared" ca="1" si="142"/>
        <v>9.4346360875049058</v>
      </c>
      <c r="CG13" s="71">
        <f t="shared" ca="1" si="143"/>
        <v>3.652880463223851</v>
      </c>
      <c r="CH13" s="71">
        <f t="shared" ca="1" si="144"/>
        <v>5.0656574445075995</v>
      </c>
      <c r="CI13" s="71">
        <f t="shared" ca="1" si="145"/>
        <v>13.217810660563247</v>
      </c>
      <c r="CJ13" s="71">
        <f t="shared" ca="1" si="146"/>
        <v>5.0656574445075995</v>
      </c>
      <c r="CK13" s="71">
        <f t="shared" ca="1" si="147"/>
        <v>4.3418903602892991</v>
      </c>
    </row>
    <row r="14" spans="1:89" x14ac:dyDescent="0.25">
      <c r="A14" t="str">
        <f>PLANTILLA!D11</f>
        <v>S. Kariuki</v>
      </c>
      <c r="B14" s="446">
        <f>PLANTILLA!E11</f>
        <v>29</v>
      </c>
      <c r="C14" s="95">
        <f ca="1">PLANTILLA!F11</f>
        <v>90</v>
      </c>
      <c r="D14" s="446" t="str">
        <f>PLANTILLA!G11</f>
        <v>CAB</v>
      </c>
      <c r="E14" s="201">
        <f>PLANTILLA!O11</f>
        <v>44652</v>
      </c>
      <c r="F14" s="95">
        <f>PLANTILLA!Q11</f>
        <v>6</v>
      </c>
      <c r="G14" s="115">
        <f t="shared" si="74"/>
        <v>0.92582009977255142</v>
      </c>
      <c r="H14" s="115">
        <f t="shared" si="75"/>
        <v>0.99928545900129484</v>
      </c>
      <c r="I14" s="150">
        <f ca="1">PLANTILLA!P11</f>
        <v>0.53380177226389258</v>
      </c>
      <c r="J14" s="151">
        <f>PLANTILLA!I11</f>
        <v>9</v>
      </c>
      <c r="K14" s="48">
        <f>PLANTILLA!X11</f>
        <v>0</v>
      </c>
      <c r="L14" s="48">
        <f>PLANTILLA!Y11</f>
        <v>13</v>
      </c>
      <c r="M14" s="48">
        <f>PLANTILLA!Z11</f>
        <v>14</v>
      </c>
      <c r="N14" s="48">
        <f>PLANTILLA!AA11</f>
        <v>2</v>
      </c>
      <c r="O14" s="48">
        <f>PLANTILLA!AB11</f>
        <v>2</v>
      </c>
      <c r="P14" s="48">
        <f>PLANTILLA!AC11</f>
        <v>7</v>
      </c>
      <c r="Q14" s="48">
        <f>PLANTILLA!AD11</f>
        <v>19</v>
      </c>
      <c r="R14" s="151">
        <f t="shared" si="76"/>
        <v>2.5</v>
      </c>
      <c r="S14" s="151">
        <f t="shared" ca="1" si="77"/>
        <v>18.461536511184413</v>
      </c>
      <c r="T14" s="48">
        <f t="shared" si="78"/>
        <v>0.91999999999999993</v>
      </c>
      <c r="U14" s="48">
        <f t="shared" si="79"/>
        <v>1.0900000000000001</v>
      </c>
      <c r="V14" s="151">
        <f t="shared" ca="1" si="80"/>
        <v>19.335471132254085</v>
      </c>
      <c r="W14" s="151">
        <f t="shared" ca="1" si="81"/>
        <v>20.869772810233446</v>
      </c>
      <c r="X14" s="71">
        <f t="shared" ca="1" si="82"/>
        <v>5.1647472281737521</v>
      </c>
      <c r="Y14" s="71">
        <f t="shared" ca="1" si="83"/>
        <v>7.8567075275742431</v>
      </c>
      <c r="Z14" s="71">
        <f t="shared" ca="1" si="84"/>
        <v>5.1647472281737521</v>
      </c>
      <c r="AA14" s="71">
        <f t="shared" ca="1" si="85"/>
        <v>7.6399605609824244</v>
      </c>
      <c r="AB14" s="71">
        <f t="shared" ca="1" si="86"/>
        <v>14.806125118182992</v>
      </c>
      <c r="AC14" s="71">
        <f t="shared" ca="1" si="87"/>
        <v>3.8199802804912122</v>
      </c>
      <c r="AD14" s="71">
        <f t="shared" ca="1" si="88"/>
        <v>3.7618577781275517</v>
      </c>
      <c r="AE14" s="71">
        <f t="shared" ca="1" si="89"/>
        <v>5.5967152946731709</v>
      </c>
      <c r="AF14" s="71">
        <f t="shared" ca="1" si="90"/>
        <v>10.704828460446302</v>
      </c>
      <c r="AG14" s="71">
        <f t="shared" ca="1" si="91"/>
        <v>2.7983576473365854</v>
      </c>
      <c r="AH14" s="71">
        <f t="shared" ca="1" si="92"/>
        <v>6.0853581705004522</v>
      </c>
      <c r="AI14" s="71">
        <f t="shared" ca="1" si="93"/>
        <v>13.621635108728354</v>
      </c>
      <c r="AJ14" s="71">
        <f t="shared" ca="1" si="94"/>
        <v>6.1297357989277588</v>
      </c>
      <c r="AK14" s="71">
        <f t="shared" ca="1" si="95"/>
        <v>2.6396228947365596</v>
      </c>
      <c r="AL14" s="71">
        <f t="shared" ca="1" si="96"/>
        <v>2.2380015694915993</v>
      </c>
      <c r="AM14" s="71">
        <f t="shared" ca="1" si="97"/>
        <v>11.163818339109977</v>
      </c>
      <c r="AN14" s="71">
        <f t="shared" ca="1" si="98"/>
        <v>10.482736583673558</v>
      </c>
      <c r="AO14" s="71">
        <f t="shared" ca="1" si="99"/>
        <v>3.4746228947365601</v>
      </c>
      <c r="AP14" s="71">
        <f t="shared" ca="1" si="100"/>
        <v>1.2401640340367017</v>
      </c>
      <c r="AQ14" s="71">
        <f t="shared" ca="1" si="101"/>
        <v>3.997653781909408</v>
      </c>
      <c r="AR14" s="71">
        <f t="shared" ca="1" si="102"/>
        <v>8.7948383202006966</v>
      </c>
      <c r="AS14" s="71">
        <f t="shared" ca="1" si="103"/>
        <v>1.998826890954704</v>
      </c>
      <c r="AT14" s="71">
        <f t="shared" ca="1" si="104"/>
        <v>14.920982111564744</v>
      </c>
      <c r="AU14" s="71">
        <f t="shared" ca="1" si="105"/>
        <v>0.49479626536378896</v>
      </c>
      <c r="AV14" s="71">
        <f t="shared" ca="1" si="106"/>
        <v>1.9801946596276165</v>
      </c>
      <c r="AW14" s="71">
        <f t="shared" ca="1" si="107"/>
        <v>0.24739813268189448</v>
      </c>
      <c r="AX14" s="71">
        <f t="shared" ca="1" si="108"/>
        <v>2.7983576473365854</v>
      </c>
      <c r="AY14" s="71">
        <f t="shared" ca="1" si="109"/>
        <v>5.9224500472731973</v>
      </c>
      <c r="AZ14" s="71">
        <f t="shared" ca="1" si="110"/>
        <v>1.3991788236682927</v>
      </c>
      <c r="BA14" s="71">
        <f t="shared" ca="1" si="111"/>
        <v>15.806125118182992</v>
      </c>
      <c r="BB14" s="71">
        <f t="shared" ca="1" si="112"/>
        <v>0.96294965490029705</v>
      </c>
      <c r="BC14" s="71">
        <f t="shared" ca="1" si="113"/>
        <v>3.1471749401188287</v>
      </c>
      <c r="BD14" s="71">
        <f t="shared" ca="1" si="114"/>
        <v>0.48147482745014852</v>
      </c>
      <c r="BE14" s="71">
        <f t="shared" ca="1" si="115"/>
        <v>4.3085824093912501</v>
      </c>
      <c r="BF14" s="71">
        <f t="shared" ca="1" si="116"/>
        <v>5.1525315411276811</v>
      </c>
      <c r="BG14" s="71">
        <f t="shared" ca="1" si="117"/>
        <v>13.925196229119216</v>
      </c>
      <c r="BH14" s="71">
        <f t="shared" ca="1" si="118"/>
        <v>3.3836452300646798</v>
      </c>
      <c r="BI14" s="71">
        <f t="shared" ca="1" si="119"/>
        <v>0.91727615348210101</v>
      </c>
      <c r="BJ14" s="71">
        <f t="shared" ca="1" si="120"/>
        <v>7.1809706823187511</v>
      </c>
      <c r="BK14" s="71">
        <f t="shared" ca="1" si="121"/>
        <v>3.9088170312003099</v>
      </c>
      <c r="BL14" s="71">
        <f t="shared" ca="1" si="122"/>
        <v>6.0221336700277197</v>
      </c>
      <c r="BM14" s="71">
        <f t="shared" ca="1" si="123"/>
        <v>3.3265533532919354</v>
      </c>
      <c r="BN14" s="71">
        <f t="shared" ca="1" si="124"/>
        <v>0.19791850614551557</v>
      </c>
      <c r="BO14" s="71">
        <f t="shared" ca="1" si="125"/>
        <v>2.6651025212729387</v>
      </c>
      <c r="BP14" s="71">
        <f t="shared" ca="1" si="126"/>
        <v>1.0068165080364435</v>
      </c>
      <c r="BQ14" s="71">
        <f t="shared" ca="1" si="127"/>
        <v>4.8208681610458122</v>
      </c>
      <c r="BR14" s="71">
        <f t="shared" ca="1" si="128"/>
        <v>4.8946769019833276</v>
      </c>
      <c r="BS14" s="71">
        <f t="shared" ca="1" si="129"/>
        <v>0.51382689095470391</v>
      </c>
      <c r="BT14" s="71">
        <f t="shared" ca="1" si="130"/>
        <v>4.2049395335639694</v>
      </c>
      <c r="BU14" s="71">
        <f t="shared" ca="1" si="131"/>
        <v>3.6126945288366499</v>
      </c>
      <c r="BV14" s="71">
        <f t="shared" ca="1" si="132"/>
        <v>7.1917869287732614</v>
      </c>
      <c r="BW14" s="71">
        <f t="shared" ca="1" si="133"/>
        <v>4.2171866309467552</v>
      </c>
      <c r="BX14" s="71">
        <f t="shared" ca="1" si="134"/>
        <v>0.46054113930014201</v>
      </c>
      <c r="BY14" s="71">
        <f t="shared" ca="1" si="135"/>
        <v>4.2049395335639694</v>
      </c>
      <c r="BZ14" s="71">
        <f t="shared" ca="1" si="136"/>
        <v>3.6126945288366499</v>
      </c>
      <c r="CA14" s="71">
        <f t="shared" ca="1" si="137"/>
        <v>9.9736649495734682</v>
      </c>
      <c r="CB14" s="71">
        <f t="shared" ca="1" si="138"/>
        <v>3.4064819807737781</v>
      </c>
      <c r="CC14" s="71">
        <f t="shared" ca="1" si="139"/>
        <v>0.56330651749108285</v>
      </c>
      <c r="CD14" s="71">
        <f t="shared" ca="1" si="140"/>
        <v>6.4172867979822952</v>
      </c>
      <c r="CE14" s="71">
        <f t="shared" ca="1" si="141"/>
        <v>2.617991186573339</v>
      </c>
      <c r="CF14" s="71">
        <f t="shared" ca="1" si="142"/>
        <v>7.2006968830740492</v>
      </c>
      <c r="CG14" s="71">
        <f t="shared" ca="1" si="143"/>
        <v>2.617991186573339</v>
      </c>
      <c r="CH14" s="71">
        <f t="shared" ca="1" si="144"/>
        <v>3.792427487839392</v>
      </c>
      <c r="CI14" s="71">
        <f t="shared" ca="1" si="145"/>
        <v>10.210585286792515</v>
      </c>
      <c r="CJ14" s="71">
        <f t="shared" ca="1" si="146"/>
        <v>3.792427487839392</v>
      </c>
      <c r="CK14" s="71">
        <f t="shared" ca="1" si="147"/>
        <v>3.951531279545748</v>
      </c>
    </row>
    <row r="15" spans="1:89" x14ac:dyDescent="0.25">
      <c r="A15" t="str">
        <f>PLANTILLA!D10</f>
        <v>K. Polyukhov</v>
      </c>
      <c r="B15" s="446">
        <f>PLANTILLA!E10</f>
        <v>30</v>
      </c>
      <c r="C15" s="95">
        <f ca="1">PLANTILLA!F10</f>
        <v>98</v>
      </c>
      <c r="D15" s="446" t="str">
        <f>PLANTILLA!G10</f>
        <v>IMP</v>
      </c>
      <c r="E15" s="201">
        <f>PLANTILLA!O10</f>
        <v>44531</v>
      </c>
      <c r="F15" s="95">
        <f>PLANTILLA!Q10</f>
        <v>7</v>
      </c>
      <c r="G15" s="115">
        <f t="shared" si="74"/>
        <v>1</v>
      </c>
      <c r="H15" s="115">
        <f t="shared" si="75"/>
        <v>1</v>
      </c>
      <c r="I15" s="150">
        <f ca="1">PLANTILLA!P10</f>
        <v>0.82123776531293857</v>
      </c>
      <c r="J15" s="151">
        <f>PLANTILLA!I10</f>
        <v>9</v>
      </c>
      <c r="K15" s="48">
        <f>PLANTILLA!X10</f>
        <v>0</v>
      </c>
      <c r="L15" s="48">
        <f>PLANTILLA!Y10</f>
        <v>14.590909090909092</v>
      </c>
      <c r="M15" s="48">
        <f>PLANTILLA!Z10</f>
        <v>13</v>
      </c>
      <c r="N15" s="48">
        <f>PLANTILLA!AA10</f>
        <v>1</v>
      </c>
      <c r="O15" s="48">
        <f>PLANTILLA!AB10</f>
        <v>9</v>
      </c>
      <c r="P15" s="48">
        <f>PLANTILLA!AC10</f>
        <v>9</v>
      </c>
      <c r="Q15" s="48">
        <f>PLANTILLA!AD10</f>
        <v>16</v>
      </c>
      <c r="R15" s="151">
        <f t="shared" si="76"/>
        <v>4.4488636363636367</v>
      </c>
      <c r="S15" s="151">
        <f t="shared" ca="1" si="77"/>
        <v>20.766770055822803</v>
      </c>
      <c r="T15" s="48">
        <f t="shared" si="78"/>
        <v>0.93</v>
      </c>
      <c r="U15" s="48">
        <f t="shared" si="79"/>
        <v>1.0636363636363637</v>
      </c>
      <c r="V15" s="151">
        <f t="shared" ca="1" si="80"/>
        <v>18.129714183063427</v>
      </c>
      <c r="W15" s="151">
        <f t="shared" ca="1" si="81"/>
        <v>18.129714183063427</v>
      </c>
      <c r="X15" s="71">
        <f t="shared" ca="1" si="82"/>
        <v>5.85476975919648</v>
      </c>
      <c r="Y15" s="71">
        <f t="shared" ca="1" si="83"/>
        <v>8.9039237582369264</v>
      </c>
      <c r="Z15" s="71">
        <f t="shared" ca="1" si="84"/>
        <v>5.85476975919648</v>
      </c>
      <c r="AA15" s="71">
        <f t="shared" ca="1" si="85"/>
        <v>8.6091866243048241</v>
      </c>
      <c r="AB15" s="71">
        <f t="shared" ca="1" si="86"/>
        <v>16.684470202141132</v>
      </c>
      <c r="AC15" s="71">
        <f t="shared" ca="1" si="87"/>
        <v>4.304593312152412</v>
      </c>
      <c r="AD15" s="71">
        <f t="shared" ca="1" si="88"/>
        <v>3.5922675444732248</v>
      </c>
      <c r="AE15" s="71">
        <f t="shared" ca="1" si="89"/>
        <v>6.3067297364093475</v>
      </c>
      <c r="AF15" s="71">
        <f t="shared" ca="1" si="90"/>
        <v>12.062871956148038</v>
      </c>
      <c r="AG15" s="71">
        <f t="shared" ca="1" si="91"/>
        <v>3.1533648682046738</v>
      </c>
      <c r="AH15" s="71">
        <f t="shared" ca="1" si="92"/>
        <v>5.8110210278243351</v>
      </c>
      <c r="AI15" s="71">
        <f t="shared" ca="1" si="93"/>
        <v>15.349712585969842</v>
      </c>
      <c r="AJ15" s="71">
        <f t="shared" ca="1" si="94"/>
        <v>6.9073706636864278</v>
      </c>
      <c r="AK15" s="71">
        <f t="shared" ca="1" si="95"/>
        <v>2.5206247055757505</v>
      </c>
      <c r="AL15" s="71">
        <f t="shared" ca="1" si="96"/>
        <v>1.8190139334044386</v>
      </c>
      <c r="AM15" s="71">
        <f t="shared" ca="1" si="97"/>
        <v>12.580090532414413</v>
      </c>
      <c r="AN15" s="71">
        <f t="shared" ca="1" si="98"/>
        <v>11.81260490311592</v>
      </c>
      <c r="AO15" s="71">
        <f t="shared" ca="1" si="99"/>
        <v>3.0216247055757512</v>
      </c>
      <c r="AP15" s="71">
        <f t="shared" ca="1" si="100"/>
        <v>1.8842183273075541</v>
      </c>
      <c r="AQ15" s="71">
        <f t="shared" ca="1" si="101"/>
        <v>4.5048069545781058</v>
      </c>
      <c r="AR15" s="71">
        <f t="shared" ca="1" si="102"/>
        <v>9.910575300071832</v>
      </c>
      <c r="AS15" s="71">
        <f t="shared" ca="1" si="103"/>
        <v>2.2524034772890529</v>
      </c>
      <c r="AT15" s="71">
        <f t="shared" ca="1" si="104"/>
        <v>14.248321689003044</v>
      </c>
      <c r="AU15" s="71">
        <f t="shared" ca="1" si="105"/>
        <v>1.4421629444601649</v>
      </c>
      <c r="AV15" s="71">
        <f t="shared" ca="1" si="106"/>
        <v>3.250413405590987</v>
      </c>
      <c r="AW15" s="71">
        <f t="shared" ca="1" si="107"/>
        <v>0.72108147223008245</v>
      </c>
      <c r="AX15" s="71">
        <f t="shared" ca="1" si="108"/>
        <v>3.1533648682046738</v>
      </c>
      <c r="AY15" s="71">
        <f t="shared" ca="1" si="109"/>
        <v>6.6737880808564531</v>
      </c>
      <c r="AZ15" s="71">
        <f t="shared" ca="1" si="110"/>
        <v>1.5766824341023369</v>
      </c>
      <c r="BA15" s="71">
        <f t="shared" ca="1" si="111"/>
        <v>15.093561111232038</v>
      </c>
      <c r="BB15" s="71">
        <f t="shared" ca="1" si="112"/>
        <v>2.8066709611417058</v>
      </c>
      <c r="BC15" s="71">
        <f t="shared" ca="1" si="113"/>
        <v>6.1125521722888525</v>
      </c>
      <c r="BD15" s="71">
        <f t="shared" ca="1" si="114"/>
        <v>1.4033354805708529</v>
      </c>
      <c r="BE15" s="71">
        <f t="shared" ca="1" si="115"/>
        <v>4.8551808288230687</v>
      </c>
      <c r="BF15" s="71">
        <f t="shared" ca="1" si="116"/>
        <v>5.8061956303451137</v>
      </c>
      <c r="BG15" s="71">
        <f t="shared" ca="1" si="117"/>
        <v>13.297427338995426</v>
      </c>
      <c r="BH15" s="71">
        <f t="shared" ca="1" si="118"/>
        <v>5.2701758278852822</v>
      </c>
      <c r="BI15" s="71">
        <f t="shared" ca="1" si="119"/>
        <v>2.6735482278069211</v>
      </c>
      <c r="BJ15" s="71">
        <f t="shared" ca="1" si="120"/>
        <v>8.0919680480384493</v>
      </c>
      <c r="BK15" s="71">
        <f t="shared" ca="1" si="121"/>
        <v>4.4047001333652593</v>
      </c>
      <c r="BL15" s="71">
        <f t="shared" ca="1" si="122"/>
        <v>5.7506467833794064</v>
      </c>
      <c r="BM15" s="71">
        <f t="shared" ca="1" si="123"/>
        <v>4.3117724112168023</v>
      </c>
      <c r="BN15" s="71">
        <f t="shared" ca="1" si="124"/>
        <v>0.57686517778406599</v>
      </c>
      <c r="BO15" s="71">
        <f t="shared" ca="1" si="125"/>
        <v>3.0032046363854037</v>
      </c>
      <c r="BP15" s="71">
        <f t="shared" ca="1" si="126"/>
        <v>1.1345439737455971</v>
      </c>
      <c r="BQ15" s="71">
        <f t="shared" ca="1" si="127"/>
        <v>4.6035361389257714</v>
      </c>
      <c r="BR15" s="71">
        <f t="shared" ca="1" si="128"/>
        <v>6.266319589044401</v>
      </c>
      <c r="BS15" s="71">
        <f t="shared" ca="1" si="129"/>
        <v>1.4976307500163253</v>
      </c>
      <c r="BT15" s="71">
        <f t="shared" ca="1" si="130"/>
        <v>4.7383895374080813</v>
      </c>
      <c r="BU15" s="71">
        <f t="shared" ca="1" si="131"/>
        <v>4.0710107293224356</v>
      </c>
      <c r="BV15" s="71">
        <f t="shared" ca="1" si="132"/>
        <v>6.8675703056105775</v>
      </c>
      <c r="BW15" s="71">
        <f t="shared" ca="1" si="133"/>
        <v>5.3796657112450985</v>
      </c>
      <c r="BX15" s="71">
        <f t="shared" ca="1" si="134"/>
        <v>1.3423208944590765</v>
      </c>
      <c r="BY15" s="71">
        <f t="shared" ca="1" si="135"/>
        <v>4.7383895374080813</v>
      </c>
      <c r="BZ15" s="71">
        <f t="shared" ca="1" si="136"/>
        <v>4.0710107293224356</v>
      </c>
      <c r="CA15" s="71">
        <f t="shared" ca="1" si="137"/>
        <v>9.5240370611874159</v>
      </c>
      <c r="CB15" s="71">
        <f t="shared" ca="1" si="138"/>
        <v>4.3127371945526747</v>
      </c>
      <c r="CC15" s="71">
        <f t="shared" ca="1" si="139"/>
        <v>1.6418470444623416</v>
      </c>
      <c r="CD15" s="71">
        <f t="shared" ca="1" si="140"/>
        <v>6.1279858111602081</v>
      </c>
      <c r="CE15" s="71">
        <f t="shared" ca="1" si="141"/>
        <v>4.6277453389518923</v>
      </c>
      <c r="CF15" s="71">
        <f t="shared" ca="1" si="142"/>
        <v>12.491349811247275</v>
      </c>
      <c r="CG15" s="71">
        <f t="shared" ca="1" si="143"/>
        <v>4.6277453389518923</v>
      </c>
      <c r="CH15" s="71">
        <f t="shared" ca="1" si="144"/>
        <v>5.1897667533161957</v>
      </c>
      <c r="CI15" s="71">
        <f t="shared" ca="1" si="145"/>
        <v>15.187085161276659</v>
      </c>
      <c r="CJ15" s="71">
        <f t="shared" ca="1" si="146"/>
        <v>5.1897667533161957</v>
      </c>
      <c r="CK15" s="71">
        <f t="shared" ca="1" si="147"/>
        <v>3.7733902778080095</v>
      </c>
    </row>
    <row r="16" spans="1:89" x14ac:dyDescent="0.25">
      <c r="A16" t="str">
        <f>PLANTILLA!D16</f>
        <v>I. Vanags</v>
      </c>
      <c r="B16" s="446">
        <f>PLANTILLA!E16</f>
        <v>28</v>
      </c>
      <c r="C16" s="95">
        <f ca="1">PLANTILLA!F16</f>
        <v>87</v>
      </c>
      <c r="D16" s="446" t="str">
        <f>PLANTILLA!G16</f>
        <v>CAB</v>
      </c>
      <c r="E16" s="201">
        <f>PLANTILLA!O16</f>
        <v>43626</v>
      </c>
      <c r="F16" s="95">
        <f>PLANTILLA!Q16</f>
        <v>3</v>
      </c>
      <c r="G16" s="115">
        <f t="shared" si="74"/>
        <v>0.65465367070797709</v>
      </c>
      <c r="H16" s="115">
        <f t="shared" si="75"/>
        <v>0.75498344352707503</v>
      </c>
      <c r="I16" s="150">
        <f ca="1">PLANTILLA!P16</f>
        <v>1</v>
      </c>
      <c r="J16" s="151">
        <f>PLANTILLA!I16</f>
        <v>8</v>
      </c>
      <c r="K16" s="48">
        <f>PLANTILLA!X16</f>
        <v>0</v>
      </c>
      <c r="L16" s="48">
        <f>PLANTILLA!Y16</f>
        <v>10</v>
      </c>
      <c r="M16" s="48">
        <f>PLANTILLA!Z16</f>
        <v>15</v>
      </c>
      <c r="N16" s="48">
        <f>PLANTILLA!AA16</f>
        <v>3</v>
      </c>
      <c r="O16" s="48">
        <f>PLANTILLA!AB16</f>
        <v>4</v>
      </c>
      <c r="P16" s="48">
        <f>PLANTILLA!AC16</f>
        <v>8.375</v>
      </c>
      <c r="Q16" s="48">
        <f>PLANTILLA!AD16</f>
        <v>19.399999999999999</v>
      </c>
      <c r="R16" s="151">
        <f t="shared" si="76"/>
        <v>2.625</v>
      </c>
      <c r="S16" s="151">
        <f t="shared" ca="1" si="77"/>
        <v>21.843605161669593</v>
      </c>
      <c r="T16" s="48">
        <f t="shared" si="78"/>
        <v>1.00075</v>
      </c>
      <c r="U16" s="48">
        <f t="shared" si="79"/>
        <v>0.98199999999999998</v>
      </c>
      <c r="V16" s="151">
        <f t="shared" ca="1" si="80"/>
        <v>14.143216449061258</v>
      </c>
      <c r="W16" s="151">
        <f t="shared" ca="1" si="81"/>
        <v>16.310752898877663</v>
      </c>
      <c r="X16" s="71">
        <f t="shared" ca="1" si="82"/>
        <v>4.6841967448586228</v>
      </c>
      <c r="Y16" s="71">
        <f t="shared" ca="1" si="83"/>
        <v>7.0955188976087982</v>
      </c>
      <c r="Z16" s="71">
        <f t="shared" ca="1" si="84"/>
        <v>4.6841967448586228</v>
      </c>
      <c r="AA16" s="71">
        <f t="shared" ca="1" si="85"/>
        <v>6.2973259110504571</v>
      </c>
      <c r="AB16" s="71">
        <f t="shared" ca="1" si="86"/>
        <v>12.204119982655925</v>
      </c>
      <c r="AC16" s="71">
        <f t="shared" ca="1" si="87"/>
        <v>3.1486629555252286</v>
      </c>
      <c r="AD16" s="71">
        <f t="shared" ca="1" si="88"/>
        <v>4.0945805558721098</v>
      </c>
      <c r="AE16" s="71">
        <f t="shared" ca="1" si="89"/>
        <v>4.6131573534439401</v>
      </c>
      <c r="AF16" s="71">
        <f t="shared" ca="1" si="90"/>
        <v>8.8235787474602336</v>
      </c>
      <c r="AG16" s="71">
        <f t="shared" ca="1" si="91"/>
        <v>2.30657867672197</v>
      </c>
      <c r="AH16" s="71">
        <f t="shared" ca="1" si="92"/>
        <v>6.6235861933225308</v>
      </c>
      <c r="AI16" s="71">
        <f t="shared" ca="1" si="93"/>
        <v>11.227790384043452</v>
      </c>
      <c r="AJ16" s="71">
        <f t="shared" ca="1" si="94"/>
        <v>5.052505672819553</v>
      </c>
      <c r="AK16" s="71">
        <f t="shared" ca="1" si="95"/>
        <v>2.8730880371035394</v>
      </c>
      <c r="AL16" s="71">
        <f t="shared" ca="1" si="96"/>
        <v>3.0600225498016838</v>
      </c>
      <c r="AM16" s="71">
        <f t="shared" ca="1" si="97"/>
        <v>9.2019064669225674</v>
      </c>
      <c r="AN16" s="71">
        <f t="shared" ca="1" si="98"/>
        <v>8.6405169477203945</v>
      </c>
      <c r="AO16" s="71">
        <f t="shared" ca="1" si="99"/>
        <v>3.6078880371035393</v>
      </c>
      <c r="AP16" s="71">
        <f t="shared" ca="1" si="100"/>
        <v>1.3907865550049063</v>
      </c>
      <c r="AQ16" s="71">
        <f t="shared" ca="1" si="101"/>
        <v>3.2951123953171</v>
      </c>
      <c r="AR16" s="71">
        <f t="shared" ca="1" si="102"/>
        <v>7.2492472696976193</v>
      </c>
      <c r="AS16" s="71">
        <f t="shared" ca="1" si="103"/>
        <v>1.64755619765855</v>
      </c>
      <c r="AT16" s="71">
        <f t="shared" ca="1" si="104"/>
        <v>16.240689263627193</v>
      </c>
      <c r="AU16" s="71">
        <f t="shared" ca="1" si="105"/>
        <v>0.80653559774527028</v>
      </c>
      <c r="AV16" s="71">
        <f t="shared" ca="1" si="106"/>
        <v>2.574682154918186</v>
      </c>
      <c r="AW16" s="71">
        <f t="shared" ca="1" si="107"/>
        <v>0.40326779887263514</v>
      </c>
      <c r="AX16" s="71">
        <f t="shared" ca="1" si="108"/>
        <v>2.30657867672197</v>
      </c>
      <c r="AY16" s="71">
        <f t="shared" ca="1" si="109"/>
        <v>4.8816479930623702</v>
      </c>
      <c r="AZ16" s="71">
        <f t="shared" ca="1" si="110"/>
        <v>1.153289338360985</v>
      </c>
      <c r="BA16" s="71">
        <f t="shared" ca="1" si="111"/>
        <v>17.204119982655925</v>
      </c>
      <c r="BB16" s="71">
        <f t="shared" ca="1" si="112"/>
        <v>1.569642355611949</v>
      </c>
      <c r="BC16" s="71">
        <f t="shared" ca="1" si="113"/>
        <v>4.3372201104434147</v>
      </c>
      <c r="BD16" s="71">
        <f t="shared" ca="1" si="114"/>
        <v>0.78482117780597449</v>
      </c>
      <c r="BE16" s="71">
        <f t="shared" ca="1" si="115"/>
        <v>3.5513989149528737</v>
      </c>
      <c r="BF16" s="71">
        <f t="shared" ca="1" si="116"/>
        <v>4.2470337539642617</v>
      </c>
      <c r="BG16" s="71">
        <f t="shared" ca="1" si="117"/>
        <v>15.15682970471987</v>
      </c>
      <c r="BH16" s="71">
        <f t="shared" ca="1" si="118"/>
        <v>4.9414626645811168</v>
      </c>
      <c r="BI16" s="71">
        <f t="shared" ca="1" si="119"/>
        <v>1.4951929158200779</v>
      </c>
      <c r="BJ16" s="71">
        <f t="shared" ca="1" si="120"/>
        <v>5.9189981915881233</v>
      </c>
      <c r="BK16" s="71">
        <f t="shared" ca="1" si="121"/>
        <v>3.2218876754211645</v>
      </c>
      <c r="BL16" s="71">
        <f t="shared" ca="1" si="122"/>
        <v>6.5547697133919076</v>
      </c>
      <c r="BM16" s="71">
        <f t="shared" ca="1" si="123"/>
        <v>4.7494008648412791</v>
      </c>
      <c r="BN16" s="71">
        <f t="shared" ca="1" si="124"/>
        <v>0.3226142390981081</v>
      </c>
      <c r="BO16" s="71">
        <f t="shared" ca="1" si="125"/>
        <v>2.1967415968780664</v>
      </c>
      <c r="BP16" s="71">
        <f t="shared" ca="1" si="126"/>
        <v>0.82988015882060295</v>
      </c>
      <c r="BQ16" s="71">
        <f t="shared" ca="1" si="127"/>
        <v>5.2472565947100573</v>
      </c>
      <c r="BR16" s="71">
        <f t="shared" ca="1" si="128"/>
        <v>6.9784982976955199</v>
      </c>
      <c r="BS16" s="71">
        <f t="shared" ca="1" si="129"/>
        <v>0.83755619765854994</v>
      </c>
      <c r="BT16" s="71">
        <f t="shared" ca="1" si="130"/>
        <v>3.4659700750742823</v>
      </c>
      <c r="BU16" s="71">
        <f t="shared" ca="1" si="131"/>
        <v>2.9778052757680458</v>
      </c>
      <c r="BV16" s="71">
        <f t="shared" ca="1" si="132"/>
        <v>7.8278745921084463</v>
      </c>
      <c r="BW16" s="71">
        <f t="shared" ca="1" si="133"/>
        <v>6.0101649407827642</v>
      </c>
      <c r="BX16" s="71">
        <f t="shared" ca="1" si="134"/>
        <v>0.75069851790136688</v>
      </c>
      <c r="BY16" s="71">
        <f t="shared" ca="1" si="135"/>
        <v>3.4659700750742823</v>
      </c>
      <c r="BZ16" s="71">
        <f t="shared" ca="1" si="136"/>
        <v>2.9778052757680458</v>
      </c>
      <c r="CA16" s="71">
        <f t="shared" ca="1" si="137"/>
        <v>10.855799709055889</v>
      </c>
      <c r="CB16" s="71">
        <f t="shared" ca="1" si="138"/>
        <v>4.8506873844770526</v>
      </c>
      <c r="CC16" s="71">
        <f t="shared" ca="1" si="139"/>
        <v>0.91820975743307687</v>
      </c>
      <c r="CD16" s="71">
        <f t="shared" ca="1" si="140"/>
        <v>6.9848727129583059</v>
      </c>
      <c r="CE16" s="71">
        <f t="shared" ca="1" si="141"/>
        <v>3.6439715109637367</v>
      </c>
      <c r="CF16" s="71">
        <f t="shared" ca="1" si="142"/>
        <v>9.536464100470571</v>
      </c>
      <c r="CG16" s="71">
        <f t="shared" ca="1" si="143"/>
        <v>3.6439715109637367</v>
      </c>
      <c r="CH16" s="71">
        <f t="shared" ca="1" si="144"/>
        <v>4.781666749194641</v>
      </c>
      <c r="CI16" s="71">
        <f t="shared" ca="1" si="145"/>
        <v>12.868440256255962</v>
      </c>
      <c r="CJ16" s="71">
        <f t="shared" ca="1" si="146"/>
        <v>4.781666749194641</v>
      </c>
      <c r="CK16" s="71">
        <f t="shared" ca="1" si="147"/>
        <v>4.3010299956639813</v>
      </c>
    </row>
    <row r="17" spans="1:89" x14ac:dyDescent="0.25">
      <c r="A17" t="str">
        <f>PLANTILLA!D17</f>
        <v>I. Stone</v>
      </c>
      <c r="B17" s="446">
        <f>PLANTILLA!E17</f>
        <v>28</v>
      </c>
      <c r="C17" s="95">
        <f ca="1">PLANTILLA!F17</f>
        <v>30</v>
      </c>
      <c r="D17" s="446" t="str">
        <f>PLANTILLA!G17</f>
        <v>RAP</v>
      </c>
      <c r="E17" s="201">
        <f>PLANTILLA!O17</f>
        <v>43633</v>
      </c>
      <c r="F17" s="95">
        <f>PLANTILLA!Q17</f>
        <v>6</v>
      </c>
      <c r="G17" s="115">
        <f t="shared" si="74"/>
        <v>0.92582009977255142</v>
      </c>
      <c r="H17" s="115">
        <f t="shared" si="75"/>
        <v>0.99928545900129484</v>
      </c>
      <c r="I17" s="150">
        <f ca="1">PLANTILLA!P17</f>
        <v>1</v>
      </c>
      <c r="J17" s="151">
        <f>PLANTILLA!I17</f>
        <v>8</v>
      </c>
      <c r="K17" s="48">
        <f>PLANTILLA!X17</f>
        <v>0</v>
      </c>
      <c r="L17" s="48">
        <f>PLANTILLA!Y17</f>
        <v>8.3333333333333339</v>
      </c>
      <c r="M17" s="48">
        <f>PLANTILLA!Z17</f>
        <v>14</v>
      </c>
      <c r="N17" s="48">
        <f>PLANTILLA!AA17</f>
        <v>2</v>
      </c>
      <c r="O17" s="48">
        <f>PLANTILLA!AB17</f>
        <v>6</v>
      </c>
      <c r="P17" s="48">
        <f>PLANTILLA!AC17</f>
        <v>10.199999999999999</v>
      </c>
      <c r="Q17" s="48">
        <f>PLANTILLA!AD17</f>
        <v>19</v>
      </c>
      <c r="R17" s="151">
        <f t="shared" si="76"/>
        <v>2.916666666666667</v>
      </c>
      <c r="S17" s="151">
        <f t="shared" ca="1" si="77"/>
        <v>24.653105161669593</v>
      </c>
      <c r="T17" s="48">
        <f t="shared" si="78"/>
        <v>1.08</v>
      </c>
      <c r="U17" s="48">
        <f t="shared" si="79"/>
        <v>0.90333333333333354</v>
      </c>
      <c r="V17" s="151">
        <f t="shared" ca="1" si="80"/>
        <v>19.63120047793166</v>
      </c>
      <c r="W17" s="151">
        <f t="shared" ca="1" si="81"/>
        <v>21.188968769586854</v>
      </c>
      <c r="X17" s="71">
        <f t="shared" ca="1" si="82"/>
        <v>4.2241967448586228</v>
      </c>
      <c r="Y17" s="71">
        <f t="shared" ca="1" si="83"/>
        <v>6.387185564275466</v>
      </c>
      <c r="Z17" s="71">
        <f t="shared" ca="1" si="84"/>
        <v>4.2241967448586228</v>
      </c>
      <c r="AA17" s="71">
        <f t="shared" ca="1" si="85"/>
        <v>5.4373259110504577</v>
      </c>
      <c r="AB17" s="71">
        <f t="shared" ca="1" si="86"/>
        <v>10.537453315989259</v>
      </c>
      <c r="AC17" s="71">
        <f t="shared" ca="1" si="87"/>
        <v>2.7186629555252289</v>
      </c>
      <c r="AD17" s="71">
        <f t="shared" ca="1" si="88"/>
        <v>3.8565805558721098</v>
      </c>
      <c r="AE17" s="71">
        <f t="shared" ca="1" si="89"/>
        <v>3.9831573534439397</v>
      </c>
      <c r="AF17" s="71">
        <f t="shared" ca="1" si="90"/>
        <v>7.6185787474602336</v>
      </c>
      <c r="AG17" s="71">
        <f t="shared" ca="1" si="91"/>
        <v>1.9915786767219699</v>
      </c>
      <c r="AH17" s="71">
        <f t="shared" ca="1" si="92"/>
        <v>6.2385861933225311</v>
      </c>
      <c r="AI17" s="71">
        <f t="shared" ca="1" si="93"/>
        <v>9.6944570507101187</v>
      </c>
      <c r="AJ17" s="71">
        <f t="shared" ca="1" si="94"/>
        <v>4.3625056728195526</v>
      </c>
      <c r="AK17" s="71">
        <f t="shared" ca="1" si="95"/>
        <v>2.7060880371035396</v>
      </c>
      <c r="AL17" s="71">
        <f t="shared" ca="1" si="96"/>
        <v>2.4720225498016837</v>
      </c>
      <c r="AM17" s="71">
        <f t="shared" ca="1" si="97"/>
        <v>7.9452398002559015</v>
      </c>
      <c r="AN17" s="71">
        <f t="shared" ca="1" si="98"/>
        <v>7.4605169477203948</v>
      </c>
      <c r="AO17" s="71">
        <f t="shared" ca="1" si="99"/>
        <v>3.5410880371035396</v>
      </c>
      <c r="AP17" s="71">
        <f t="shared" ca="1" si="100"/>
        <v>1.4747865550049064</v>
      </c>
      <c r="AQ17" s="71">
        <f t="shared" ca="1" si="101"/>
        <v>2.8451123953171003</v>
      </c>
      <c r="AR17" s="71">
        <f t="shared" ca="1" si="102"/>
        <v>6.2592472696976191</v>
      </c>
      <c r="AS17" s="71">
        <f t="shared" ca="1" si="103"/>
        <v>1.4225561976585501</v>
      </c>
      <c r="AT17" s="71">
        <f t="shared" ca="1" si="104"/>
        <v>15.296689263627192</v>
      </c>
      <c r="AU17" s="71">
        <f t="shared" ca="1" si="105"/>
        <v>1.0665355977452702</v>
      </c>
      <c r="AV17" s="71">
        <f t="shared" ca="1" si="106"/>
        <v>3.1304071549181858</v>
      </c>
      <c r="AW17" s="71">
        <f t="shared" ca="1" si="107"/>
        <v>0.53326779887263509</v>
      </c>
      <c r="AX17" s="71">
        <f t="shared" ca="1" si="108"/>
        <v>1.9915786767219699</v>
      </c>
      <c r="AY17" s="71">
        <f t="shared" ca="1" si="109"/>
        <v>4.2149813263957041</v>
      </c>
      <c r="AZ17" s="71">
        <f t="shared" ca="1" si="110"/>
        <v>0.99578933836098493</v>
      </c>
      <c r="BA17" s="71">
        <f t="shared" ca="1" si="111"/>
        <v>16.204119982655925</v>
      </c>
      <c r="BB17" s="71">
        <f t="shared" ca="1" si="112"/>
        <v>2.075642355611949</v>
      </c>
      <c r="BC17" s="71">
        <f t="shared" ca="1" si="113"/>
        <v>5.4024701104434145</v>
      </c>
      <c r="BD17" s="71">
        <f t="shared" ca="1" si="114"/>
        <v>1.0378211778059745</v>
      </c>
      <c r="BE17" s="71">
        <f t="shared" ca="1" si="115"/>
        <v>3.0663989149528743</v>
      </c>
      <c r="BF17" s="71">
        <f t="shared" ca="1" si="116"/>
        <v>3.6670337539642617</v>
      </c>
      <c r="BG17" s="71">
        <f t="shared" ca="1" si="117"/>
        <v>14.27582970471987</v>
      </c>
      <c r="BH17" s="71">
        <f t="shared" ca="1" si="118"/>
        <v>4.9974626645811178</v>
      </c>
      <c r="BI17" s="71">
        <f t="shared" ca="1" si="119"/>
        <v>1.9771929158200778</v>
      </c>
      <c r="BJ17" s="71">
        <f t="shared" ca="1" si="120"/>
        <v>5.1106648582547907</v>
      </c>
      <c r="BK17" s="71">
        <f t="shared" ca="1" si="121"/>
        <v>2.7818876754211646</v>
      </c>
      <c r="BL17" s="71">
        <f t="shared" ca="1" si="122"/>
        <v>6.1737697133919074</v>
      </c>
      <c r="BM17" s="71">
        <f t="shared" ca="1" si="123"/>
        <v>4.4784008648412783</v>
      </c>
      <c r="BN17" s="71">
        <f t="shared" ca="1" si="124"/>
        <v>0.42661423909810808</v>
      </c>
      <c r="BO17" s="71">
        <f t="shared" ca="1" si="125"/>
        <v>1.8967415968780665</v>
      </c>
      <c r="BP17" s="71">
        <f t="shared" ca="1" si="126"/>
        <v>0.71654682548726967</v>
      </c>
      <c r="BQ17" s="71">
        <f t="shared" ca="1" si="127"/>
        <v>4.9422565947100567</v>
      </c>
      <c r="BR17" s="71">
        <f t="shared" ca="1" si="128"/>
        <v>6.5504982976955191</v>
      </c>
      <c r="BS17" s="71">
        <f t="shared" ca="1" si="129"/>
        <v>1.10755619765855</v>
      </c>
      <c r="BT17" s="71">
        <f t="shared" ca="1" si="130"/>
        <v>2.9926367417409492</v>
      </c>
      <c r="BU17" s="71">
        <f t="shared" ca="1" si="131"/>
        <v>2.571138609101379</v>
      </c>
      <c r="BV17" s="71">
        <f t="shared" ca="1" si="132"/>
        <v>7.3728745921084462</v>
      </c>
      <c r="BW17" s="71">
        <f t="shared" ca="1" si="133"/>
        <v>5.6341649407827648</v>
      </c>
      <c r="BX17" s="71">
        <f t="shared" ca="1" si="134"/>
        <v>0.99269851790136687</v>
      </c>
      <c r="BY17" s="71">
        <f t="shared" ca="1" si="135"/>
        <v>2.9926367417409492</v>
      </c>
      <c r="BZ17" s="71">
        <f t="shared" ca="1" si="136"/>
        <v>2.571138609101379</v>
      </c>
      <c r="CA17" s="71">
        <f t="shared" ca="1" si="137"/>
        <v>10.224799709055889</v>
      </c>
      <c r="CB17" s="71">
        <f t="shared" ca="1" si="138"/>
        <v>4.5346873844770528</v>
      </c>
      <c r="CC17" s="71">
        <f t="shared" ca="1" si="139"/>
        <v>1.2142097574330768</v>
      </c>
      <c r="CD17" s="71">
        <f t="shared" ca="1" si="140"/>
        <v>6.5788727129583062</v>
      </c>
      <c r="CE17" s="71">
        <f t="shared" ca="1" si="141"/>
        <v>4.2317465109637364</v>
      </c>
      <c r="CF17" s="71">
        <f t="shared" ca="1" si="142"/>
        <v>11.686439100470571</v>
      </c>
      <c r="CG17" s="71">
        <f t="shared" ca="1" si="143"/>
        <v>4.2317465109637364</v>
      </c>
      <c r="CH17" s="71">
        <f t="shared" ca="1" si="144"/>
        <v>5.3191667491946406</v>
      </c>
      <c r="CI17" s="71">
        <f t="shared" ca="1" si="145"/>
        <v>15.431440256255961</v>
      </c>
      <c r="CJ17" s="71">
        <f t="shared" ca="1" si="146"/>
        <v>5.3191667491946406</v>
      </c>
      <c r="CK17" s="71">
        <f t="shared" ca="1" si="147"/>
        <v>4.0510299956639813</v>
      </c>
    </row>
    <row r="18" spans="1:89" x14ac:dyDescent="0.25">
      <c r="A18" t="str">
        <f>PLANTILLA!D18</f>
        <v>G. Piscaer</v>
      </c>
      <c r="B18" s="446">
        <f>PLANTILLA!E18</f>
        <v>28</v>
      </c>
      <c r="C18" s="95">
        <f ca="1">PLANTILLA!F18</f>
        <v>103</v>
      </c>
      <c r="D18" s="446" t="str">
        <f>PLANTILLA!G18</f>
        <v>IMP</v>
      </c>
      <c r="E18" s="201">
        <f>PLANTILLA!O18</f>
        <v>43630</v>
      </c>
      <c r="F18" s="95">
        <f>PLANTILLA!Q18</f>
        <v>6</v>
      </c>
      <c r="G18" s="115">
        <f t="shared" si="74"/>
        <v>0.92582009977255142</v>
      </c>
      <c r="H18" s="115">
        <f t="shared" si="75"/>
        <v>0.99928545900129484</v>
      </c>
      <c r="I18" s="150">
        <f ca="1">PLANTILLA!P18</f>
        <v>1</v>
      </c>
      <c r="J18" s="151">
        <f>PLANTILLA!I18</f>
        <v>9</v>
      </c>
      <c r="K18" s="48">
        <f>PLANTILLA!X18</f>
        <v>0</v>
      </c>
      <c r="L18" s="48">
        <f>PLANTILLA!Y18</f>
        <v>9.5</v>
      </c>
      <c r="M18" s="48">
        <f>PLANTILLA!Z18</f>
        <v>15.19047619047619</v>
      </c>
      <c r="N18" s="48">
        <f>PLANTILLA!AA18</f>
        <v>3</v>
      </c>
      <c r="O18" s="48">
        <f>PLANTILLA!AB18</f>
        <v>2</v>
      </c>
      <c r="P18" s="48">
        <f>PLANTILLA!AC18</f>
        <v>9.25</v>
      </c>
      <c r="Q18" s="48">
        <f>PLANTILLA!AD18</f>
        <v>18.666666666666668</v>
      </c>
      <c r="R18" s="151">
        <f t="shared" si="76"/>
        <v>2.0625</v>
      </c>
      <c r="S18" s="151">
        <f t="shared" ca="1" si="77"/>
        <v>23.043501261147881</v>
      </c>
      <c r="T18" s="48">
        <f t="shared" si="78"/>
        <v>1.0225000000000002</v>
      </c>
      <c r="U18" s="48">
        <f t="shared" si="79"/>
        <v>0.94000000000000006</v>
      </c>
      <c r="V18" s="151">
        <f t="shared" ca="1" si="80"/>
        <v>19.385737822588613</v>
      </c>
      <c r="W18" s="151">
        <f t="shared" ca="1" si="81"/>
        <v>20.9240282457503</v>
      </c>
      <c r="X18" s="71">
        <f t="shared" ca="1" si="82"/>
        <v>4.6057382809873744</v>
      </c>
      <c r="Y18" s="71">
        <f t="shared" ca="1" si="83"/>
        <v>6.9710694395815578</v>
      </c>
      <c r="Z18" s="71">
        <f t="shared" ca="1" si="84"/>
        <v>4.6057382809873744</v>
      </c>
      <c r="AA18" s="71">
        <f t="shared" ca="1" si="85"/>
        <v>6.0745188464942554</v>
      </c>
      <c r="AB18" s="71">
        <f t="shared" ca="1" si="86"/>
        <v>11.7723233459191</v>
      </c>
      <c r="AC18" s="71">
        <f t="shared" ca="1" si="87"/>
        <v>3.0372594232471277</v>
      </c>
      <c r="AD18" s="71">
        <f t="shared" ca="1" si="88"/>
        <v>4.1561462896620789</v>
      </c>
      <c r="AE18" s="71">
        <f t="shared" ca="1" si="89"/>
        <v>4.4499382247574193</v>
      </c>
      <c r="AF18" s="71">
        <f t="shared" ca="1" si="90"/>
        <v>8.5113897790995097</v>
      </c>
      <c r="AG18" s="71">
        <f t="shared" ca="1" si="91"/>
        <v>2.2249691123787096</v>
      </c>
      <c r="AH18" s="71">
        <f t="shared" ca="1" si="92"/>
        <v>6.7231778215121869</v>
      </c>
      <c r="AI18" s="71">
        <f t="shared" ca="1" si="93"/>
        <v>10.830537478245573</v>
      </c>
      <c r="AJ18" s="71">
        <f t="shared" ca="1" si="94"/>
        <v>4.8737418652105067</v>
      </c>
      <c r="AK18" s="71">
        <f t="shared" ca="1" si="95"/>
        <v>2.9162875225780138</v>
      </c>
      <c r="AL18" s="71">
        <f t="shared" ca="1" si="96"/>
        <v>3.1001261274004306</v>
      </c>
      <c r="AM18" s="71">
        <f t="shared" ca="1" si="97"/>
        <v>8.8763318028230014</v>
      </c>
      <c r="AN18" s="71">
        <f t="shared" ca="1" si="98"/>
        <v>8.3348049289107227</v>
      </c>
      <c r="AO18" s="71">
        <f t="shared" ca="1" si="99"/>
        <v>3.4968113321018235</v>
      </c>
      <c r="AP18" s="71">
        <f t="shared" ca="1" si="100"/>
        <v>1.2484291236247007</v>
      </c>
      <c r="AQ18" s="71">
        <f t="shared" ca="1" si="101"/>
        <v>3.1785273033981571</v>
      </c>
      <c r="AR18" s="71">
        <f t="shared" ca="1" si="102"/>
        <v>6.9927600674759445</v>
      </c>
      <c r="AS18" s="71">
        <f t="shared" ca="1" si="103"/>
        <v>1.5892636516990786</v>
      </c>
      <c r="AT18" s="71">
        <f t="shared" ca="1" si="104"/>
        <v>16.484882762357152</v>
      </c>
      <c r="AU18" s="71">
        <f t="shared" ca="1" si="105"/>
        <v>0.55540203496948293</v>
      </c>
      <c r="AV18" s="71">
        <f t="shared" ca="1" si="106"/>
        <v>2.5060407403542961</v>
      </c>
      <c r="AW18" s="71">
        <f t="shared" ca="1" si="107"/>
        <v>0.27770101748474146</v>
      </c>
      <c r="AX18" s="71">
        <f t="shared" ca="1" si="108"/>
        <v>2.2249691123787096</v>
      </c>
      <c r="AY18" s="71">
        <f t="shared" ca="1" si="109"/>
        <v>4.70892933836764</v>
      </c>
      <c r="AZ18" s="71">
        <f t="shared" ca="1" si="110"/>
        <v>1.1124845561893548</v>
      </c>
      <c r="BA18" s="71">
        <f t="shared" ca="1" si="111"/>
        <v>17.462799536395291</v>
      </c>
      <c r="BB18" s="71">
        <f t="shared" ca="1" si="112"/>
        <v>1.0808978065175323</v>
      </c>
      <c r="BC18" s="71">
        <f t="shared" ca="1" si="113"/>
        <v>3.8765501636014239</v>
      </c>
      <c r="BD18" s="71">
        <f t="shared" ca="1" si="114"/>
        <v>0.54044890325876616</v>
      </c>
      <c r="BE18" s="71">
        <f t="shared" ca="1" si="115"/>
        <v>3.425746093662458</v>
      </c>
      <c r="BF18" s="71">
        <f t="shared" ca="1" si="116"/>
        <v>4.0967685243798462</v>
      </c>
      <c r="BG18" s="71">
        <f t="shared" ca="1" si="117"/>
        <v>15.384726391564252</v>
      </c>
      <c r="BH18" s="71">
        <f t="shared" ca="1" si="118"/>
        <v>4.3720954545220794</v>
      </c>
      <c r="BI18" s="71">
        <f t="shared" ca="1" si="119"/>
        <v>1.029629926366503</v>
      </c>
      <c r="BJ18" s="71">
        <f t="shared" ca="1" si="120"/>
        <v>5.7095768227707628</v>
      </c>
      <c r="BK18" s="71">
        <f t="shared" ca="1" si="121"/>
        <v>3.1078933633226424</v>
      </c>
      <c r="BL18" s="71">
        <f t="shared" ca="1" si="122"/>
        <v>6.6533266233666062</v>
      </c>
      <c r="BM18" s="71">
        <f t="shared" ca="1" si="123"/>
        <v>4.4070106043332933</v>
      </c>
      <c r="BN18" s="71">
        <f t="shared" ca="1" si="124"/>
        <v>0.22216081398779317</v>
      </c>
      <c r="BO18" s="71">
        <f t="shared" ca="1" si="125"/>
        <v>2.1190182022654378</v>
      </c>
      <c r="BP18" s="71">
        <f t="shared" ca="1" si="126"/>
        <v>0.80051798752249881</v>
      </c>
      <c r="BQ18" s="71">
        <f t="shared" ca="1" si="127"/>
        <v>5.3261538586005637</v>
      </c>
      <c r="BR18" s="71">
        <f t="shared" ca="1" si="128"/>
        <v>6.494207822851962</v>
      </c>
      <c r="BS18" s="71">
        <f t="shared" ca="1" si="129"/>
        <v>0.57676365169907851</v>
      </c>
      <c r="BT18" s="71">
        <f t="shared" ca="1" si="130"/>
        <v>3.3433398302410242</v>
      </c>
      <c r="BU18" s="71">
        <f t="shared" ca="1" si="131"/>
        <v>2.8724468964042602</v>
      </c>
      <c r="BV18" s="71">
        <f t="shared" ca="1" si="132"/>
        <v>7.9455737890598579</v>
      </c>
      <c r="BW18" s="71">
        <f t="shared" ca="1" si="133"/>
        <v>5.5977342672783621</v>
      </c>
      <c r="BX18" s="71">
        <f t="shared" ca="1" si="134"/>
        <v>0.51695112485621109</v>
      </c>
      <c r="BY18" s="71">
        <f t="shared" ca="1" si="135"/>
        <v>3.3433398302410242</v>
      </c>
      <c r="BZ18" s="71">
        <f t="shared" ca="1" si="136"/>
        <v>2.8724468964042602</v>
      </c>
      <c r="CA18" s="71">
        <f t="shared" ca="1" si="137"/>
        <v>11.019026507465428</v>
      </c>
      <c r="CB18" s="71">
        <f t="shared" ca="1" si="138"/>
        <v>4.5257293945975938</v>
      </c>
      <c r="CC18" s="71">
        <f t="shared" ca="1" si="139"/>
        <v>0.63230385519602672</v>
      </c>
      <c r="CD18" s="71">
        <f t="shared" ca="1" si="140"/>
        <v>7.0898966117764886</v>
      </c>
      <c r="CE18" s="71">
        <f t="shared" ca="1" si="141"/>
        <v>3.2906304632238506</v>
      </c>
      <c r="CF18" s="71">
        <f t="shared" ca="1" si="142"/>
        <v>9.0373860875049061</v>
      </c>
      <c r="CG18" s="71">
        <f t="shared" ca="1" si="143"/>
        <v>3.2906304632238506</v>
      </c>
      <c r="CH18" s="71">
        <f t="shared" ca="1" si="144"/>
        <v>4.7676574445075985</v>
      </c>
      <c r="CI18" s="71">
        <f t="shared" ca="1" si="145"/>
        <v>13.098810660563247</v>
      </c>
      <c r="CJ18" s="71">
        <f t="shared" ca="1" si="146"/>
        <v>4.7676574445075985</v>
      </c>
      <c r="CK18" s="71">
        <f t="shared" ca="1" si="147"/>
        <v>4.3656998840988228</v>
      </c>
    </row>
    <row r="19" spans="1:89" x14ac:dyDescent="0.25">
      <c r="A19" t="str">
        <f>PLANTILLA!D19</f>
        <v>M. Bondarewski</v>
      </c>
      <c r="B19" s="446">
        <f>PLANTILLA!E19</f>
        <v>28</v>
      </c>
      <c r="C19" s="95">
        <f ca="1">PLANTILLA!F19</f>
        <v>103</v>
      </c>
      <c r="D19" s="446" t="str">
        <f>PLANTILLA!G19</f>
        <v>RAP</v>
      </c>
      <c r="E19" s="201">
        <f>PLANTILLA!O19</f>
        <v>43627</v>
      </c>
      <c r="F19" s="95">
        <f>PLANTILLA!Q19</f>
        <v>5</v>
      </c>
      <c r="G19" s="115">
        <f t="shared" si="74"/>
        <v>0.84515425472851657</v>
      </c>
      <c r="H19" s="115">
        <f t="shared" si="75"/>
        <v>0.92504826128926143</v>
      </c>
      <c r="I19" s="150">
        <f ca="1">PLANTILLA!P19</f>
        <v>1</v>
      </c>
      <c r="J19" s="151">
        <f>PLANTILLA!I19</f>
        <v>9</v>
      </c>
      <c r="K19" s="48">
        <f>PLANTILLA!X19</f>
        <v>0</v>
      </c>
      <c r="L19" s="48">
        <f>PLANTILLA!Y19</f>
        <v>8.3333333333333339</v>
      </c>
      <c r="M19" s="48">
        <f>PLANTILLA!Z19</f>
        <v>15</v>
      </c>
      <c r="N19" s="48">
        <f>PLANTILLA!AA19</f>
        <v>5</v>
      </c>
      <c r="O19" s="48">
        <f>PLANTILLA!AB19</f>
        <v>4</v>
      </c>
      <c r="P19" s="48">
        <f>PLANTILLA!AC19</f>
        <v>9.125</v>
      </c>
      <c r="Q19" s="48">
        <f>PLANTILLA!AD19</f>
        <v>20.166666666666668</v>
      </c>
      <c r="R19" s="151">
        <f t="shared" si="76"/>
        <v>2.416666666666667</v>
      </c>
      <c r="S19" s="151">
        <f t="shared" ca="1" si="77"/>
        <v>23.661001261147881</v>
      </c>
      <c r="T19" s="48">
        <f t="shared" si="78"/>
        <v>1.06125</v>
      </c>
      <c r="U19" s="48">
        <f t="shared" si="79"/>
        <v>0.93833333333333324</v>
      </c>
      <c r="V19" s="151">
        <f t="shared" ca="1" si="80"/>
        <v>18.964407880947551</v>
      </c>
      <c r="W19" s="151">
        <f t="shared" ca="1" si="81"/>
        <v>20.757148696229567</v>
      </c>
      <c r="X19" s="71">
        <f t="shared" ca="1" si="82"/>
        <v>4.2837382809873743</v>
      </c>
      <c r="Y19" s="71">
        <f t="shared" ca="1" si="83"/>
        <v>6.4752361062482242</v>
      </c>
      <c r="Z19" s="71">
        <f t="shared" ca="1" si="84"/>
        <v>4.2837382809873743</v>
      </c>
      <c r="AA19" s="71">
        <f t="shared" ca="1" si="85"/>
        <v>5.472518846494256</v>
      </c>
      <c r="AB19" s="71">
        <f t="shared" ca="1" si="86"/>
        <v>10.605656679252434</v>
      </c>
      <c r="AC19" s="71">
        <f t="shared" ca="1" si="87"/>
        <v>2.736259423247128</v>
      </c>
      <c r="AD19" s="71">
        <f t="shared" ca="1" si="88"/>
        <v>4.1108129563287461</v>
      </c>
      <c r="AE19" s="71">
        <f t="shared" ca="1" si="89"/>
        <v>4.0089382247574203</v>
      </c>
      <c r="AF19" s="71">
        <f t="shared" ca="1" si="90"/>
        <v>7.6678897790995091</v>
      </c>
      <c r="AG19" s="71">
        <f t="shared" ca="1" si="91"/>
        <v>2.0044691123787102</v>
      </c>
      <c r="AH19" s="71">
        <f t="shared" ca="1" si="92"/>
        <v>6.6498444881788545</v>
      </c>
      <c r="AI19" s="71">
        <f t="shared" ca="1" si="93"/>
        <v>9.7572041449122402</v>
      </c>
      <c r="AJ19" s="71">
        <f t="shared" ca="1" si="94"/>
        <v>4.390741865210507</v>
      </c>
      <c r="AK19" s="71">
        <f t="shared" ca="1" si="95"/>
        <v>2.8844779987684901</v>
      </c>
      <c r="AL19" s="71">
        <f t="shared" ca="1" si="96"/>
        <v>4.2761261274004303</v>
      </c>
      <c r="AM19" s="71">
        <f t="shared" ca="1" si="97"/>
        <v>7.9966651361563352</v>
      </c>
      <c r="AN19" s="71">
        <f t="shared" ca="1" si="98"/>
        <v>7.5088049289107222</v>
      </c>
      <c r="AO19" s="71">
        <f t="shared" ca="1" si="99"/>
        <v>3.7473113321018237</v>
      </c>
      <c r="AP19" s="71">
        <f t="shared" ca="1" si="100"/>
        <v>1.3504291236247008</v>
      </c>
      <c r="AQ19" s="71">
        <f t="shared" ca="1" si="101"/>
        <v>2.8635273033981572</v>
      </c>
      <c r="AR19" s="71">
        <f t="shared" ca="1" si="102"/>
        <v>6.2997600674759449</v>
      </c>
      <c r="AS19" s="71">
        <f t="shared" ca="1" si="103"/>
        <v>1.4317636516990786</v>
      </c>
      <c r="AT19" s="71">
        <f t="shared" ca="1" si="104"/>
        <v>16.305073238547632</v>
      </c>
      <c r="AU19" s="71">
        <f t="shared" ca="1" si="105"/>
        <v>0.81540203496948294</v>
      </c>
      <c r="AV19" s="71">
        <f t="shared" ca="1" si="106"/>
        <v>2.7244157403542961</v>
      </c>
      <c r="AW19" s="71">
        <f t="shared" ca="1" si="107"/>
        <v>0.40770101748474147</v>
      </c>
      <c r="AX19" s="71">
        <f t="shared" ca="1" si="108"/>
        <v>2.0044691123787102</v>
      </c>
      <c r="AY19" s="71">
        <f t="shared" ca="1" si="109"/>
        <v>4.2422626717009733</v>
      </c>
      <c r="AZ19" s="71">
        <f t="shared" ca="1" si="110"/>
        <v>1.0022345561893551</v>
      </c>
      <c r="BA19" s="71">
        <f t="shared" ca="1" si="111"/>
        <v>17.272323345919101</v>
      </c>
      <c r="BB19" s="71">
        <f t="shared" ca="1" si="112"/>
        <v>1.5868978065175323</v>
      </c>
      <c r="BC19" s="71">
        <f t="shared" ca="1" si="113"/>
        <v>4.5323001636014242</v>
      </c>
      <c r="BD19" s="71">
        <f t="shared" ca="1" si="114"/>
        <v>0.79344890325876616</v>
      </c>
      <c r="BE19" s="71">
        <f t="shared" ca="1" si="115"/>
        <v>3.0862460936624578</v>
      </c>
      <c r="BF19" s="71">
        <f t="shared" ca="1" si="116"/>
        <v>3.6907685243798465</v>
      </c>
      <c r="BG19" s="71">
        <f t="shared" ca="1" si="117"/>
        <v>15.216916867754728</v>
      </c>
      <c r="BH19" s="71">
        <f t="shared" ca="1" si="118"/>
        <v>6.150095454522079</v>
      </c>
      <c r="BI19" s="71">
        <f t="shared" ca="1" si="119"/>
        <v>1.511629926366503</v>
      </c>
      <c r="BJ19" s="71">
        <f t="shared" ca="1" si="120"/>
        <v>5.1437434894374299</v>
      </c>
      <c r="BK19" s="71">
        <f t="shared" ca="1" si="121"/>
        <v>2.7998933633226426</v>
      </c>
      <c r="BL19" s="71">
        <f t="shared" ca="1" si="122"/>
        <v>6.5807551947951781</v>
      </c>
      <c r="BM19" s="71">
        <f t="shared" ca="1" si="123"/>
        <v>6.1550106043332935</v>
      </c>
      <c r="BN19" s="71">
        <f t="shared" ca="1" si="124"/>
        <v>0.32616081398779317</v>
      </c>
      <c r="BO19" s="71">
        <f t="shared" ca="1" si="125"/>
        <v>1.9090182022654381</v>
      </c>
      <c r="BP19" s="71">
        <f t="shared" ca="1" si="126"/>
        <v>0.72118465418916555</v>
      </c>
      <c r="BQ19" s="71">
        <f t="shared" ca="1" si="127"/>
        <v>5.2680586205053261</v>
      </c>
      <c r="BR19" s="71">
        <f t="shared" ca="1" si="128"/>
        <v>9.0662078228519611</v>
      </c>
      <c r="BS19" s="71">
        <f t="shared" ca="1" si="129"/>
        <v>0.84676365169907852</v>
      </c>
      <c r="BT19" s="71">
        <f t="shared" ca="1" si="130"/>
        <v>3.012006496907691</v>
      </c>
      <c r="BU19" s="71">
        <f t="shared" ca="1" si="131"/>
        <v>2.5877802297375938</v>
      </c>
      <c r="BV19" s="71">
        <f t="shared" ca="1" si="132"/>
        <v>7.858907122393191</v>
      </c>
      <c r="BW19" s="71">
        <f t="shared" ca="1" si="133"/>
        <v>7.8137342672783623</v>
      </c>
      <c r="BX19" s="71">
        <f t="shared" ca="1" si="134"/>
        <v>0.75895112485621108</v>
      </c>
      <c r="BY19" s="71">
        <f t="shared" ca="1" si="135"/>
        <v>3.012006496907691</v>
      </c>
      <c r="BZ19" s="71">
        <f t="shared" ca="1" si="136"/>
        <v>2.5877802297375938</v>
      </c>
      <c r="CA19" s="71">
        <f t="shared" ca="1" si="137"/>
        <v>10.898836031274953</v>
      </c>
      <c r="CB19" s="71">
        <f t="shared" ca="1" si="138"/>
        <v>6.3157293945975939</v>
      </c>
      <c r="CC19" s="71">
        <f t="shared" ca="1" si="139"/>
        <v>0.92830385519602676</v>
      </c>
      <c r="CD19" s="71">
        <f t="shared" ca="1" si="140"/>
        <v>7.0125632784431557</v>
      </c>
      <c r="CE19" s="71">
        <f t="shared" ca="1" si="141"/>
        <v>4.0627554632238514</v>
      </c>
      <c r="CF19" s="71">
        <f t="shared" ca="1" si="142"/>
        <v>10.050511087504905</v>
      </c>
      <c r="CG19" s="71">
        <f t="shared" ca="1" si="143"/>
        <v>4.0627554632238514</v>
      </c>
      <c r="CH19" s="71">
        <f t="shared" ca="1" si="144"/>
        <v>5.4611574445075988</v>
      </c>
      <c r="CI19" s="71">
        <f t="shared" ca="1" si="145"/>
        <v>13.711810660563248</v>
      </c>
      <c r="CJ19" s="71">
        <f t="shared" ca="1" si="146"/>
        <v>5.4611574445075988</v>
      </c>
      <c r="CK19" s="71">
        <f t="shared" ca="1" si="147"/>
        <v>4.3180808364797754</v>
      </c>
    </row>
    <row r="20" spans="1:89" ht="6" customHeight="1" x14ac:dyDescent="0.25">
      <c r="B20" s="446"/>
      <c r="C20" s="95"/>
      <c r="D20" s="446"/>
      <c r="E20" s="201"/>
      <c r="F20" s="95"/>
      <c r="G20" s="115"/>
      <c r="H20" s="115"/>
      <c r="I20" s="150"/>
      <c r="J20" s="151"/>
      <c r="K20" s="48"/>
      <c r="L20" s="48"/>
      <c r="M20" s="48"/>
      <c r="N20" s="48"/>
      <c r="O20" s="48"/>
      <c r="P20" s="48"/>
      <c r="Q20" s="48"/>
      <c r="R20" s="151"/>
      <c r="S20" s="151"/>
      <c r="T20" s="48"/>
      <c r="U20" s="48"/>
      <c r="V20" s="151"/>
      <c r="W20" s="15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</row>
    <row r="21" spans="1:89" ht="6" customHeight="1" x14ac:dyDescent="0.25">
      <c r="B21" s="446"/>
      <c r="C21" s="95"/>
      <c r="D21" s="446"/>
      <c r="E21" s="201"/>
      <c r="F21" s="95"/>
      <c r="G21" s="115"/>
      <c r="H21" s="115"/>
      <c r="I21" s="150"/>
      <c r="J21" s="151"/>
      <c r="K21" s="48"/>
      <c r="L21" s="48"/>
      <c r="M21" s="48"/>
      <c r="N21" s="48"/>
      <c r="O21" s="48"/>
      <c r="P21" s="48"/>
      <c r="Q21" s="48"/>
      <c r="R21" s="151"/>
      <c r="S21" s="151"/>
      <c r="T21" s="48"/>
      <c r="U21" s="48"/>
      <c r="V21" s="151"/>
      <c r="W21" s="15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</row>
    <row r="22" spans="1:89" ht="6" customHeight="1" x14ac:dyDescent="0.25">
      <c r="B22" s="369"/>
      <c r="C22" s="95"/>
      <c r="D22" s="369"/>
      <c r="E22" s="201"/>
      <c r="F22" s="95"/>
      <c r="G22" s="115"/>
      <c r="H22" s="115"/>
      <c r="I22" s="150"/>
      <c r="J22" s="151"/>
      <c r="K22" s="48"/>
      <c r="L22" s="48"/>
      <c r="M22" s="48"/>
      <c r="N22" s="48"/>
      <c r="O22" s="48"/>
      <c r="P22" s="48"/>
      <c r="Q22" s="48"/>
      <c r="R22" s="151"/>
      <c r="S22" s="151"/>
      <c r="T22" s="48"/>
      <c r="U22" s="48"/>
      <c r="V22" s="151"/>
      <c r="W22" s="15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</row>
    <row r="23" spans="1:89" ht="6" customHeight="1" x14ac:dyDescent="0.25">
      <c r="B23" s="369"/>
      <c r="C23" s="95"/>
      <c r="D23" s="369"/>
      <c r="E23" s="201"/>
      <c r="F23" s="95"/>
      <c r="G23" s="115"/>
      <c r="H23" s="115"/>
      <c r="I23" s="150"/>
      <c r="J23" s="151"/>
      <c r="K23" s="48"/>
      <c r="L23" s="48"/>
      <c r="M23" s="48"/>
      <c r="N23" s="48"/>
      <c r="O23" s="48"/>
      <c r="P23" s="48"/>
      <c r="Q23" s="48"/>
      <c r="R23" s="151"/>
      <c r="S23" s="151"/>
      <c r="T23" s="48"/>
      <c r="U23" s="48"/>
      <c r="V23" s="151"/>
      <c r="W23" s="15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</row>
    <row r="24" spans="1:89" ht="6" customHeight="1" x14ac:dyDescent="0.25">
      <c r="B24" s="369"/>
      <c r="C24" s="95"/>
      <c r="D24" s="369"/>
      <c r="E24" s="201"/>
      <c r="F24" s="95"/>
      <c r="G24" s="115"/>
      <c r="H24" s="115"/>
      <c r="I24" s="150"/>
      <c r="J24" s="151"/>
      <c r="K24" s="48"/>
      <c r="L24" s="48"/>
      <c r="M24" s="48"/>
      <c r="N24" s="48"/>
      <c r="O24" s="48"/>
      <c r="P24" s="48"/>
      <c r="Q24" s="48"/>
      <c r="R24" s="151"/>
      <c r="S24" s="151"/>
      <c r="T24" s="48"/>
      <c r="U24" s="48"/>
      <c r="V24" s="151"/>
      <c r="W24" s="15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</row>
    <row r="25" spans="1:89" ht="6" customHeight="1" x14ac:dyDescent="0.25">
      <c r="B25" s="57"/>
      <c r="C25" s="95"/>
      <c r="D25" s="57"/>
      <c r="E25" s="201"/>
      <c r="F25" s="95"/>
      <c r="G25" s="115"/>
      <c r="H25" s="115"/>
      <c r="I25" s="150"/>
      <c r="J25" s="151"/>
      <c r="K25" s="48"/>
      <c r="L25" s="48"/>
      <c r="M25" s="48"/>
      <c r="N25" s="48"/>
      <c r="O25" s="48"/>
      <c r="P25" s="48"/>
      <c r="Q25" s="48"/>
      <c r="R25" s="151"/>
      <c r="S25" s="151"/>
      <c r="T25" s="48"/>
      <c r="U25" s="48"/>
      <c r="V25" s="151"/>
      <c r="W25" s="15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</row>
    <row r="26" spans="1:89" ht="6" customHeight="1" x14ac:dyDescent="0.25">
      <c r="B26" s="57"/>
      <c r="C26" s="95"/>
      <c r="D26" s="57"/>
      <c r="E26" s="201"/>
      <c r="F26" s="95"/>
      <c r="G26" s="115"/>
      <c r="H26" s="115"/>
      <c r="I26" s="150"/>
      <c r="J26" s="151"/>
      <c r="K26" s="48"/>
      <c r="L26" s="48"/>
      <c r="M26" s="48"/>
      <c r="N26" s="48"/>
      <c r="O26" s="48"/>
      <c r="P26" s="48"/>
      <c r="Q26" s="48"/>
      <c r="R26" s="151"/>
      <c r="S26" s="151"/>
      <c r="T26" s="48"/>
      <c r="U26" s="48"/>
      <c r="V26" s="151"/>
      <c r="W26" s="15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</row>
    <row r="27" spans="1:89" ht="6" customHeight="1" x14ac:dyDescent="0.25">
      <c r="D27" s="57"/>
    </row>
    <row r="28" spans="1:89" ht="18.75" x14ac:dyDescent="0.3">
      <c r="A28" s="133" t="s">
        <v>265</v>
      </c>
      <c r="B28" s="133" t="s">
        <v>266</v>
      </c>
      <c r="C28" s="133"/>
      <c r="D28" s="134"/>
      <c r="L28" s="44"/>
      <c r="M28" s="44"/>
    </row>
    <row r="29" spans="1:89" x14ac:dyDescent="0.25">
      <c r="A29" s="69" t="s">
        <v>267</v>
      </c>
      <c r="B29" s="135">
        <v>1</v>
      </c>
      <c r="C29" s="152">
        <v>0.624</v>
      </c>
      <c r="D29" s="153">
        <v>0.24500000000000002</v>
      </c>
    </row>
    <row r="30" spans="1:89" x14ac:dyDescent="0.25">
      <c r="A30" s="69" t="s">
        <v>268</v>
      </c>
      <c r="B30" s="135">
        <v>1</v>
      </c>
      <c r="C30" s="152">
        <v>1.002</v>
      </c>
      <c r="D30" s="153">
        <v>0.34000000000000008</v>
      </c>
    </row>
    <row r="31" spans="1:89" x14ac:dyDescent="0.25">
      <c r="A31" s="69" t="s">
        <v>269</v>
      </c>
      <c r="B31" s="135">
        <v>1</v>
      </c>
      <c r="C31" s="152">
        <v>0.46800000000000008</v>
      </c>
      <c r="D31" s="153">
        <v>0.125</v>
      </c>
    </row>
    <row r="32" spans="1:89" x14ac:dyDescent="0.25">
      <c r="A32" s="69" t="s">
        <v>270</v>
      </c>
      <c r="B32" s="135">
        <v>1</v>
      </c>
      <c r="C32" s="152">
        <v>0.877</v>
      </c>
      <c r="D32" s="153">
        <v>0.25</v>
      </c>
    </row>
    <row r="33" spans="1:85" x14ac:dyDescent="0.25">
      <c r="A33" s="69" t="s">
        <v>271</v>
      </c>
      <c r="B33" s="135">
        <v>1</v>
      </c>
      <c r="C33" s="152">
        <v>0.59299999999999997</v>
      </c>
      <c r="D33" s="153">
        <v>0.19</v>
      </c>
    </row>
    <row r="35" spans="1:85" ht="15.75" x14ac:dyDescent="0.25">
      <c r="A35" s="552" t="s">
        <v>272</v>
      </c>
      <c r="B35" s="552"/>
      <c r="C35" s="552"/>
      <c r="D35" s="552"/>
      <c r="E35" s="552"/>
    </row>
    <row r="36" spans="1:85" x14ac:dyDescent="0.25">
      <c r="A36" s="142" t="s">
        <v>84</v>
      </c>
      <c r="B36" s="142" t="s">
        <v>186</v>
      </c>
      <c r="C36" s="142" t="s">
        <v>86</v>
      </c>
      <c r="D36" s="143" t="s">
        <v>185</v>
      </c>
      <c r="E36" s="142" t="s">
        <v>255</v>
      </c>
      <c r="F36" s="145" t="s">
        <v>96</v>
      </c>
      <c r="G36" s="146" t="s">
        <v>257</v>
      </c>
      <c r="H36" s="146" t="s">
        <v>14</v>
      </c>
      <c r="I36" s="146" t="s">
        <v>37</v>
      </c>
      <c r="J36" s="146" t="s">
        <v>166</v>
      </c>
      <c r="K36" s="146" t="s">
        <v>30</v>
      </c>
      <c r="L36" s="146" t="s">
        <v>168</v>
      </c>
      <c r="M36" s="146" t="s">
        <v>169</v>
      </c>
      <c r="N36" s="146" t="s">
        <v>170</v>
      </c>
      <c r="O36" s="147" t="s">
        <v>258</v>
      </c>
      <c r="P36" s="147" t="s">
        <v>113</v>
      </c>
      <c r="Q36" s="147" t="s">
        <v>259</v>
      </c>
      <c r="R36" s="147" t="s">
        <v>260</v>
      </c>
      <c r="S36" s="147" t="s">
        <v>115</v>
      </c>
      <c r="T36" s="148" t="s">
        <v>261</v>
      </c>
      <c r="U36" s="148" t="s">
        <v>262</v>
      </c>
      <c r="V36" s="148" t="s">
        <v>261</v>
      </c>
      <c r="W36" s="149" t="s">
        <v>261</v>
      </c>
      <c r="X36" s="149" t="s">
        <v>262</v>
      </c>
      <c r="Y36" s="149" t="s">
        <v>261</v>
      </c>
      <c r="Z36" s="149" t="s">
        <v>28</v>
      </c>
      <c r="AA36" s="149" t="s">
        <v>261</v>
      </c>
      <c r="AB36" s="149" t="s">
        <v>262</v>
      </c>
      <c r="AC36" s="149" t="s">
        <v>261</v>
      </c>
      <c r="AD36" s="149" t="s">
        <v>28</v>
      </c>
      <c r="AE36" s="148" t="s">
        <v>261</v>
      </c>
      <c r="AF36" s="148" t="s">
        <v>262</v>
      </c>
      <c r="AG36" s="148" t="s">
        <v>28</v>
      </c>
      <c r="AH36" s="148" t="s">
        <v>263</v>
      </c>
      <c r="AI36" s="148" t="s">
        <v>261</v>
      </c>
      <c r="AJ36" s="148" t="s">
        <v>262</v>
      </c>
      <c r="AK36" s="148" t="s">
        <v>28</v>
      </c>
      <c r="AL36" s="148" t="s">
        <v>263</v>
      </c>
      <c r="AM36" s="148" t="s">
        <v>261</v>
      </c>
      <c r="AN36" s="148" t="s">
        <v>262</v>
      </c>
      <c r="AO36" s="148" t="s">
        <v>261</v>
      </c>
      <c r="AP36" s="148" t="s">
        <v>28</v>
      </c>
      <c r="AQ36" s="148" t="s">
        <v>263</v>
      </c>
      <c r="AR36" s="148" t="s">
        <v>264</v>
      </c>
      <c r="AS36" s="148" t="s">
        <v>263</v>
      </c>
      <c r="AT36" s="148" t="s">
        <v>261</v>
      </c>
      <c r="AU36" s="148" t="s">
        <v>262</v>
      </c>
      <c r="AV36" s="148" t="s">
        <v>261</v>
      </c>
      <c r="AW36" s="148" t="s">
        <v>28</v>
      </c>
      <c r="AX36" s="148" t="s">
        <v>263</v>
      </c>
      <c r="AY36" s="148" t="s">
        <v>264</v>
      </c>
      <c r="AZ36" s="148" t="s">
        <v>263</v>
      </c>
      <c r="BA36" s="149" t="s">
        <v>261</v>
      </c>
      <c r="BB36" s="149" t="s">
        <v>262</v>
      </c>
      <c r="BC36" s="149" t="s">
        <v>28</v>
      </c>
      <c r="BD36" s="149" t="s">
        <v>263</v>
      </c>
      <c r="BE36" s="149" t="s">
        <v>264</v>
      </c>
      <c r="BF36" s="149" t="s">
        <v>261</v>
      </c>
      <c r="BG36" s="149" t="s">
        <v>262</v>
      </c>
      <c r="BH36" s="149" t="s">
        <v>28</v>
      </c>
      <c r="BI36" s="149" t="s">
        <v>263</v>
      </c>
      <c r="BJ36" s="149" t="s">
        <v>264</v>
      </c>
      <c r="BK36" s="148" t="s">
        <v>261</v>
      </c>
      <c r="BL36" s="148" t="s">
        <v>262</v>
      </c>
      <c r="BM36" s="148" t="s">
        <v>28</v>
      </c>
      <c r="BN36" s="148" t="s">
        <v>263</v>
      </c>
      <c r="BO36" s="148" t="s">
        <v>264</v>
      </c>
      <c r="BP36" s="148" t="s">
        <v>261</v>
      </c>
      <c r="BQ36" s="148" t="s">
        <v>262</v>
      </c>
      <c r="BR36" s="148" t="s">
        <v>28</v>
      </c>
      <c r="BS36" s="148" t="s">
        <v>263</v>
      </c>
      <c r="BT36" s="148" t="s">
        <v>264</v>
      </c>
      <c r="BU36" s="148" t="s">
        <v>261</v>
      </c>
      <c r="BV36" s="148" t="s">
        <v>262</v>
      </c>
      <c r="BW36" s="148" t="s">
        <v>28</v>
      </c>
      <c r="BX36" s="148" t="s">
        <v>263</v>
      </c>
      <c r="BY36" s="148" t="s">
        <v>264</v>
      </c>
      <c r="BZ36" s="149" t="s">
        <v>28</v>
      </c>
      <c r="CA36" s="149" t="s">
        <v>263</v>
      </c>
      <c r="CB36" s="149" t="s">
        <v>264</v>
      </c>
      <c r="CC36" s="149" t="s">
        <v>263</v>
      </c>
      <c r="CD36" s="148" t="s">
        <v>263</v>
      </c>
      <c r="CE36" s="148" t="s">
        <v>264</v>
      </c>
      <c r="CF36" s="148" t="s">
        <v>263</v>
      </c>
      <c r="CG36" s="148" t="s">
        <v>28</v>
      </c>
    </row>
    <row r="37" spans="1:85" x14ac:dyDescent="0.25">
      <c r="A37" t="str">
        <f t="shared" ref="A37:E46" si="148">A3</f>
        <v>I. Shirazi</v>
      </c>
      <c r="B37">
        <f t="shared" si="148"/>
        <v>20</v>
      </c>
      <c r="C37" s="49">
        <f t="shared" ca="1" si="148"/>
        <v>88</v>
      </c>
      <c r="D37">
        <f t="shared" si="148"/>
        <v>0</v>
      </c>
      <c r="E37" s="201">
        <f t="shared" si="148"/>
        <v>44735</v>
      </c>
      <c r="F37" s="150">
        <f t="shared" ref="F37:F57" ca="1" si="149">I3</f>
        <v>0.26826417179081041</v>
      </c>
      <c r="G37" s="151">
        <f t="shared" ref="G37:G57" si="150">J3</f>
        <v>0.5</v>
      </c>
      <c r="H37" s="48">
        <f t="shared" ref="H37:H57" si="151">K3</f>
        <v>7</v>
      </c>
      <c r="I37" s="48">
        <f t="shared" ref="I37:I57" si="152">L3</f>
        <v>5</v>
      </c>
      <c r="J37" s="48">
        <f t="shared" ref="J37:J57" si="153">M3</f>
        <v>0</v>
      </c>
      <c r="K37" s="48">
        <f t="shared" ref="K37:K57" si="154">N3</f>
        <v>0</v>
      </c>
      <c r="L37" s="48">
        <f t="shared" ref="L37:L57" si="155">O3</f>
        <v>0</v>
      </c>
      <c r="M37" s="48">
        <f t="shared" ref="M37:M57" si="156">P3</f>
        <v>0</v>
      </c>
      <c r="N37" s="48">
        <f t="shared" ref="N37:N57" si="157">Q3</f>
        <v>12</v>
      </c>
      <c r="O37" s="151">
        <f t="shared" ref="O37:O57" si="158">((2*(L37+1))+(I37+1))/8</f>
        <v>1</v>
      </c>
      <c r="P37" s="151">
        <f t="shared" ref="P37:P57" ca="1" si="159">1.66*(M37+(LOG(G37)*4/3)+F37)+0.55*(N37+(LOG(G37)*4/3)+F37)-7.6</f>
        <v>-1.2941712342321718</v>
      </c>
      <c r="Q37" s="151">
        <f t="shared" ref="Q37:Q57" si="160">(0.5*M37+0.3*N37)/10</f>
        <v>0.36</v>
      </c>
      <c r="R37" s="151">
        <f t="shared" ref="R37:R57" si="161">(0.4*I37+0.3*N37)/10</f>
        <v>0.55999999999999994</v>
      </c>
      <c r="S37" s="151">
        <f t="shared" ref="S37:S57" ca="1" si="162">IF(TODAY()-E37&gt;335,(N37+1+(LOG(G37)*4/3)),(N37+((TODAY()-E37)^0.5)/(336^0.5)+(LOG(G37)*4/3)))</f>
        <v>11.956364272479377</v>
      </c>
      <c r="T37" s="71">
        <f t="shared" ref="T37:T57" ca="1" si="163">((H37+F37+(LOG(G37)*4/3))*0.597)+((I37+F37+(LOG(G37)*4/3))*0.276)</f>
        <v>5.4427957070205029</v>
      </c>
      <c r="U37" s="71">
        <f t="shared" ref="U37:U57" ca="1" si="164">((H37+F37+(LOG(G37)*4/3))*0.866)+((I37+F37+(LOG(G37)*4/3))*0.425)</f>
        <v>8.0151560799123356</v>
      </c>
      <c r="V37" s="71">
        <f t="shared" ref="V37:V57" ca="1" si="165">T37</f>
        <v>5.4427957070205029</v>
      </c>
      <c r="W37" s="71">
        <f t="shared" ref="W37:W57" ca="1" si="166">((I37+F37+(LOG(G37)*4/3))*0.516)</f>
        <v>2.5113156756272388</v>
      </c>
      <c r="X37" s="71">
        <f t="shared" ref="X37:X57" ca="1" si="167">(I37+F37+(LOG(G37)*4/3))*1</f>
        <v>4.866890844238835</v>
      </c>
      <c r="Y37" s="71">
        <f t="shared" ref="Y37:Y57" ca="1" si="168">W37/2</f>
        <v>1.2556578378136194</v>
      </c>
      <c r="Z37" s="71">
        <f t="shared" ref="Z37:Z57" ca="1" si="169">(J37+F37+(LOG(G37)*4/3))*0.238</f>
        <v>-3.1679979071157147E-2</v>
      </c>
      <c r="AA37" s="71">
        <f t="shared" ref="AA37:AA57" ca="1" si="170">((I37+F37+(LOG(G37)*4/3))*0.378)</f>
        <v>1.8396847391222797</v>
      </c>
      <c r="AB37" s="71">
        <f t="shared" ref="AB37:AB57" ca="1" si="171">(I37+F37+(LOG(G37)*4/3))*0.723</f>
        <v>3.5187620803846777</v>
      </c>
      <c r="AC37" s="71">
        <f t="shared" ref="AC37:AC57" ca="1" si="172">AA37/2</f>
        <v>0.91984236956113985</v>
      </c>
      <c r="AD37" s="71">
        <f t="shared" ref="AD37:AD57" ca="1" si="173">(J37+F37+(LOG(G37)*4/3))*0.385</f>
        <v>-5.1247024968048331E-2</v>
      </c>
      <c r="AE37" s="235">
        <f t="shared" ref="AE37:AE57" ca="1" si="174">((I37+F37+(LOG(G37)*4/3))*0.92)</f>
        <v>4.4775395766997281</v>
      </c>
      <c r="AF37" s="71">
        <f t="shared" ref="AF37:AF57" ca="1" si="175">(I37+F37+(LOG(G37)*4/3))*0.414</f>
        <v>2.0148928095148775</v>
      </c>
      <c r="AG37" s="71">
        <f t="shared" ref="AG37:AG57" ca="1" si="176">((J37+F37+(LOG(G37)*4/3))*0.167)</f>
        <v>-2.2229229012114472E-2</v>
      </c>
      <c r="AH37" s="235">
        <f t="shared" ref="AH37:AH57" ca="1" si="177">(K37+F37+(LOG(G37)*4/3))*0.588</f>
        <v>-7.8268183587564724E-2</v>
      </c>
      <c r="AI37" s="71">
        <f t="shared" ref="AI37:AI57" ca="1" si="178">((I37+F37+(LOG(G37)*4/3))*0.754)</f>
        <v>3.6696356965560817</v>
      </c>
      <c r="AJ37" s="71">
        <f t="shared" ref="AJ37:AJ57" ca="1" si="179">((I37+F37+(LOG(G37)*4/3))*0.708)</f>
        <v>3.4457587177210951</v>
      </c>
      <c r="AK37" s="71">
        <f t="shared" ref="AK37:AK57" ca="1" si="180">((N37+F37+(LOG(G37)*4/3))*0.167)</f>
        <v>1.9817707709878858</v>
      </c>
      <c r="AL37" s="71">
        <f t="shared" ref="AL37:AL57" ca="1" si="181">((O37+F37+(LOG(G37)*4/3))*0.288)</f>
        <v>0.24966456314078458</v>
      </c>
      <c r="AM37" s="71">
        <f t="shared" ref="AM37:AM57" ca="1" si="182">((I37+F37+(LOG(G37)*4/3))*0.27)</f>
        <v>1.3140605279444855</v>
      </c>
      <c r="AN37" s="71">
        <f t="shared" ref="AN37:AN57" ca="1" si="183">((I37+F37+(LOG(G37)*4/3))*0.594)</f>
        <v>2.8909331614778679</v>
      </c>
      <c r="AO37" s="71">
        <f t="shared" ref="AO37:AO57" ca="1" si="184">AM37/2</f>
        <v>0.65703026397224273</v>
      </c>
      <c r="AP37" s="71">
        <f t="shared" ref="AP37:AP57" ca="1" si="185">((J37+F37+(LOG(G37)*4/3))*0.944)</f>
        <v>-0.12565504303853928</v>
      </c>
      <c r="AQ37" s="71">
        <f t="shared" ref="AQ37:AQ57" ca="1" si="186">((L37+F37+(LOG(G37)*4/3))*0.13)</f>
        <v>-1.7304190248951384E-2</v>
      </c>
      <c r="AR37" s="71">
        <f t="shared" ref="AR37:AR57" ca="1" si="187">((M37+F37+(LOG(G37)*4/3))*0.173)+((L37+F37+(LOG(G37)*4/3))*0.12)</f>
        <v>-3.9000982638021195E-2</v>
      </c>
      <c r="AS37" s="71">
        <f t="shared" ref="AS37:AS57" ca="1" si="188">AQ37/2</f>
        <v>-8.6520951244756922E-3</v>
      </c>
      <c r="AT37" s="71">
        <f t="shared" ref="AT37:AT57" ca="1" si="189">((I37+F37+(LOG(G37)*4/3))*0.189)</f>
        <v>0.91984236956113985</v>
      </c>
      <c r="AU37" s="71">
        <f t="shared" ref="AU37:AU57" ca="1" si="190">((I37+F37+(LOG(G37)*4/3))*0.4)</f>
        <v>1.9467563376955341</v>
      </c>
      <c r="AV37" s="71">
        <f t="shared" ref="AV37:AV57" ca="1" si="191">AT37/2</f>
        <v>0.45992118478056992</v>
      </c>
      <c r="AW37" s="71">
        <f t="shared" ref="AW37:AW57" ca="1" si="192">((J37+F37+(LOG(G37)*4/3))*1)</f>
        <v>-0.1331091557611645</v>
      </c>
      <c r="AX37" s="71">
        <f t="shared" ref="AX37:AX57" ca="1" si="193">((L37+F37+(LOG(G37)*4/3))*0.253)</f>
        <v>-3.3676616407574619E-2</v>
      </c>
      <c r="AY37" s="71">
        <f t="shared" ref="AY37:AY57" ca="1" si="194">((M37+F37+(LOG(G37)*4/3))*0.21)+((L37+F37+(LOG(G37)*4/3))*0.341)</f>
        <v>-7.3343144824401643E-2</v>
      </c>
      <c r="AZ37" s="71">
        <f t="shared" ref="AZ37:AZ57" ca="1" si="195">AX37/2</f>
        <v>-1.683830820378731E-2</v>
      </c>
      <c r="BA37" s="71">
        <f t="shared" ref="BA37:BA57" ca="1" si="196">((I37+F37+(LOG(G37)*4/3))*0.291)</f>
        <v>1.4162652356735008</v>
      </c>
      <c r="BB37" s="71">
        <f t="shared" ref="BB37:BB57" ca="1" si="197">((I37+F37+(LOG(G37)*4/3))*0.348)</f>
        <v>1.6936780137951144</v>
      </c>
      <c r="BC37" s="71">
        <f t="shared" ref="BC37:BC57" ca="1" si="198">((J37+F37+(LOG(G37)*4/3))*0.881)</f>
        <v>-0.11726916622558592</v>
      </c>
      <c r="BD37" s="71">
        <f t="shared" ref="BD37:BD57" ca="1" si="199">((K37+F37+(LOG(G37)*4/3))*0.574)+((L37+F37+(LOG(G37)*4/3))*0.315)</f>
        <v>-0.11833403947167523</v>
      </c>
      <c r="BE37" s="71">
        <f t="shared" ref="BE37:BE57" ca="1" si="200">((L37+F37+(LOG(G37)*4/3))*0.241)</f>
        <v>-3.2079306538440641E-2</v>
      </c>
      <c r="BF37" s="71">
        <f t="shared" ref="BF37:BF57" ca="1" si="201">((I37+F37+(LOG(G37)*4/3))*0.485)</f>
        <v>2.3604420594558349</v>
      </c>
      <c r="BG37" s="71">
        <f t="shared" ref="BG37:BG57" ca="1" si="202">((I37+F37+(LOG(G37)*4/3))*0.264)</f>
        <v>1.2848591828790525</v>
      </c>
      <c r="BH37" s="71">
        <f t="shared" ref="BH37:BH57" ca="1" si="203">((J37+F37+(LOG(G37)*4/3))*0.381)</f>
        <v>-5.0714588345003676E-2</v>
      </c>
      <c r="BI37" s="71">
        <f t="shared" ref="BI37:BI57" ca="1" si="204">((K37+F37+(LOG(G37)*4/3))*0.673)+((L37+F37+(LOG(G37)*4/3))*0.201)</f>
        <v>-0.11633740213525778</v>
      </c>
      <c r="BJ37" s="71">
        <f t="shared" ref="BJ37:BJ57" ca="1" si="205">((L37+F37+(LOG(G37)*4/3))*0.052)</f>
        <v>-6.9216760995805537E-3</v>
      </c>
      <c r="BK37" s="71">
        <f t="shared" ref="BK37:BK57" ca="1" si="206">((I37+F37+(LOG(G37)*4/3))*0.18)</f>
        <v>0.87604035196299024</v>
      </c>
      <c r="BL37" s="71">
        <f t="shared" ref="BL37:BL57" ca="1" si="207">(I37+F37+(LOG(G37)*4/3))*0.068</f>
        <v>0.3309485774082408</v>
      </c>
      <c r="BM37" s="71">
        <f t="shared" ref="BM37:BM57" ca="1" si="208">((J37+F37+(LOG(G37)*4/3))*0.305)</f>
        <v>-4.0598292507155173E-2</v>
      </c>
      <c r="BN37" s="71">
        <f t="shared" ref="BN37:BN57" ca="1" si="209">((K37+F37+(LOG(G37)*4/3))*1)+((L37+F37+(LOG(G37)*4/3))*0.286)</f>
        <v>-0.17117837430885754</v>
      </c>
      <c r="BO37" s="71">
        <f t="shared" ref="BO37:BO57" ca="1" si="210">((L37+F37+(LOG(G37)*4/3))*0.135)</f>
        <v>-1.796973602775721E-2</v>
      </c>
      <c r="BP37" s="71">
        <f t="shared" ref="BP37:BP57" ca="1" si="211">((I37+F37+(LOG(G37)*4/3))*0.284)</f>
        <v>1.382196999763829</v>
      </c>
      <c r="BQ37" s="71">
        <f t="shared" ref="BQ37:BQ57" ca="1" si="212">(I37+F37+(LOG(G37)*4/3))*0.244</f>
        <v>1.1875213659942758</v>
      </c>
      <c r="BR37" s="71">
        <f t="shared" ref="BR37:BR57" ca="1" si="213">((J37+F37+(LOG(G37)*4/3))*0.455)</f>
        <v>-6.0564665871329852E-2</v>
      </c>
      <c r="BS37" s="71">
        <f t="shared" ref="BS37:BS57" ca="1" si="214">((K37+F37+(LOG(G37)*4/3))*0.864)+((L37+F37+(LOG(G37)*4/3))*0.244)</f>
        <v>-0.14748494458337025</v>
      </c>
      <c r="BT37" s="71">
        <f t="shared" ref="BT37:BT57" ca="1" si="215">((L37+F37+(LOG(G37)*4/3))*0.121)</f>
        <v>-1.6106207847100904E-2</v>
      </c>
      <c r="BU37" s="71">
        <f t="shared" ref="BU37:BU57" ca="1" si="216">((I37+F37+(LOG(G37)*4/3))*0.284)</f>
        <v>1.382196999763829</v>
      </c>
      <c r="BV37" s="71">
        <f t="shared" ref="BV37:BV57" ca="1" si="217">((I37+F37+(LOG(G37)*4/3))*0.244)</f>
        <v>1.1875213659942758</v>
      </c>
      <c r="BW37" s="71">
        <f t="shared" ref="BW37:BW57" ca="1" si="218">((J37+F37+(LOG(G37)*4/3))*0.631)</f>
        <v>-8.3991877285294794E-2</v>
      </c>
      <c r="BX37" s="71">
        <f t="shared" ref="BX37:BX57" ca="1" si="219">((K37+F37+(LOG(G37)*4/3))*0.702)+((L37+F37+(LOG(G37)*4/3))*0.193)</f>
        <v>-0.11913269440624222</v>
      </c>
      <c r="BY37" s="71">
        <f t="shared" ref="BY37:BY57" ca="1" si="220">((L37+F37+(LOG(G37)*4/3))*0.148)</f>
        <v>-1.9700155052652345E-2</v>
      </c>
      <c r="BZ37" s="71">
        <f t="shared" ref="BZ37:BZ57" ca="1" si="221">((J37+F37+(LOG(G37)*4/3))*0.406)</f>
        <v>-5.4042317239032793E-2</v>
      </c>
      <c r="CA37" s="71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-6.9349870151566698E-2</v>
      </c>
      <c r="CB37" s="71">
        <f t="shared" ref="CB37:CB57" ca="1" si="223">((L37+F37+(LOG(G37)*4/3))*0.543)+((M37+F37+(LOG(G37)*4/3))*0.583)</f>
        <v>-0.14988090938707122</v>
      </c>
      <c r="CC37" s="71">
        <f t="shared" ref="CC37:CC57" ca="1" si="224">CA37</f>
        <v>-6.9349870151566698E-2</v>
      </c>
      <c r="CD37" s="71">
        <f t="shared" ref="CD37:CD57" ca="1" si="225">((M37+1+(LOG(G37)*4/3))*0.26)+((K37+F37+(LOG(G37)*4/3))*0.221)+((L37+F37+(LOG(G37)*4/3))*0.142)</f>
        <v>0.1073243112951838</v>
      </c>
      <c r="CE37" s="71">
        <f t="shared" ref="CE37:CE57" ca="1" si="226">((M37+F37+(LOG(G37)*4/3))*1)+((L37+F37+(LOG(G37)*4/3))*0.369)</f>
        <v>-0.18222643423703419</v>
      </c>
      <c r="CF37" s="71">
        <f t="shared" ref="CF37:CF57" ca="1" si="227">CD37</f>
        <v>0.1073243112951838</v>
      </c>
      <c r="CG37" s="71">
        <f t="shared" ref="CG37:CG57" ca="1" si="228">((J37+F37+(LOG(G37)*4/3))*0.25)</f>
        <v>-3.3277288940291125E-2</v>
      </c>
    </row>
    <row r="38" spans="1:85" x14ac:dyDescent="0.25">
      <c r="A38" t="str">
        <f t="shared" si="148"/>
        <v>L. Guangwei</v>
      </c>
      <c r="B38">
        <f t="shared" si="148"/>
        <v>29</v>
      </c>
      <c r="C38" s="49">
        <f t="shared" ca="1" si="148"/>
        <v>59</v>
      </c>
      <c r="D38" t="str">
        <f t="shared" si="148"/>
        <v>IMP</v>
      </c>
      <c r="E38" s="201">
        <f t="shared" si="148"/>
        <v>43878</v>
      </c>
      <c r="F38" s="150">
        <f t="shared" ca="1" si="149"/>
        <v>1</v>
      </c>
      <c r="G38" s="151">
        <f t="shared" si="150"/>
        <v>9</v>
      </c>
      <c r="H38" s="48">
        <f t="shared" si="151"/>
        <v>15</v>
      </c>
      <c r="I38" s="48">
        <f t="shared" si="152"/>
        <v>9.4444444444444446</v>
      </c>
      <c r="J38" s="48">
        <f t="shared" si="153"/>
        <v>3</v>
      </c>
      <c r="K38" s="48">
        <f t="shared" si="154"/>
        <v>1</v>
      </c>
      <c r="L38" s="48">
        <f t="shared" si="155"/>
        <v>5</v>
      </c>
      <c r="M38" s="48">
        <f t="shared" si="156"/>
        <v>5.6</v>
      </c>
      <c r="N38" s="48">
        <f t="shared" si="157"/>
        <v>22</v>
      </c>
      <c r="O38" s="151">
        <f t="shared" si="158"/>
        <v>2.8055555555555554</v>
      </c>
      <c r="P38" s="151">
        <f t="shared" ca="1" si="159"/>
        <v>18.817834594481212</v>
      </c>
      <c r="Q38" s="151">
        <f t="shared" si="160"/>
        <v>0.93999999999999984</v>
      </c>
      <c r="R38" s="151">
        <f t="shared" si="161"/>
        <v>1.0377777777777779</v>
      </c>
      <c r="S38" s="151">
        <f t="shared" ca="1" si="162"/>
        <v>24.272323345919101</v>
      </c>
      <c r="T38" s="71">
        <f t="shared" ca="1" si="163"/>
        <v>13.545404947654042</v>
      </c>
      <c r="U38" s="71">
        <f t="shared" ca="1" si="164"/>
        <v>19.937458328470449</v>
      </c>
      <c r="V38" s="71">
        <f t="shared" ca="1" si="165"/>
        <v>13.545404947654042</v>
      </c>
      <c r="W38" s="71">
        <f t="shared" ca="1" si="166"/>
        <v>6.0458521798275893</v>
      </c>
      <c r="X38" s="71">
        <f t="shared" ca="1" si="167"/>
        <v>11.716767790363544</v>
      </c>
      <c r="Y38" s="71">
        <f t="shared" ca="1" si="168"/>
        <v>3.0229260899137946</v>
      </c>
      <c r="Z38" s="71">
        <f t="shared" ca="1" si="169"/>
        <v>1.2548129563287456</v>
      </c>
      <c r="AA38" s="71">
        <f t="shared" ca="1" si="170"/>
        <v>4.4289382247574194</v>
      </c>
      <c r="AB38" s="71">
        <f t="shared" ca="1" si="171"/>
        <v>8.4712231124328419</v>
      </c>
      <c r="AC38" s="71">
        <f t="shared" ca="1" si="172"/>
        <v>2.2144691123787097</v>
      </c>
      <c r="AD38" s="71">
        <f t="shared" ca="1" si="173"/>
        <v>2.0298444881788535</v>
      </c>
      <c r="AE38" s="235">
        <f t="shared" ca="1" si="174"/>
        <v>10.779426367134461</v>
      </c>
      <c r="AF38" s="71">
        <f t="shared" ca="1" si="175"/>
        <v>4.850741865210507</v>
      </c>
      <c r="AG38" s="71">
        <f t="shared" ca="1" si="176"/>
        <v>0.88047799876848964</v>
      </c>
      <c r="AH38" s="235">
        <f t="shared" ca="1" si="177"/>
        <v>1.9241261274004304</v>
      </c>
      <c r="AI38" s="71">
        <f t="shared" ca="1" si="178"/>
        <v>8.8344429139341116</v>
      </c>
      <c r="AJ38" s="71">
        <f t="shared" ca="1" si="179"/>
        <v>8.2954715955773892</v>
      </c>
      <c r="AK38" s="71">
        <f t="shared" ca="1" si="180"/>
        <v>4.0534779987684901</v>
      </c>
      <c r="AL38" s="71">
        <f t="shared" ca="1" si="181"/>
        <v>1.4624291236247005</v>
      </c>
      <c r="AM38" s="71">
        <f t="shared" ca="1" si="182"/>
        <v>3.163527303398157</v>
      </c>
      <c r="AN38" s="71">
        <f t="shared" ca="1" si="183"/>
        <v>6.959760067475945</v>
      </c>
      <c r="AO38" s="71">
        <f t="shared" ca="1" si="184"/>
        <v>1.5817636516990785</v>
      </c>
      <c r="AP38" s="71">
        <f t="shared" ca="1" si="185"/>
        <v>4.9770732385476295</v>
      </c>
      <c r="AQ38" s="71">
        <f t="shared" ca="1" si="186"/>
        <v>0.94540203496948294</v>
      </c>
      <c r="AR38" s="71">
        <f t="shared" ca="1" si="187"/>
        <v>2.2345907403542959</v>
      </c>
      <c r="AS38" s="71">
        <f t="shared" ca="1" si="188"/>
        <v>0.47270101748474147</v>
      </c>
      <c r="AT38" s="71">
        <f t="shared" ca="1" si="189"/>
        <v>2.2144691123787097</v>
      </c>
      <c r="AU38" s="71">
        <f t="shared" ca="1" si="190"/>
        <v>4.6867071161454179</v>
      </c>
      <c r="AV38" s="71">
        <f t="shared" ca="1" si="191"/>
        <v>1.1072345561893548</v>
      </c>
      <c r="AW38" s="71">
        <f t="shared" ca="1" si="192"/>
        <v>5.2723233459190997</v>
      </c>
      <c r="AX38" s="71">
        <f t="shared" ca="1" si="193"/>
        <v>1.8398978065175322</v>
      </c>
      <c r="AY38" s="71">
        <f t="shared" ca="1" si="194"/>
        <v>4.1330501636014239</v>
      </c>
      <c r="AZ38" s="71">
        <f t="shared" ca="1" si="195"/>
        <v>0.9199489032587661</v>
      </c>
      <c r="BA38" s="71">
        <f t="shared" ca="1" si="196"/>
        <v>3.4095794269957911</v>
      </c>
      <c r="BB38" s="71">
        <f t="shared" ca="1" si="197"/>
        <v>4.0774351910465132</v>
      </c>
      <c r="BC38" s="71">
        <f t="shared" ca="1" si="198"/>
        <v>4.644916867754727</v>
      </c>
      <c r="BD38" s="71">
        <f t="shared" ca="1" si="199"/>
        <v>4.1690954545220791</v>
      </c>
      <c r="BE38" s="71">
        <f t="shared" ca="1" si="200"/>
        <v>1.7526299263665031</v>
      </c>
      <c r="BF38" s="71">
        <f t="shared" ca="1" si="201"/>
        <v>5.6826323783263186</v>
      </c>
      <c r="BG38" s="71">
        <f t="shared" ca="1" si="202"/>
        <v>3.093226696655976</v>
      </c>
      <c r="BH38" s="71">
        <f t="shared" ca="1" si="203"/>
        <v>2.0087551947951772</v>
      </c>
      <c r="BI38" s="71">
        <f t="shared" ca="1" si="204"/>
        <v>3.6640106043332938</v>
      </c>
      <c r="BJ38" s="71">
        <f t="shared" ca="1" si="205"/>
        <v>0.37816081398779317</v>
      </c>
      <c r="BK38" s="71">
        <f t="shared" ca="1" si="206"/>
        <v>2.109018202265438</v>
      </c>
      <c r="BL38" s="71">
        <f t="shared" ca="1" si="207"/>
        <v>0.79674020974472104</v>
      </c>
      <c r="BM38" s="71">
        <f t="shared" ca="1" si="208"/>
        <v>1.6080586205053253</v>
      </c>
      <c r="BN38" s="71">
        <f t="shared" ca="1" si="209"/>
        <v>5.3522078228519625</v>
      </c>
      <c r="BO38" s="71">
        <f t="shared" ca="1" si="210"/>
        <v>0.98176365169907853</v>
      </c>
      <c r="BP38" s="71">
        <f t="shared" ca="1" si="211"/>
        <v>3.3275620524632461</v>
      </c>
      <c r="BQ38" s="71">
        <f t="shared" ca="1" si="212"/>
        <v>2.8588913408487047</v>
      </c>
      <c r="BR38" s="71">
        <f t="shared" ca="1" si="213"/>
        <v>2.3989071223931906</v>
      </c>
      <c r="BS38" s="71">
        <f t="shared" ca="1" si="214"/>
        <v>4.6017342672783625</v>
      </c>
      <c r="BT38" s="71">
        <f t="shared" ca="1" si="215"/>
        <v>0.87995112485621108</v>
      </c>
      <c r="BU38" s="71">
        <f t="shared" ca="1" si="216"/>
        <v>3.3275620524632461</v>
      </c>
      <c r="BV38" s="71">
        <f t="shared" ca="1" si="217"/>
        <v>2.8588913408487047</v>
      </c>
      <c r="BW38" s="71">
        <f t="shared" ca="1" si="218"/>
        <v>3.3268360312749521</v>
      </c>
      <c r="BX38" s="71">
        <f t="shared" ca="1" si="219"/>
        <v>3.7007293945975941</v>
      </c>
      <c r="BY38" s="71">
        <f t="shared" ca="1" si="220"/>
        <v>1.0763038551960267</v>
      </c>
      <c r="BZ38" s="71">
        <f t="shared" ca="1" si="221"/>
        <v>2.1405632784431545</v>
      </c>
      <c r="CA38" s="71">
        <f t="shared" ca="1" si="222"/>
        <v>3.2890804632238506</v>
      </c>
      <c r="CB38" s="71">
        <f t="shared" ca="1" si="223"/>
        <v>8.5384360875049055</v>
      </c>
      <c r="CC38" s="71">
        <f t="shared" ca="1" si="224"/>
        <v>3.2890804632238506</v>
      </c>
      <c r="CD38" s="71">
        <f t="shared" ca="1" si="225"/>
        <v>3.8026574445075991</v>
      </c>
      <c r="CE38" s="71">
        <f t="shared" ca="1" si="226"/>
        <v>10.555810660563246</v>
      </c>
      <c r="CF38" s="71">
        <f t="shared" ca="1" si="227"/>
        <v>3.8026574445075991</v>
      </c>
      <c r="CG38" s="71">
        <f t="shared" ca="1" si="228"/>
        <v>1.3180808364797749</v>
      </c>
    </row>
    <row r="39" spans="1:85" x14ac:dyDescent="0.25">
      <c r="A39" t="str">
        <f t="shared" si="148"/>
        <v>V. Gardner</v>
      </c>
      <c r="B39">
        <f t="shared" si="148"/>
        <v>28</v>
      </c>
      <c r="C39" s="49">
        <f t="shared" ca="1" si="148"/>
        <v>100</v>
      </c>
      <c r="D39">
        <f t="shared" si="148"/>
        <v>0</v>
      </c>
      <c r="E39" s="201">
        <f t="shared" si="148"/>
        <v>43756</v>
      </c>
      <c r="F39" s="150">
        <f t="shared" ca="1" si="149"/>
        <v>1</v>
      </c>
      <c r="G39" s="151">
        <f t="shared" si="150"/>
        <v>8</v>
      </c>
      <c r="H39" s="48">
        <f t="shared" si="151"/>
        <v>0</v>
      </c>
      <c r="I39" s="48">
        <f t="shared" si="152"/>
        <v>15</v>
      </c>
      <c r="J39" s="48">
        <f t="shared" si="153"/>
        <v>8.375</v>
      </c>
      <c r="K39" s="48">
        <f t="shared" si="154"/>
        <v>3</v>
      </c>
      <c r="L39" s="48">
        <f t="shared" si="155"/>
        <v>5</v>
      </c>
      <c r="M39" s="48">
        <f t="shared" si="156"/>
        <v>7.333333333333333</v>
      </c>
      <c r="N39" s="48">
        <f t="shared" si="157"/>
        <v>19</v>
      </c>
      <c r="O39" s="151">
        <f t="shared" si="158"/>
        <v>3.5</v>
      </c>
      <c r="P39" s="151">
        <f t="shared" ca="1" si="159"/>
        <v>19.894438495002923</v>
      </c>
      <c r="Q39" s="151">
        <f t="shared" si="160"/>
        <v>0.93666666666666676</v>
      </c>
      <c r="R39" s="151">
        <f t="shared" si="161"/>
        <v>1.17</v>
      </c>
      <c r="S39" s="151">
        <f t="shared" ca="1" si="162"/>
        <v>21.204119982655925</v>
      </c>
      <c r="T39" s="71">
        <f t="shared" ca="1" si="163"/>
        <v>6.0641967448586227</v>
      </c>
      <c r="U39" s="71">
        <f t="shared" ca="1" si="164"/>
        <v>9.2205188976087982</v>
      </c>
      <c r="V39" s="71">
        <f t="shared" ca="1" si="165"/>
        <v>6.0641967448586227</v>
      </c>
      <c r="W39" s="71">
        <f t="shared" ca="1" si="166"/>
        <v>8.8773259110504572</v>
      </c>
      <c r="X39" s="71">
        <f t="shared" ca="1" si="167"/>
        <v>17.204119982655925</v>
      </c>
      <c r="Y39" s="71">
        <f t="shared" ca="1" si="168"/>
        <v>4.4386629555252286</v>
      </c>
      <c r="Z39" s="71">
        <f t="shared" ca="1" si="169"/>
        <v>2.5178305558721101</v>
      </c>
      <c r="AA39" s="71">
        <f t="shared" ca="1" si="170"/>
        <v>6.5031573534439397</v>
      </c>
      <c r="AB39" s="71">
        <f t="shared" ca="1" si="171"/>
        <v>12.438578747460234</v>
      </c>
      <c r="AC39" s="71">
        <f t="shared" ca="1" si="172"/>
        <v>3.2515786767219699</v>
      </c>
      <c r="AD39" s="71">
        <f t="shared" ca="1" si="173"/>
        <v>4.0729611933225316</v>
      </c>
      <c r="AE39" s="235">
        <f t="shared" ca="1" si="174"/>
        <v>15.827790384043452</v>
      </c>
      <c r="AF39" s="71">
        <f t="shared" ca="1" si="175"/>
        <v>7.1225056728195524</v>
      </c>
      <c r="AG39" s="71">
        <f t="shared" ca="1" si="176"/>
        <v>1.7667130371035396</v>
      </c>
      <c r="AH39" s="235">
        <f t="shared" ca="1" si="177"/>
        <v>3.0600225498016838</v>
      </c>
      <c r="AI39" s="71">
        <f t="shared" ca="1" si="178"/>
        <v>12.971906466922567</v>
      </c>
      <c r="AJ39" s="71">
        <f t="shared" ca="1" si="179"/>
        <v>12.180516947720394</v>
      </c>
      <c r="AK39" s="71">
        <f t="shared" ca="1" si="180"/>
        <v>3.5410880371035396</v>
      </c>
      <c r="AL39" s="71">
        <f t="shared" ca="1" si="181"/>
        <v>1.6427865550049063</v>
      </c>
      <c r="AM39" s="71">
        <f t="shared" ca="1" si="182"/>
        <v>4.6451123953171001</v>
      </c>
      <c r="AN39" s="71">
        <f t="shared" ca="1" si="183"/>
        <v>10.219247269697618</v>
      </c>
      <c r="AO39" s="71">
        <f t="shared" ca="1" si="184"/>
        <v>2.32255619765855</v>
      </c>
      <c r="AP39" s="71">
        <f t="shared" ca="1" si="185"/>
        <v>9.9866892636271931</v>
      </c>
      <c r="AQ39" s="71">
        <f t="shared" ca="1" si="186"/>
        <v>0.93653559774527029</v>
      </c>
      <c r="AR39" s="71">
        <f t="shared" ca="1" si="187"/>
        <v>2.5144738215848523</v>
      </c>
      <c r="AS39" s="71">
        <f t="shared" ca="1" si="188"/>
        <v>0.46826779887263514</v>
      </c>
      <c r="AT39" s="71">
        <f t="shared" ca="1" si="189"/>
        <v>3.2515786767219699</v>
      </c>
      <c r="AU39" s="71">
        <f t="shared" ca="1" si="190"/>
        <v>6.8816479930623702</v>
      </c>
      <c r="AV39" s="71">
        <f t="shared" ca="1" si="191"/>
        <v>1.6257893383609849</v>
      </c>
      <c r="AW39" s="71">
        <f t="shared" ca="1" si="192"/>
        <v>10.579119982655925</v>
      </c>
      <c r="AX39" s="71">
        <f t="shared" ca="1" si="193"/>
        <v>1.8226423556119491</v>
      </c>
      <c r="AY39" s="71">
        <f t="shared" ca="1" si="194"/>
        <v>4.459470110443414</v>
      </c>
      <c r="AZ39" s="71">
        <f t="shared" ca="1" si="195"/>
        <v>0.91132117780597455</v>
      </c>
      <c r="BA39" s="71">
        <f t="shared" ca="1" si="196"/>
        <v>5.0063989149528743</v>
      </c>
      <c r="BB39" s="71">
        <f t="shared" ca="1" si="197"/>
        <v>5.9870337539642611</v>
      </c>
      <c r="BC39" s="71">
        <f t="shared" ca="1" si="198"/>
        <v>9.3202047047198704</v>
      </c>
      <c r="BD39" s="71">
        <f t="shared" ca="1" si="199"/>
        <v>5.2564626645811172</v>
      </c>
      <c r="BE39" s="71">
        <f t="shared" ca="1" si="200"/>
        <v>1.736192915820078</v>
      </c>
      <c r="BF39" s="71">
        <f t="shared" ca="1" si="201"/>
        <v>8.3439981915881241</v>
      </c>
      <c r="BG39" s="71">
        <f t="shared" ca="1" si="202"/>
        <v>4.5418876754211643</v>
      </c>
      <c r="BH39" s="71">
        <f t="shared" ca="1" si="203"/>
        <v>4.0306447133919079</v>
      </c>
      <c r="BI39" s="71">
        <f t="shared" ca="1" si="204"/>
        <v>4.9504008648412787</v>
      </c>
      <c r="BJ39" s="71">
        <f t="shared" ca="1" si="205"/>
        <v>0.37461423909810809</v>
      </c>
      <c r="BK39" s="71">
        <f t="shared" ca="1" si="206"/>
        <v>3.0967415968780663</v>
      </c>
      <c r="BL39" s="71">
        <f t="shared" ca="1" si="207"/>
        <v>1.1698801588206029</v>
      </c>
      <c r="BM39" s="71">
        <f t="shared" ca="1" si="208"/>
        <v>3.226631594710057</v>
      </c>
      <c r="BN39" s="71">
        <f t="shared" ca="1" si="209"/>
        <v>7.2644982976955195</v>
      </c>
      <c r="BO39" s="71">
        <f t="shared" ca="1" si="210"/>
        <v>0.97255619765854995</v>
      </c>
      <c r="BP39" s="71">
        <f t="shared" ca="1" si="211"/>
        <v>4.8859700750742823</v>
      </c>
      <c r="BQ39" s="71">
        <f t="shared" ca="1" si="212"/>
        <v>4.1978052757680455</v>
      </c>
      <c r="BR39" s="71">
        <f t="shared" ca="1" si="213"/>
        <v>4.813499592108446</v>
      </c>
      <c r="BS39" s="71">
        <f t="shared" ca="1" si="214"/>
        <v>6.2541649407827649</v>
      </c>
      <c r="BT39" s="71">
        <f t="shared" ca="1" si="215"/>
        <v>0.87169851790136688</v>
      </c>
      <c r="BU39" s="71">
        <f t="shared" ca="1" si="216"/>
        <v>4.8859700750742823</v>
      </c>
      <c r="BV39" s="71">
        <f t="shared" ca="1" si="217"/>
        <v>4.1978052757680455</v>
      </c>
      <c r="BW39" s="71">
        <f t="shared" ca="1" si="218"/>
        <v>6.6754247090558891</v>
      </c>
      <c r="BX39" s="71">
        <f t="shared" ca="1" si="219"/>
        <v>5.0436873844770531</v>
      </c>
      <c r="BY39" s="71">
        <f t="shared" ca="1" si="220"/>
        <v>1.0662097574330769</v>
      </c>
      <c r="BZ39" s="71">
        <f t="shared" ca="1" si="221"/>
        <v>4.2951227129583058</v>
      </c>
      <c r="CA39" s="71">
        <f t="shared" ca="1" si="222"/>
        <v>3.76167984429707</v>
      </c>
      <c r="CB39" s="71">
        <f t="shared" ca="1" si="223"/>
        <v>9.4721724338039053</v>
      </c>
      <c r="CC39" s="71">
        <f t="shared" ca="1" si="224"/>
        <v>3.76167984429707</v>
      </c>
      <c r="CD39" s="71">
        <f t="shared" ca="1" si="225"/>
        <v>4.6528334158613074</v>
      </c>
      <c r="CE39" s="71">
        <f t="shared" ca="1" si="226"/>
        <v>12.195773589589294</v>
      </c>
      <c r="CF39" s="71">
        <f t="shared" ca="1" si="227"/>
        <v>4.6528334158613074</v>
      </c>
      <c r="CG39" s="71">
        <f t="shared" ca="1" si="228"/>
        <v>2.6447799956639813</v>
      </c>
    </row>
    <row r="40" spans="1:85" x14ac:dyDescent="0.25">
      <c r="A40" t="e">
        <f t="shared" si="148"/>
        <v>#REF!</v>
      </c>
      <c r="B40" t="e">
        <f t="shared" si="148"/>
        <v>#REF!</v>
      </c>
      <c r="C40" s="49" t="e">
        <f t="shared" si="148"/>
        <v>#REF!</v>
      </c>
      <c r="D40" t="e">
        <f t="shared" si="148"/>
        <v>#REF!</v>
      </c>
      <c r="E40" s="201" t="e">
        <f t="shared" si="148"/>
        <v>#REF!</v>
      </c>
      <c r="F40" s="150" t="e">
        <f t="shared" si="149"/>
        <v>#REF!</v>
      </c>
      <c r="G40" s="151" t="e">
        <f t="shared" si="150"/>
        <v>#REF!</v>
      </c>
      <c r="H40" s="48" t="e">
        <f t="shared" si="151"/>
        <v>#REF!</v>
      </c>
      <c r="I40" s="48" t="e">
        <f t="shared" si="152"/>
        <v>#REF!</v>
      </c>
      <c r="J40" s="48" t="e">
        <f t="shared" si="153"/>
        <v>#REF!</v>
      </c>
      <c r="K40" s="48" t="e">
        <f t="shared" si="154"/>
        <v>#REF!</v>
      </c>
      <c r="L40" s="48" t="e">
        <f t="shared" si="155"/>
        <v>#REF!</v>
      </c>
      <c r="M40" s="48" t="e">
        <f t="shared" si="156"/>
        <v>#REF!</v>
      </c>
      <c r="N40" s="48" t="e">
        <f t="shared" si="157"/>
        <v>#REF!</v>
      </c>
      <c r="O40" s="151" t="e">
        <f t="shared" si="158"/>
        <v>#REF!</v>
      </c>
      <c r="P40" s="151" t="e">
        <f t="shared" si="159"/>
        <v>#REF!</v>
      </c>
      <c r="Q40" s="151" t="e">
        <f t="shared" si="160"/>
        <v>#REF!</v>
      </c>
      <c r="R40" s="151" t="e">
        <f t="shared" si="161"/>
        <v>#REF!</v>
      </c>
      <c r="S40" s="151" t="e">
        <f t="shared" ca="1" si="162"/>
        <v>#REF!</v>
      </c>
      <c r="T40" s="71" t="e">
        <f t="shared" si="163"/>
        <v>#REF!</v>
      </c>
      <c r="U40" s="71" t="e">
        <f t="shared" si="164"/>
        <v>#REF!</v>
      </c>
      <c r="V40" s="71" t="e">
        <f t="shared" si="165"/>
        <v>#REF!</v>
      </c>
      <c r="W40" s="71" t="e">
        <f t="shared" si="166"/>
        <v>#REF!</v>
      </c>
      <c r="X40" s="71" t="e">
        <f t="shared" si="167"/>
        <v>#REF!</v>
      </c>
      <c r="Y40" s="71" t="e">
        <f t="shared" si="168"/>
        <v>#REF!</v>
      </c>
      <c r="Z40" s="71" t="e">
        <f t="shared" si="169"/>
        <v>#REF!</v>
      </c>
      <c r="AA40" s="71" t="e">
        <f t="shared" si="170"/>
        <v>#REF!</v>
      </c>
      <c r="AB40" s="71" t="e">
        <f t="shared" si="171"/>
        <v>#REF!</v>
      </c>
      <c r="AC40" s="71" t="e">
        <f t="shared" si="172"/>
        <v>#REF!</v>
      </c>
      <c r="AD40" s="71" t="e">
        <f t="shared" si="173"/>
        <v>#REF!</v>
      </c>
      <c r="AE40" s="235" t="e">
        <f t="shared" si="174"/>
        <v>#REF!</v>
      </c>
      <c r="AF40" s="71" t="e">
        <f t="shared" si="175"/>
        <v>#REF!</v>
      </c>
      <c r="AG40" s="71" t="e">
        <f t="shared" si="176"/>
        <v>#REF!</v>
      </c>
      <c r="AH40" s="235" t="e">
        <f t="shared" si="177"/>
        <v>#REF!</v>
      </c>
      <c r="AI40" s="71" t="e">
        <f t="shared" si="178"/>
        <v>#REF!</v>
      </c>
      <c r="AJ40" s="71" t="e">
        <f t="shared" si="179"/>
        <v>#REF!</v>
      </c>
      <c r="AK40" s="71" t="e">
        <f t="shared" si="180"/>
        <v>#REF!</v>
      </c>
      <c r="AL40" s="71" t="e">
        <f t="shared" si="181"/>
        <v>#REF!</v>
      </c>
      <c r="AM40" s="71" t="e">
        <f t="shared" si="182"/>
        <v>#REF!</v>
      </c>
      <c r="AN40" s="71" t="e">
        <f t="shared" si="183"/>
        <v>#REF!</v>
      </c>
      <c r="AO40" s="71" t="e">
        <f t="shared" si="184"/>
        <v>#REF!</v>
      </c>
      <c r="AP40" s="71" t="e">
        <f t="shared" si="185"/>
        <v>#REF!</v>
      </c>
      <c r="AQ40" s="71" t="e">
        <f t="shared" si="186"/>
        <v>#REF!</v>
      </c>
      <c r="AR40" s="71" t="e">
        <f t="shared" si="187"/>
        <v>#REF!</v>
      </c>
      <c r="AS40" s="71" t="e">
        <f t="shared" si="188"/>
        <v>#REF!</v>
      </c>
      <c r="AT40" s="71" t="e">
        <f t="shared" si="189"/>
        <v>#REF!</v>
      </c>
      <c r="AU40" s="71" t="e">
        <f t="shared" si="190"/>
        <v>#REF!</v>
      </c>
      <c r="AV40" s="71" t="e">
        <f t="shared" si="191"/>
        <v>#REF!</v>
      </c>
      <c r="AW40" s="71" t="e">
        <f t="shared" si="192"/>
        <v>#REF!</v>
      </c>
      <c r="AX40" s="71" t="e">
        <f t="shared" si="193"/>
        <v>#REF!</v>
      </c>
      <c r="AY40" s="71" t="e">
        <f t="shared" si="194"/>
        <v>#REF!</v>
      </c>
      <c r="AZ40" s="71" t="e">
        <f t="shared" si="195"/>
        <v>#REF!</v>
      </c>
      <c r="BA40" s="71" t="e">
        <f t="shared" si="196"/>
        <v>#REF!</v>
      </c>
      <c r="BB40" s="71" t="e">
        <f t="shared" si="197"/>
        <v>#REF!</v>
      </c>
      <c r="BC40" s="71" t="e">
        <f t="shared" si="198"/>
        <v>#REF!</v>
      </c>
      <c r="BD40" s="71" t="e">
        <f t="shared" si="199"/>
        <v>#REF!</v>
      </c>
      <c r="BE40" s="71" t="e">
        <f t="shared" si="200"/>
        <v>#REF!</v>
      </c>
      <c r="BF40" s="71" t="e">
        <f t="shared" si="201"/>
        <v>#REF!</v>
      </c>
      <c r="BG40" s="71" t="e">
        <f t="shared" si="202"/>
        <v>#REF!</v>
      </c>
      <c r="BH40" s="71" t="e">
        <f t="shared" si="203"/>
        <v>#REF!</v>
      </c>
      <c r="BI40" s="71" t="e">
        <f t="shared" si="204"/>
        <v>#REF!</v>
      </c>
      <c r="BJ40" s="71" t="e">
        <f t="shared" si="205"/>
        <v>#REF!</v>
      </c>
      <c r="BK40" s="71" t="e">
        <f t="shared" si="206"/>
        <v>#REF!</v>
      </c>
      <c r="BL40" s="71" t="e">
        <f t="shared" si="207"/>
        <v>#REF!</v>
      </c>
      <c r="BM40" s="71" t="e">
        <f t="shared" si="208"/>
        <v>#REF!</v>
      </c>
      <c r="BN40" s="71" t="e">
        <f t="shared" si="209"/>
        <v>#REF!</v>
      </c>
      <c r="BO40" s="71" t="e">
        <f t="shared" si="210"/>
        <v>#REF!</v>
      </c>
      <c r="BP40" s="71" t="e">
        <f t="shared" si="211"/>
        <v>#REF!</v>
      </c>
      <c r="BQ40" s="71" t="e">
        <f t="shared" si="212"/>
        <v>#REF!</v>
      </c>
      <c r="BR40" s="71" t="e">
        <f t="shared" si="213"/>
        <v>#REF!</v>
      </c>
      <c r="BS40" s="71" t="e">
        <f t="shared" si="214"/>
        <v>#REF!</v>
      </c>
      <c r="BT40" s="71" t="e">
        <f t="shared" si="215"/>
        <v>#REF!</v>
      </c>
      <c r="BU40" s="71" t="e">
        <f t="shared" si="216"/>
        <v>#REF!</v>
      </c>
      <c r="BV40" s="71" t="e">
        <f t="shared" si="217"/>
        <v>#REF!</v>
      </c>
      <c r="BW40" s="71" t="e">
        <f t="shared" si="218"/>
        <v>#REF!</v>
      </c>
      <c r="BX40" s="71" t="e">
        <f t="shared" si="219"/>
        <v>#REF!</v>
      </c>
      <c r="BY40" s="71" t="e">
        <f t="shared" si="220"/>
        <v>#REF!</v>
      </c>
      <c r="BZ40" s="71" t="e">
        <f t="shared" si="221"/>
        <v>#REF!</v>
      </c>
      <c r="CA40" s="71" t="e">
        <f t="shared" si="222"/>
        <v>#REF!</v>
      </c>
      <c r="CB40" s="71" t="e">
        <f t="shared" si="223"/>
        <v>#REF!</v>
      </c>
      <c r="CC40" s="71" t="e">
        <f t="shared" si="224"/>
        <v>#REF!</v>
      </c>
      <c r="CD40" s="71" t="e">
        <f t="shared" si="225"/>
        <v>#REF!</v>
      </c>
      <c r="CE40" s="71" t="e">
        <f t="shared" si="226"/>
        <v>#REF!</v>
      </c>
      <c r="CF40" s="71" t="e">
        <f t="shared" si="227"/>
        <v>#REF!</v>
      </c>
      <c r="CG40" s="71" t="e">
        <f t="shared" si="228"/>
        <v>#REF!</v>
      </c>
    </row>
    <row r="41" spans="1:85" x14ac:dyDescent="0.25">
      <c r="A41" t="str">
        <f t="shared" si="148"/>
        <v>S. Swärdborn</v>
      </c>
      <c r="B41">
        <f t="shared" si="148"/>
        <v>28</v>
      </c>
      <c r="C41" s="49">
        <f t="shared" ca="1" si="148"/>
        <v>88</v>
      </c>
      <c r="D41" t="str">
        <f t="shared" si="148"/>
        <v>IMP</v>
      </c>
      <c r="E41" s="201">
        <f t="shared" si="148"/>
        <v>43884</v>
      </c>
      <c r="F41" s="150">
        <f t="shared" ca="1" si="149"/>
        <v>1</v>
      </c>
      <c r="G41" s="151">
        <f t="shared" si="150"/>
        <v>8</v>
      </c>
      <c r="H41" s="48">
        <f t="shared" si="151"/>
        <v>0</v>
      </c>
      <c r="I41" s="48">
        <f t="shared" si="152"/>
        <v>14.85</v>
      </c>
      <c r="J41" s="48">
        <f t="shared" si="153"/>
        <v>10</v>
      </c>
      <c r="K41" s="48">
        <f t="shared" si="154"/>
        <v>1</v>
      </c>
      <c r="L41" s="48">
        <f t="shared" si="155"/>
        <v>3</v>
      </c>
      <c r="M41" s="48">
        <f t="shared" si="156"/>
        <v>7.916666666666667</v>
      </c>
      <c r="N41" s="48">
        <f t="shared" si="157"/>
        <v>18.75</v>
      </c>
      <c r="O41" s="151">
        <f t="shared" si="158"/>
        <v>2.9812500000000002</v>
      </c>
      <c r="P41" s="151">
        <f t="shared" ca="1" si="159"/>
        <v>20.725271828336261</v>
      </c>
      <c r="Q41" s="151">
        <f t="shared" si="160"/>
        <v>0.95833333333333337</v>
      </c>
      <c r="R41" s="151">
        <f t="shared" si="161"/>
        <v>1.1565000000000001</v>
      </c>
      <c r="S41" s="151">
        <f t="shared" ca="1" si="162"/>
        <v>20.954119982655925</v>
      </c>
      <c r="T41" s="71">
        <f t="shared" ca="1" si="163"/>
        <v>6.0227967448586224</v>
      </c>
      <c r="U41" s="71">
        <f t="shared" ca="1" si="164"/>
        <v>9.1567688976087975</v>
      </c>
      <c r="V41" s="71">
        <f t="shared" ca="1" si="165"/>
        <v>6.0227967448586224</v>
      </c>
      <c r="W41" s="71">
        <f t="shared" ca="1" si="166"/>
        <v>8.7999259110504564</v>
      </c>
      <c r="X41" s="71">
        <f t="shared" ca="1" si="167"/>
        <v>17.054119982655923</v>
      </c>
      <c r="Y41" s="71">
        <f t="shared" ca="1" si="168"/>
        <v>4.3999629555252282</v>
      </c>
      <c r="Z41" s="71">
        <f t="shared" ca="1" si="169"/>
        <v>2.9045805558721098</v>
      </c>
      <c r="AA41" s="71">
        <f t="shared" ca="1" si="170"/>
        <v>6.4464573534439387</v>
      </c>
      <c r="AB41" s="71">
        <f t="shared" ca="1" si="171"/>
        <v>12.330128747460233</v>
      </c>
      <c r="AC41" s="71">
        <f t="shared" ca="1" si="172"/>
        <v>3.2232286767219693</v>
      </c>
      <c r="AD41" s="71">
        <f t="shared" ca="1" si="173"/>
        <v>4.698586193322531</v>
      </c>
      <c r="AE41" s="235">
        <f t="shared" ca="1" si="174"/>
        <v>15.68979038404345</v>
      </c>
      <c r="AF41" s="71">
        <f t="shared" ca="1" si="175"/>
        <v>7.0604056728195514</v>
      </c>
      <c r="AG41" s="71">
        <f t="shared" ca="1" si="176"/>
        <v>2.0380880371035395</v>
      </c>
      <c r="AH41" s="235">
        <f t="shared" ca="1" si="177"/>
        <v>1.8840225498016838</v>
      </c>
      <c r="AI41" s="71">
        <f t="shared" ca="1" si="178"/>
        <v>12.858806466922566</v>
      </c>
      <c r="AJ41" s="71">
        <f t="shared" ca="1" si="179"/>
        <v>12.074316947720392</v>
      </c>
      <c r="AK41" s="71">
        <f t="shared" ca="1" si="180"/>
        <v>3.4993380371035396</v>
      </c>
      <c r="AL41" s="71">
        <f t="shared" ca="1" si="181"/>
        <v>1.4933865550049064</v>
      </c>
      <c r="AM41" s="71">
        <f t="shared" ca="1" si="182"/>
        <v>4.6046123953170994</v>
      </c>
      <c r="AN41" s="71">
        <f t="shared" ca="1" si="183"/>
        <v>10.130147269697618</v>
      </c>
      <c r="AO41" s="71">
        <f t="shared" ca="1" si="184"/>
        <v>2.3023061976585497</v>
      </c>
      <c r="AP41" s="71">
        <f t="shared" ca="1" si="185"/>
        <v>11.520689263627192</v>
      </c>
      <c r="AQ41" s="71">
        <f t="shared" ca="1" si="186"/>
        <v>0.67653559774527028</v>
      </c>
      <c r="AR41" s="71">
        <f t="shared" ca="1" si="187"/>
        <v>2.3753904882515195</v>
      </c>
      <c r="AS41" s="71">
        <f t="shared" ca="1" si="188"/>
        <v>0.33826779887263514</v>
      </c>
      <c r="AT41" s="71">
        <f t="shared" ca="1" si="189"/>
        <v>3.2232286767219693</v>
      </c>
      <c r="AU41" s="71">
        <f t="shared" ca="1" si="190"/>
        <v>6.8216479930623697</v>
      </c>
      <c r="AV41" s="71">
        <f t="shared" ca="1" si="191"/>
        <v>1.6116143383609847</v>
      </c>
      <c r="AW41" s="71">
        <f t="shared" ca="1" si="192"/>
        <v>12.204119982655925</v>
      </c>
      <c r="AX41" s="71">
        <f t="shared" ca="1" si="193"/>
        <v>1.3166423556119491</v>
      </c>
      <c r="AY41" s="71">
        <f t="shared" ca="1" si="194"/>
        <v>3.899970110443415</v>
      </c>
      <c r="AZ41" s="71">
        <f t="shared" ca="1" si="195"/>
        <v>0.65832117780597454</v>
      </c>
      <c r="BA41" s="71">
        <f t="shared" ca="1" si="196"/>
        <v>4.962748914952873</v>
      </c>
      <c r="BB41" s="71">
        <f t="shared" ca="1" si="197"/>
        <v>5.934833753964261</v>
      </c>
      <c r="BC41" s="71">
        <f t="shared" ca="1" si="198"/>
        <v>10.751829704719871</v>
      </c>
      <c r="BD41" s="71">
        <f t="shared" ca="1" si="199"/>
        <v>3.4784626645811172</v>
      </c>
      <c r="BE41" s="71">
        <f t="shared" ca="1" si="200"/>
        <v>1.254192915820078</v>
      </c>
      <c r="BF41" s="71">
        <f t="shared" ca="1" si="201"/>
        <v>8.2712481915881231</v>
      </c>
      <c r="BG41" s="71">
        <f t="shared" ca="1" si="202"/>
        <v>4.5022876754211643</v>
      </c>
      <c r="BH41" s="71">
        <f t="shared" ca="1" si="203"/>
        <v>4.6497697133919074</v>
      </c>
      <c r="BI41" s="71">
        <f t="shared" ca="1" si="204"/>
        <v>3.2024008648412785</v>
      </c>
      <c r="BJ41" s="71">
        <f t="shared" ca="1" si="205"/>
        <v>0.27061423909810811</v>
      </c>
      <c r="BK41" s="71">
        <f t="shared" ca="1" si="206"/>
        <v>3.0697415968780661</v>
      </c>
      <c r="BL41" s="71">
        <f t="shared" ca="1" si="207"/>
        <v>1.1596801588206029</v>
      </c>
      <c r="BM41" s="71">
        <f t="shared" ca="1" si="208"/>
        <v>3.722256594710057</v>
      </c>
      <c r="BN41" s="71">
        <f t="shared" ca="1" si="209"/>
        <v>4.6924982976955194</v>
      </c>
      <c r="BO41" s="71">
        <f t="shared" ca="1" si="210"/>
        <v>0.70255619765854993</v>
      </c>
      <c r="BP41" s="71">
        <f t="shared" ca="1" si="211"/>
        <v>4.8433700750742821</v>
      </c>
      <c r="BQ41" s="71">
        <f t="shared" ca="1" si="212"/>
        <v>4.1612052757680447</v>
      </c>
      <c r="BR41" s="71">
        <f t="shared" ca="1" si="213"/>
        <v>5.5528745921084459</v>
      </c>
      <c r="BS41" s="71">
        <f t="shared" ca="1" si="214"/>
        <v>4.0381649407827647</v>
      </c>
      <c r="BT41" s="71">
        <f t="shared" ca="1" si="215"/>
        <v>0.62969851790136688</v>
      </c>
      <c r="BU41" s="71">
        <f t="shared" ca="1" si="216"/>
        <v>4.8433700750742821</v>
      </c>
      <c r="BV41" s="71">
        <f t="shared" ca="1" si="217"/>
        <v>4.1612052757680447</v>
      </c>
      <c r="BW41" s="71">
        <f t="shared" ca="1" si="218"/>
        <v>7.7007997090558886</v>
      </c>
      <c r="BX41" s="71">
        <f t="shared" ca="1" si="219"/>
        <v>3.2536873844770531</v>
      </c>
      <c r="BY41" s="71">
        <f t="shared" ca="1" si="220"/>
        <v>0.77020975743307685</v>
      </c>
      <c r="BZ41" s="71">
        <f t="shared" ca="1" si="221"/>
        <v>4.9548727129583057</v>
      </c>
      <c r="CA41" s="71">
        <f t="shared" ca="1" si="222"/>
        <v>3.0477631776304035</v>
      </c>
      <c r="CB41" s="71">
        <f t="shared" ca="1" si="223"/>
        <v>8.7262557671372392</v>
      </c>
      <c r="CC41" s="71">
        <f t="shared" ca="1" si="224"/>
        <v>3.0477631776304035</v>
      </c>
      <c r="CD41" s="71">
        <f t="shared" ca="1" si="225"/>
        <v>4.0785000825279747</v>
      </c>
      <c r="CE41" s="71">
        <f t="shared" ca="1" si="226"/>
        <v>12.04110692292263</v>
      </c>
      <c r="CF41" s="71">
        <f t="shared" ca="1" si="227"/>
        <v>4.0785000825279747</v>
      </c>
      <c r="CG41" s="71">
        <f t="shared" ca="1" si="228"/>
        <v>3.0510299956639813</v>
      </c>
    </row>
    <row r="42" spans="1:85" x14ac:dyDescent="0.25">
      <c r="A42" t="str">
        <f t="shared" si="148"/>
        <v>A. Grimaud</v>
      </c>
      <c r="B42">
        <f t="shared" si="148"/>
        <v>28</v>
      </c>
      <c r="C42" s="49">
        <f t="shared" ca="1" si="148"/>
        <v>111</v>
      </c>
      <c r="D42" t="str">
        <f t="shared" si="148"/>
        <v>RAP</v>
      </c>
      <c r="E42" s="201">
        <f t="shared" si="148"/>
        <v>43739</v>
      </c>
      <c r="F42" s="150">
        <f t="shared" ca="1" si="149"/>
        <v>1</v>
      </c>
      <c r="G42" s="151">
        <f t="shared" si="150"/>
        <v>8</v>
      </c>
      <c r="H42" s="48">
        <f t="shared" si="151"/>
        <v>0</v>
      </c>
      <c r="I42" s="48">
        <f t="shared" si="152"/>
        <v>14.9</v>
      </c>
      <c r="J42" s="48">
        <f t="shared" si="153"/>
        <v>10.222222222222221</v>
      </c>
      <c r="K42" s="48">
        <f t="shared" si="154"/>
        <v>3</v>
      </c>
      <c r="L42" s="48">
        <f t="shared" si="155"/>
        <v>3</v>
      </c>
      <c r="M42" s="48">
        <f t="shared" si="156"/>
        <v>7.25</v>
      </c>
      <c r="N42" s="48">
        <f t="shared" si="157"/>
        <v>18.2</v>
      </c>
      <c r="O42" s="151">
        <f t="shared" si="158"/>
        <v>2.9874999999999998</v>
      </c>
      <c r="P42" s="151">
        <f t="shared" ca="1" si="159"/>
        <v>19.31610516166959</v>
      </c>
      <c r="Q42" s="151">
        <f t="shared" si="160"/>
        <v>0.90850000000000009</v>
      </c>
      <c r="R42" s="151">
        <f t="shared" si="161"/>
        <v>1.1420000000000001</v>
      </c>
      <c r="S42" s="151">
        <f t="shared" ca="1" si="162"/>
        <v>20.404119982655924</v>
      </c>
      <c r="T42" s="71">
        <f t="shared" ca="1" si="163"/>
        <v>6.0365967448586222</v>
      </c>
      <c r="U42" s="71">
        <f t="shared" ca="1" si="164"/>
        <v>9.1780188976087977</v>
      </c>
      <c r="V42" s="71">
        <f t="shared" ca="1" si="165"/>
        <v>6.0365967448586222</v>
      </c>
      <c r="W42" s="71">
        <f t="shared" ca="1" si="166"/>
        <v>8.8257259110504567</v>
      </c>
      <c r="X42" s="71">
        <f t="shared" ca="1" si="167"/>
        <v>17.104119982655924</v>
      </c>
      <c r="Y42" s="71">
        <f t="shared" ca="1" si="168"/>
        <v>4.4128629555252283</v>
      </c>
      <c r="Z42" s="71">
        <f t="shared" ca="1" si="169"/>
        <v>2.9574694447609988</v>
      </c>
      <c r="AA42" s="71">
        <f t="shared" ca="1" si="170"/>
        <v>6.465357353443939</v>
      </c>
      <c r="AB42" s="71">
        <f t="shared" ca="1" si="171"/>
        <v>12.366278747460232</v>
      </c>
      <c r="AC42" s="71">
        <f t="shared" ca="1" si="172"/>
        <v>3.2326786767219695</v>
      </c>
      <c r="AD42" s="71">
        <f t="shared" ca="1" si="173"/>
        <v>4.7841417488780866</v>
      </c>
      <c r="AE42" s="235">
        <f t="shared" ca="1" si="174"/>
        <v>15.735790384043451</v>
      </c>
      <c r="AF42" s="71">
        <f t="shared" ca="1" si="175"/>
        <v>7.0811056728195521</v>
      </c>
      <c r="AG42" s="71">
        <f t="shared" ca="1" si="176"/>
        <v>2.0751991482146508</v>
      </c>
      <c r="AH42" s="235">
        <f t="shared" ca="1" si="177"/>
        <v>3.0600225498016838</v>
      </c>
      <c r="AI42" s="71">
        <f t="shared" ca="1" si="178"/>
        <v>12.896506466922567</v>
      </c>
      <c r="AJ42" s="71">
        <f t="shared" ca="1" si="179"/>
        <v>12.109716947720393</v>
      </c>
      <c r="AK42" s="71">
        <f t="shared" ca="1" si="180"/>
        <v>3.4074880371035396</v>
      </c>
      <c r="AL42" s="71">
        <f t="shared" ca="1" si="181"/>
        <v>1.4951865550049062</v>
      </c>
      <c r="AM42" s="71">
        <f t="shared" ca="1" si="182"/>
        <v>4.6181123953170999</v>
      </c>
      <c r="AN42" s="71">
        <f t="shared" ca="1" si="183"/>
        <v>10.159847269697618</v>
      </c>
      <c r="AO42" s="71">
        <f t="shared" ca="1" si="184"/>
        <v>2.30905619765855</v>
      </c>
      <c r="AP42" s="71">
        <f t="shared" ca="1" si="185"/>
        <v>11.730467041404969</v>
      </c>
      <c r="AQ42" s="71">
        <f t="shared" ca="1" si="186"/>
        <v>0.67653559774527028</v>
      </c>
      <c r="AR42" s="71">
        <f t="shared" ca="1" si="187"/>
        <v>2.2600571549181856</v>
      </c>
      <c r="AS42" s="71">
        <f t="shared" ca="1" si="188"/>
        <v>0.33826779887263514</v>
      </c>
      <c r="AT42" s="71">
        <f t="shared" ca="1" si="189"/>
        <v>3.2326786767219695</v>
      </c>
      <c r="AU42" s="71">
        <f t="shared" ca="1" si="190"/>
        <v>6.8416479930623701</v>
      </c>
      <c r="AV42" s="71">
        <f t="shared" ca="1" si="191"/>
        <v>1.6163393383609848</v>
      </c>
      <c r="AW42" s="71">
        <f t="shared" ca="1" si="192"/>
        <v>12.426342204878146</v>
      </c>
      <c r="AX42" s="71">
        <f t="shared" ca="1" si="193"/>
        <v>1.3166423556119491</v>
      </c>
      <c r="AY42" s="71">
        <f t="shared" ca="1" si="194"/>
        <v>3.7599701104434144</v>
      </c>
      <c r="AZ42" s="71">
        <f t="shared" ca="1" si="195"/>
        <v>0.65832117780597454</v>
      </c>
      <c r="BA42" s="71">
        <f t="shared" ca="1" si="196"/>
        <v>4.9772989149528737</v>
      </c>
      <c r="BB42" s="71">
        <f t="shared" ca="1" si="197"/>
        <v>5.9522337539642614</v>
      </c>
      <c r="BC42" s="71">
        <f t="shared" ca="1" si="198"/>
        <v>10.947607482497647</v>
      </c>
      <c r="BD42" s="71">
        <f t="shared" ca="1" si="199"/>
        <v>4.6264626645811173</v>
      </c>
      <c r="BE42" s="71">
        <f t="shared" ca="1" si="200"/>
        <v>1.254192915820078</v>
      </c>
      <c r="BF42" s="71">
        <f t="shared" ca="1" si="201"/>
        <v>8.2954981915881234</v>
      </c>
      <c r="BG42" s="71">
        <f t="shared" ca="1" si="202"/>
        <v>4.5154876754211637</v>
      </c>
      <c r="BH42" s="71">
        <f t="shared" ca="1" si="203"/>
        <v>4.7344363800585736</v>
      </c>
      <c r="BI42" s="71">
        <f t="shared" ca="1" si="204"/>
        <v>4.5484008648412786</v>
      </c>
      <c r="BJ42" s="71">
        <f t="shared" ca="1" si="205"/>
        <v>0.27061423909810811</v>
      </c>
      <c r="BK42" s="71">
        <f t="shared" ca="1" si="206"/>
        <v>3.078741596878066</v>
      </c>
      <c r="BL42" s="71">
        <f t="shared" ca="1" si="207"/>
        <v>1.1630801588206028</v>
      </c>
      <c r="BM42" s="71">
        <f t="shared" ca="1" si="208"/>
        <v>3.7900343724878347</v>
      </c>
      <c r="BN42" s="71">
        <f t="shared" ca="1" si="209"/>
        <v>6.6924982976955194</v>
      </c>
      <c r="BO42" s="71">
        <f t="shared" ca="1" si="210"/>
        <v>0.70255619765854993</v>
      </c>
      <c r="BP42" s="71">
        <f t="shared" ca="1" si="211"/>
        <v>4.8575700750742818</v>
      </c>
      <c r="BQ42" s="71">
        <f t="shared" ca="1" si="212"/>
        <v>4.1734052757680455</v>
      </c>
      <c r="BR42" s="71">
        <f t="shared" ca="1" si="213"/>
        <v>5.6539857032195568</v>
      </c>
      <c r="BS42" s="71">
        <f t="shared" ca="1" si="214"/>
        <v>5.7661649407827644</v>
      </c>
      <c r="BT42" s="71">
        <f t="shared" ca="1" si="215"/>
        <v>0.62969851790136688</v>
      </c>
      <c r="BU42" s="71">
        <f t="shared" ca="1" si="216"/>
        <v>4.8575700750742818</v>
      </c>
      <c r="BV42" s="71">
        <f t="shared" ca="1" si="217"/>
        <v>4.1734052757680455</v>
      </c>
      <c r="BW42" s="71">
        <f t="shared" ca="1" si="218"/>
        <v>7.8410219312781102</v>
      </c>
      <c r="BX42" s="71">
        <f t="shared" ca="1" si="219"/>
        <v>4.657687384477053</v>
      </c>
      <c r="BY42" s="71">
        <f t="shared" ca="1" si="220"/>
        <v>0.77020975743307685</v>
      </c>
      <c r="BZ42" s="71">
        <f t="shared" ca="1" si="221"/>
        <v>5.0450949351805274</v>
      </c>
      <c r="CA42" s="71">
        <f t="shared" ca="1" si="222"/>
        <v>3.2510965109637366</v>
      </c>
      <c r="CB42" s="71">
        <f t="shared" ca="1" si="223"/>
        <v>8.3375891004705718</v>
      </c>
      <c r="CC42" s="71">
        <f t="shared" ca="1" si="224"/>
        <v>3.2510965109637366</v>
      </c>
      <c r="CD42" s="71">
        <f t="shared" ca="1" si="225"/>
        <v>4.3471667491946411</v>
      </c>
      <c r="CE42" s="71">
        <f t="shared" ca="1" si="226"/>
        <v>11.374440256255962</v>
      </c>
      <c r="CF42" s="71">
        <f t="shared" ca="1" si="227"/>
        <v>4.3471667491946411</v>
      </c>
      <c r="CG42" s="71">
        <f t="shared" ca="1" si="228"/>
        <v>3.1065855512195366</v>
      </c>
    </row>
    <row r="43" spans="1:85" x14ac:dyDescent="0.25">
      <c r="A43" t="str">
        <f t="shared" si="148"/>
        <v>E. Deus</v>
      </c>
      <c r="B43">
        <f t="shared" si="148"/>
        <v>28</v>
      </c>
      <c r="C43" s="49">
        <f t="shared" ca="1" si="148"/>
        <v>27</v>
      </c>
      <c r="D43" t="str">
        <f t="shared" si="148"/>
        <v>IMP</v>
      </c>
      <c r="E43" s="201">
        <f t="shared" si="148"/>
        <v>43898</v>
      </c>
      <c r="F43" s="150">
        <f t="shared" ca="1" si="149"/>
        <v>1</v>
      </c>
      <c r="G43" s="151">
        <f t="shared" si="150"/>
        <v>7</v>
      </c>
      <c r="H43" s="48">
        <f t="shared" si="151"/>
        <v>0</v>
      </c>
      <c r="I43" s="48">
        <f t="shared" si="152"/>
        <v>14.1</v>
      </c>
      <c r="J43" s="48">
        <f t="shared" si="153"/>
        <v>9.375</v>
      </c>
      <c r="K43" s="48">
        <f t="shared" si="154"/>
        <v>1</v>
      </c>
      <c r="L43" s="48">
        <f t="shared" si="155"/>
        <v>6</v>
      </c>
      <c r="M43" s="48">
        <f t="shared" si="156"/>
        <v>6.4</v>
      </c>
      <c r="N43" s="48">
        <f t="shared" si="157"/>
        <v>19.2</v>
      </c>
      <c r="O43" s="151">
        <f t="shared" si="158"/>
        <v>3.6375000000000002</v>
      </c>
      <c r="P43" s="151">
        <f t="shared" ca="1" si="159"/>
        <v>18.284222224575345</v>
      </c>
      <c r="Q43" s="151">
        <f t="shared" si="160"/>
        <v>0.89600000000000013</v>
      </c>
      <c r="R43" s="151">
        <f t="shared" si="161"/>
        <v>1.1400000000000001</v>
      </c>
      <c r="S43" s="151">
        <f t="shared" ca="1" si="162"/>
        <v>21.326797386685676</v>
      </c>
      <c r="T43" s="71">
        <f t="shared" ca="1" si="163"/>
        <v>5.7482941185765952</v>
      </c>
      <c r="U43" s="71">
        <f t="shared" ca="1" si="164"/>
        <v>8.7381954262112078</v>
      </c>
      <c r="V43" s="71">
        <f t="shared" ca="1" si="165"/>
        <v>5.7482941185765952</v>
      </c>
      <c r="W43" s="71">
        <f t="shared" ca="1" si="166"/>
        <v>8.3730274515298078</v>
      </c>
      <c r="X43" s="71">
        <f t="shared" ca="1" si="167"/>
        <v>16.226797386685675</v>
      </c>
      <c r="Y43" s="71">
        <f t="shared" ca="1" si="168"/>
        <v>4.1865137257649039</v>
      </c>
      <c r="Z43" s="71">
        <f t="shared" ca="1" si="169"/>
        <v>2.7374277780311904</v>
      </c>
      <c r="AA43" s="71">
        <f t="shared" ca="1" si="170"/>
        <v>6.1337294121671855</v>
      </c>
      <c r="AB43" s="71">
        <f t="shared" ca="1" si="171"/>
        <v>11.731974510573743</v>
      </c>
      <c r="AC43" s="71">
        <f t="shared" ca="1" si="172"/>
        <v>3.0668647060835927</v>
      </c>
      <c r="AD43" s="71">
        <f t="shared" ca="1" si="173"/>
        <v>4.4281919938739849</v>
      </c>
      <c r="AE43" s="235">
        <f t="shared" ca="1" si="174"/>
        <v>14.928653595750822</v>
      </c>
      <c r="AF43" s="71">
        <f t="shared" ca="1" si="175"/>
        <v>6.7178941180878695</v>
      </c>
      <c r="AG43" s="71">
        <f t="shared" ca="1" si="176"/>
        <v>1.920800163576508</v>
      </c>
      <c r="AH43" s="235">
        <f t="shared" ca="1" si="177"/>
        <v>1.8385568633711773</v>
      </c>
      <c r="AI43" s="71">
        <f t="shared" ca="1" si="178"/>
        <v>12.235005229560999</v>
      </c>
      <c r="AJ43" s="71">
        <f t="shared" ca="1" si="179"/>
        <v>11.488572549773457</v>
      </c>
      <c r="AK43" s="71">
        <f t="shared" ca="1" si="180"/>
        <v>3.5615751635765083</v>
      </c>
      <c r="AL43" s="71">
        <f t="shared" ca="1" si="181"/>
        <v>1.6601176473654746</v>
      </c>
      <c r="AM43" s="71">
        <f t="shared" ca="1" si="182"/>
        <v>4.3812352944051325</v>
      </c>
      <c r="AN43" s="71">
        <f t="shared" ca="1" si="183"/>
        <v>9.6387176476912906</v>
      </c>
      <c r="AO43" s="71">
        <f t="shared" ca="1" si="184"/>
        <v>2.1906176472025662</v>
      </c>
      <c r="AP43" s="71">
        <f t="shared" ca="1" si="185"/>
        <v>10.857696733031277</v>
      </c>
      <c r="AQ43" s="71">
        <f t="shared" ca="1" si="186"/>
        <v>1.0564836602691379</v>
      </c>
      <c r="AR43" s="71">
        <f t="shared" ca="1" si="187"/>
        <v>2.4503516342989027</v>
      </c>
      <c r="AS43" s="71">
        <f t="shared" ca="1" si="188"/>
        <v>0.52824183013456893</v>
      </c>
      <c r="AT43" s="71">
        <f t="shared" ca="1" si="189"/>
        <v>3.0668647060835927</v>
      </c>
      <c r="AU43" s="71">
        <f t="shared" ca="1" si="190"/>
        <v>6.4907189546742705</v>
      </c>
      <c r="AV43" s="71">
        <f t="shared" ca="1" si="191"/>
        <v>1.5334323530417964</v>
      </c>
      <c r="AW43" s="71">
        <f t="shared" ca="1" si="192"/>
        <v>11.501797386685675</v>
      </c>
      <c r="AX43" s="71">
        <f t="shared" ca="1" si="193"/>
        <v>2.056079738831476</v>
      </c>
      <c r="AY43" s="71">
        <f t="shared" ca="1" si="194"/>
        <v>4.5618653600638073</v>
      </c>
      <c r="AZ43" s="71">
        <f t="shared" ca="1" si="195"/>
        <v>1.028039869415738</v>
      </c>
      <c r="BA43" s="71">
        <f t="shared" ca="1" si="196"/>
        <v>4.7219980395255314</v>
      </c>
      <c r="BB43" s="71">
        <f t="shared" ca="1" si="197"/>
        <v>5.6469254905666144</v>
      </c>
      <c r="BC43" s="71">
        <f t="shared" ca="1" si="198"/>
        <v>10.13308349767008</v>
      </c>
      <c r="BD43" s="71">
        <f t="shared" ca="1" si="199"/>
        <v>4.3547228767635655</v>
      </c>
      <c r="BE43" s="71">
        <f t="shared" ca="1" si="200"/>
        <v>1.9585581701912478</v>
      </c>
      <c r="BF43" s="71">
        <f t="shared" ca="1" si="201"/>
        <v>7.8699967325425524</v>
      </c>
      <c r="BG43" s="71">
        <f t="shared" ca="1" si="202"/>
        <v>4.2838745100850186</v>
      </c>
      <c r="BH43" s="71">
        <f t="shared" ca="1" si="203"/>
        <v>4.3821848043272427</v>
      </c>
      <c r="BI43" s="71">
        <f t="shared" ca="1" si="204"/>
        <v>3.7378209159632805</v>
      </c>
      <c r="BJ43" s="71">
        <f t="shared" ca="1" si="205"/>
        <v>0.42259346410765508</v>
      </c>
      <c r="BK43" s="71">
        <f t="shared" ca="1" si="206"/>
        <v>2.9208235296034215</v>
      </c>
      <c r="BL43" s="71">
        <f t="shared" ca="1" si="207"/>
        <v>1.1034222222946259</v>
      </c>
      <c r="BM43" s="71">
        <f t="shared" ca="1" si="208"/>
        <v>3.5080482029391309</v>
      </c>
      <c r="BN43" s="71">
        <f t="shared" ca="1" si="209"/>
        <v>5.4510614392777788</v>
      </c>
      <c r="BO43" s="71">
        <f t="shared" ca="1" si="210"/>
        <v>1.0971176472025663</v>
      </c>
      <c r="BP43" s="71">
        <f t="shared" ca="1" si="211"/>
        <v>4.6084104578187315</v>
      </c>
      <c r="BQ43" s="71">
        <f t="shared" ca="1" si="212"/>
        <v>3.9593385623513044</v>
      </c>
      <c r="BR43" s="71">
        <f t="shared" ca="1" si="213"/>
        <v>5.2333178109419825</v>
      </c>
      <c r="BS43" s="71">
        <f t="shared" ca="1" si="214"/>
        <v>4.6844915044477284</v>
      </c>
      <c r="BT43" s="71">
        <f t="shared" ca="1" si="215"/>
        <v>0.98334248378896671</v>
      </c>
      <c r="BU43" s="71">
        <f t="shared" ca="1" si="216"/>
        <v>4.6084104578187315</v>
      </c>
      <c r="BV43" s="71">
        <f t="shared" ca="1" si="217"/>
        <v>3.9593385623513044</v>
      </c>
      <c r="BW43" s="71">
        <f t="shared" ca="1" si="218"/>
        <v>7.257634150998661</v>
      </c>
      <c r="BX43" s="71">
        <f t="shared" ca="1" si="219"/>
        <v>3.7634836610836797</v>
      </c>
      <c r="BY43" s="71">
        <f t="shared" ca="1" si="220"/>
        <v>1.20276601322948</v>
      </c>
      <c r="BZ43" s="71">
        <f t="shared" ca="1" si="221"/>
        <v>4.6697297389943841</v>
      </c>
      <c r="CA43" s="71">
        <f t="shared" ca="1" si="222"/>
        <v>3.5648614384632369</v>
      </c>
      <c r="CB43" s="71">
        <f t="shared" ca="1" si="223"/>
        <v>9.3839738574080691</v>
      </c>
      <c r="CC43" s="71">
        <f t="shared" ca="1" si="224"/>
        <v>3.5648614384632369</v>
      </c>
      <c r="CD43" s="71">
        <f t="shared" ca="1" si="225"/>
        <v>4.0619947719051765</v>
      </c>
      <c r="CE43" s="71">
        <f t="shared" ca="1" si="226"/>
        <v>11.52558562237269</v>
      </c>
      <c r="CF43" s="71">
        <f t="shared" ca="1" si="227"/>
        <v>4.0619947719051765</v>
      </c>
      <c r="CG43" s="71">
        <f t="shared" ca="1" si="228"/>
        <v>2.8754493466714188</v>
      </c>
    </row>
    <row r="44" spans="1:85" x14ac:dyDescent="0.25">
      <c r="A44" t="str">
        <f t="shared" si="148"/>
        <v>T. McPhail</v>
      </c>
      <c r="B44">
        <f t="shared" si="148"/>
        <v>28</v>
      </c>
      <c r="C44" s="49">
        <f t="shared" ca="1" si="148"/>
        <v>8</v>
      </c>
      <c r="D44" t="str">
        <f t="shared" si="148"/>
        <v>IMP</v>
      </c>
      <c r="E44" s="201">
        <f t="shared" si="148"/>
        <v>44751</v>
      </c>
      <c r="F44" s="150">
        <f t="shared" ca="1" si="149"/>
        <v>0.199166215696265</v>
      </c>
      <c r="G44" s="151">
        <f t="shared" si="150"/>
        <v>8</v>
      </c>
      <c r="H44" s="48">
        <f t="shared" si="151"/>
        <v>0</v>
      </c>
      <c r="I44" s="48">
        <f t="shared" si="152"/>
        <v>13</v>
      </c>
      <c r="J44" s="48">
        <f t="shared" si="153"/>
        <v>14</v>
      </c>
      <c r="K44" s="48">
        <f t="shared" si="154"/>
        <v>4</v>
      </c>
      <c r="L44" s="48">
        <f t="shared" si="155"/>
        <v>5</v>
      </c>
      <c r="M44" s="48">
        <f t="shared" si="156"/>
        <v>9</v>
      </c>
      <c r="N44" s="48">
        <f t="shared" si="157"/>
        <v>16</v>
      </c>
      <c r="O44" s="151">
        <f t="shared" si="158"/>
        <v>3.25</v>
      </c>
      <c r="P44" s="151">
        <f t="shared" ca="1" si="159"/>
        <v>19.241262498358338</v>
      </c>
      <c r="Q44" s="151">
        <f t="shared" si="160"/>
        <v>0.93</v>
      </c>
      <c r="R44" s="151">
        <f t="shared" si="161"/>
        <v>1</v>
      </c>
      <c r="S44" s="151">
        <f t="shared" ca="1" si="162"/>
        <v>17.487593337412846</v>
      </c>
      <c r="T44" s="71">
        <f t="shared" ca="1" si="163"/>
        <v>4.8130688511614625</v>
      </c>
      <c r="U44" s="71">
        <f t="shared" ca="1" si="164"/>
        <v>7.3366424820726763</v>
      </c>
      <c r="V44" s="71">
        <f t="shared" ca="1" si="165"/>
        <v>4.8130688511614625</v>
      </c>
      <c r="W44" s="71">
        <f t="shared" ca="1" si="166"/>
        <v>7.4320956783497296</v>
      </c>
      <c r="X44" s="71">
        <f t="shared" ca="1" si="167"/>
        <v>14.403286198352189</v>
      </c>
      <c r="Y44" s="71">
        <f t="shared" ca="1" si="168"/>
        <v>3.7160478391748648</v>
      </c>
      <c r="Z44" s="71">
        <f t="shared" ca="1" si="169"/>
        <v>3.6659821152078207</v>
      </c>
      <c r="AA44" s="71">
        <f t="shared" ca="1" si="170"/>
        <v>5.4444421829771272</v>
      </c>
      <c r="AB44" s="71">
        <f t="shared" ca="1" si="171"/>
        <v>10.413575921408633</v>
      </c>
      <c r="AC44" s="71">
        <f t="shared" ca="1" si="172"/>
        <v>2.7222210914885636</v>
      </c>
      <c r="AD44" s="71">
        <f t="shared" ca="1" si="173"/>
        <v>5.9302651863655926</v>
      </c>
      <c r="AE44" s="235">
        <f t="shared" ca="1" si="174"/>
        <v>13.251023302484015</v>
      </c>
      <c r="AF44" s="71">
        <f t="shared" ca="1" si="175"/>
        <v>5.9629604861178063</v>
      </c>
      <c r="AG44" s="71">
        <f t="shared" ca="1" si="176"/>
        <v>2.5723487951248156</v>
      </c>
      <c r="AH44" s="235">
        <f t="shared" ca="1" si="177"/>
        <v>3.1771322846310879</v>
      </c>
      <c r="AI44" s="71">
        <f t="shared" ca="1" si="178"/>
        <v>10.860077793557551</v>
      </c>
      <c r="AJ44" s="71">
        <f t="shared" ca="1" si="179"/>
        <v>10.19752662843335</v>
      </c>
      <c r="AK44" s="71">
        <f t="shared" ca="1" si="180"/>
        <v>2.9063487951248161</v>
      </c>
      <c r="AL44" s="71">
        <f t="shared" ca="1" si="181"/>
        <v>1.3401464251254305</v>
      </c>
      <c r="AM44" s="71">
        <f t="shared" ca="1" si="182"/>
        <v>3.8888872735550915</v>
      </c>
      <c r="AN44" s="71">
        <f t="shared" ca="1" si="183"/>
        <v>8.5555520018211997</v>
      </c>
      <c r="AO44" s="71">
        <f t="shared" ca="1" si="184"/>
        <v>1.9444436367775457</v>
      </c>
      <c r="AP44" s="71">
        <f t="shared" ca="1" si="185"/>
        <v>14.540702171244465</v>
      </c>
      <c r="AQ44" s="71">
        <f t="shared" ca="1" si="186"/>
        <v>0.83242720578578477</v>
      </c>
      <c r="AR44" s="71">
        <f t="shared" ca="1" si="187"/>
        <v>2.5681628561171914</v>
      </c>
      <c r="AS44" s="71">
        <f t="shared" ca="1" si="188"/>
        <v>0.41621360289289239</v>
      </c>
      <c r="AT44" s="71">
        <f t="shared" ca="1" si="189"/>
        <v>2.7222210914885636</v>
      </c>
      <c r="AU44" s="71">
        <f t="shared" ca="1" si="190"/>
        <v>5.7613144793408759</v>
      </c>
      <c r="AV44" s="71">
        <f t="shared" ca="1" si="191"/>
        <v>1.3611105457442818</v>
      </c>
      <c r="AW44" s="71">
        <f t="shared" ca="1" si="192"/>
        <v>15.403286198352189</v>
      </c>
      <c r="AX44" s="71">
        <f t="shared" ca="1" si="193"/>
        <v>1.6200314081831042</v>
      </c>
      <c r="AY44" s="71">
        <f t="shared" ca="1" si="194"/>
        <v>4.3682106952920563</v>
      </c>
      <c r="AZ44" s="71">
        <f t="shared" ca="1" si="195"/>
        <v>0.8100157040915521</v>
      </c>
      <c r="BA44" s="71">
        <f t="shared" ca="1" si="196"/>
        <v>4.191356283720487</v>
      </c>
      <c r="BB44" s="71">
        <f t="shared" ca="1" si="197"/>
        <v>5.012343597026562</v>
      </c>
      <c r="BC44" s="71">
        <f t="shared" ca="1" si="198"/>
        <v>13.570295140748279</v>
      </c>
      <c r="BD44" s="71">
        <f t="shared" ca="1" si="199"/>
        <v>5.1185214303350968</v>
      </c>
      <c r="BE44" s="71">
        <f t="shared" ca="1" si="200"/>
        <v>1.5431919738028779</v>
      </c>
      <c r="BF44" s="71">
        <f t="shared" ca="1" si="201"/>
        <v>6.9855938062008116</v>
      </c>
      <c r="BG44" s="71">
        <f t="shared" ca="1" si="202"/>
        <v>3.8024675563649781</v>
      </c>
      <c r="BH44" s="71">
        <f t="shared" ca="1" si="203"/>
        <v>5.8686520415721839</v>
      </c>
      <c r="BI44" s="71">
        <f t="shared" ca="1" si="204"/>
        <v>4.9234721373598145</v>
      </c>
      <c r="BJ44" s="71">
        <f t="shared" ca="1" si="205"/>
        <v>0.33297088231431388</v>
      </c>
      <c r="BK44" s="71">
        <f t="shared" ca="1" si="206"/>
        <v>2.5925915157033939</v>
      </c>
      <c r="BL44" s="71">
        <f t="shared" ca="1" si="207"/>
        <v>0.9794234614879489</v>
      </c>
      <c r="BM44" s="71">
        <f t="shared" ca="1" si="208"/>
        <v>4.6980022904974179</v>
      </c>
      <c r="BN44" s="71">
        <f t="shared" ca="1" si="209"/>
        <v>7.2346260510809168</v>
      </c>
      <c r="BO44" s="71">
        <f t="shared" ca="1" si="210"/>
        <v>0.86444363677754577</v>
      </c>
      <c r="BP44" s="71">
        <f t="shared" ca="1" si="211"/>
        <v>4.0905332803320213</v>
      </c>
      <c r="BQ44" s="71">
        <f t="shared" ca="1" si="212"/>
        <v>3.514401832397934</v>
      </c>
      <c r="BR44" s="71">
        <f t="shared" ca="1" si="213"/>
        <v>7.0084952202502464</v>
      </c>
      <c r="BS44" s="71">
        <f t="shared" ca="1" si="214"/>
        <v>6.2308411077742267</v>
      </c>
      <c r="BT44" s="71">
        <f t="shared" ca="1" si="215"/>
        <v>0.77479763000061497</v>
      </c>
      <c r="BU44" s="71">
        <f t="shared" ca="1" si="216"/>
        <v>4.0905332803320213</v>
      </c>
      <c r="BV44" s="71">
        <f t="shared" ca="1" si="217"/>
        <v>3.514401832397934</v>
      </c>
      <c r="BW44" s="71">
        <f t="shared" ca="1" si="218"/>
        <v>9.7194735911602308</v>
      </c>
      <c r="BX44" s="71">
        <f t="shared" ca="1" si="219"/>
        <v>5.0289411475252095</v>
      </c>
      <c r="BY44" s="71">
        <f t="shared" ca="1" si="220"/>
        <v>0.94768635735612416</v>
      </c>
      <c r="BZ44" s="71">
        <f t="shared" ca="1" si="221"/>
        <v>6.2537341965309894</v>
      </c>
      <c r="CA44" s="71">
        <f t="shared" ca="1" si="222"/>
        <v>3.7001121093414908</v>
      </c>
      <c r="CB44" s="71">
        <f t="shared" ca="1" si="223"/>
        <v>9.542100259344565</v>
      </c>
      <c r="CC44" s="71">
        <f t="shared" ca="1" si="224"/>
        <v>3.7001121093414908</v>
      </c>
      <c r="CD44" s="71">
        <f t="shared" ca="1" si="225"/>
        <v>5.0164640854923848</v>
      </c>
      <c r="CE44" s="71">
        <f t="shared" ca="1" si="226"/>
        <v>12.766098805544146</v>
      </c>
      <c r="CF44" s="71">
        <f t="shared" ca="1" si="227"/>
        <v>5.0164640854923848</v>
      </c>
      <c r="CG44" s="71">
        <f t="shared" ca="1" si="228"/>
        <v>3.8508215495880473</v>
      </c>
    </row>
    <row r="45" spans="1:85" x14ac:dyDescent="0.25">
      <c r="A45" t="str">
        <f t="shared" si="148"/>
        <v>P. Tuderek</v>
      </c>
      <c r="B45">
        <f t="shared" si="148"/>
        <v>28</v>
      </c>
      <c r="C45" s="49">
        <f t="shared" ca="1" si="148"/>
        <v>89</v>
      </c>
      <c r="D45" t="str">
        <f t="shared" si="148"/>
        <v>CAB</v>
      </c>
      <c r="E45" s="201">
        <f t="shared" si="148"/>
        <v>43626</v>
      </c>
      <c r="F45" s="150">
        <f t="shared" ca="1" si="149"/>
        <v>1</v>
      </c>
      <c r="G45" s="151">
        <f t="shared" si="150"/>
        <v>7</v>
      </c>
      <c r="H45" s="48">
        <f t="shared" si="151"/>
        <v>0</v>
      </c>
      <c r="I45" s="48">
        <f t="shared" si="152"/>
        <v>11.307692307692308</v>
      </c>
      <c r="J45" s="48">
        <f t="shared" si="153"/>
        <v>14.333333333333334</v>
      </c>
      <c r="K45" s="48">
        <f t="shared" si="154"/>
        <v>2</v>
      </c>
      <c r="L45" s="48">
        <f t="shared" si="155"/>
        <v>3</v>
      </c>
      <c r="M45" s="48">
        <f t="shared" si="156"/>
        <v>8</v>
      </c>
      <c r="N45" s="48">
        <f t="shared" si="157"/>
        <v>20.166666666666668</v>
      </c>
      <c r="O45" s="151">
        <f t="shared" si="158"/>
        <v>2.5384615384615383</v>
      </c>
      <c r="P45" s="151">
        <f t="shared" ca="1" si="159"/>
        <v>21.47188889124201</v>
      </c>
      <c r="Q45" s="151">
        <f t="shared" si="160"/>
        <v>1.0050000000000001</v>
      </c>
      <c r="R45" s="151">
        <f t="shared" si="161"/>
        <v>1.0573076923076923</v>
      </c>
      <c r="S45" s="151">
        <f t="shared" ca="1" si="162"/>
        <v>22.293464053352345</v>
      </c>
      <c r="T45" s="71">
        <f t="shared" ca="1" si="163"/>
        <v>4.977617195499672</v>
      </c>
      <c r="U45" s="71">
        <f t="shared" ca="1" si="164"/>
        <v>7.5514646569804382</v>
      </c>
      <c r="V45" s="71">
        <f t="shared" ca="1" si="165"/>
        <v>4.977617195499672</v>
      </c>
      <c r="W45" s="71">
        <f t="shared" ca="1" si="166"/>
        <v>6.9321966822990397</v>
      </c>
      <c r="X45" s="71">
        <f t="shared" ca="1" si="167"/>
        <v>13.434489694377984</v>
      </c>
      <c r="Y45" s="71">
        <f t="shared" ca="1" si="168"/>
        <v>3.4660983411495199</v>
      </c>
      <c r="Z45" s="71">
        <f t="shared" ca="1" si="169"/>
        <v>3.917511111364524</v>
      </c>
      <c r="AA45" s="71">
        <f t="shared" ca="1" si="170"/>
        <v>5.0782371044748782</v>
      </c>
      <c r="AB45" s="71">
        <f t="shared" ca="1" si="171"/>
        <v>9.7131360490352812</v>
      </c>
      <c r="AC45" s="71">
        <f t="shared" ca="1" si="172"/>
        <v>2.5391185522374391</v>
      </c>
      <c r="AD45" s="71">
        <f t="shared" ca="1" si="173"/>
        <v>6.3371503272073184</v>
      </c>
      <c r="AE45" s="235">
        <f t="shared" ca="1" si="174"/>
        <v>12.359730518827746</v>
      </c>
      <c r="AF45" s="71">
        <f t="shared" ca="1" si="175"/>
        <v>5.5618787334724846</v>
      </c>
      <c r="AG45" s="71">
        <f t="shared" ca="1" si="176"/>
        <v>2.7488418302431747</v>
      </c>
      <c r="AH45" s="235">
        <f t="shared" ca="1" si="177"/>
        <v>2.4265568633711769</v>
      </c>
      <c r="AI45" s="71">
        <f t="shared" ca="1" si="178"/>
        <v>10.129605229560999</v>
      </c>
      <c r="AJ45" s="71">
        <f t="shared" ca="1" si="179"/>
        <v>9.5116187036196127</v>
      </c>
      <c r="AK45" s="71">
        <f t="shared" ca="1" si="180"/>
        <v>3.7230084969098418</v>
      </c>
      <c r="AL45" s="71">
        <f t="shared" ca="1" si="181"/>
        <v>1.3435945704423975</v>
      </c>
      <c r="AM45" s="71">
        <f t="shared" ca="1" si="182"/>
        <v>3.6273122174820558</v>
      </c>
      <c r="AN45" s="71">
        <f t="shared" ca="1" si="183"/>
        <v>7.9800868784605221</v>
      </c>
      <c r="AO45" s="71">
        <f t="shared" ca="1" si="184"/>
        <v>1.8136561087410279</v>
      </c>
      <c r="AP45" s="71">
        <f t="shared" ca="1" si="185"/>
        <v>15.538363399697944</v>
      </c>
      <c r="AQ45" s="71">
        <f t="shared" ca="1" si="186"/>
        <v>0.66648366026913786</v>
      </c>
      <c r="AR45" s="71">
        <f t="shared" ca="1" si="187"/>
        <v>2.3671516342989025</v>
      </c>
      <c r="AS45" s="71">
        <f t="shared" ca="1" si="188"/>
        <v>0.33324183013456893</v>
      </c>
      <c r="AT45" s="71">
        <f t="shared" ca="1" si="189"/>
        <v>2.5391185522374391</v>
      </c>
      <c r="AU45" s="71">
        <f t="shared" ca="1" si="190"/>
        <v>5.3737958777511938</v>
      </c>
      <c r="AV45" s="71">
        <f t="shared" ca="1" si="191"/>
        <v>1.2695592761187195</v>
      </c>
      <c r="AW45" s="71">
        <f t="shared" ca="1" si="192"/>
        <v>16.460130720019009</v>
      </c>
      <c r="AX45" s="71">
        <f t="shared" ca="1" si="193"/>
        <v>1.2970797388314759</v>
      </c>
      <c r="AY45" s="71">
        <f t="shared" ca="1" si="194"/>
        <v>3.874865360063807</v>
      </c>
      <c r="AZ45" s="71">
        <f t="shared" ca="1" si="195"/>
        <v>0.64853986941573794</v>
      </c>
      <c r="BA45" s="71">
        <f t="shared" ca="1" si="196"/>
        <v>3.9094365010639929</v>
      </c>
      <c r="BB45" s="71">
        <f t="shared" ca="1" si="197"/>
        <v>4.6752024136435377</v>
      </c>
      <c r="BC45" s="71">
        <f t="shared" ca="1" si="198"/>
        <v>14.501375164336746</v>
      </c>
      <c r="BD45" s="71">
        <f t="shared" ca="1" si="199"/>
        <v>3.9837228767635651</v>
      </c>
      <c r="BE45" s="71">
        <f t="shared" ca="1" si="200"/>
        <v>1.2355581701912477</v>
      </c>
      <c r="BF45" s="71">
        <f t="shared" ca="1" si="201"/>
        <v>6.5157275017733216</v>
      </c>
      <c r="BG45" s="71">
        <f t="shared" ca="1" si="202"/>
        <v>3.5467052793157881</v>
      </c>
      <c r="BH45" s="71">
        <f t="shared" ca="1" si="203"/>
        <v>6.2713098043272426</v>
      </c>
      <c r="BI45" s="71">
        <f t="shared" ca="1" si="204"/>
        <v>3.8078209159632803</v>
      </c>
      <c r="BJ45" s="71">
        <f t="shared" ca="1" si="205"/>
        <v>0.26659346410765511</v>
      </c>
      <c r="BK45" s="71">
        <f t="shared" ca="1" si="206"/>
        <v>2.418208144988037</v>
      </c>
      <c r="BL45" s="71">
        <f t="shared" ca="1" si="207"/>
        <v>0.913545299217703</v>
      </c>
      <c r="BM45" s="71">
        <f t="shared" ca="1" si="208"/>
        <v>5.0203398696057979</v>
      </c>
      <c r="BN45" s="71">
        <f t="shared" ca="1" si="209"/>
        <v>5.5930614392777782</v>
      </c>
      <c r="BO45" s="71">
        <f t="shared" ca="1" si="210"/>
        <v>0.69211764720256619</v>
      </c>
      <c r="BP45" s="71">
        <f t="shared" ca="1" si="211"/>
        <v>3.815395073203347</v>
      </c>
      <c r="BQ45" s="71">
        <f t="shared" ca="1" si="212"/>
        <v>3.2780154854282277</v>
      </c>
      <c r="BR45" s="71">
        <f t="shared" ca="1" si="213"/>
        <v>7.4893594776086498</v>
      </c>
      <c r="BS45" s="71">
        <f t="shared" ca="1" si="214"/>
        <v>4.8164915044477281</v>
      </c>
      <c r="BT45" s="71">
        <f t="shared" ca="1" si="215"/>
        <v>0.62034248378896673</v>
      </c>
      <c r="BU45" s="71">
        <f t="shared" ca="1" si="216"/>
        <v>3.815395073203347</v>
      </c>
      <c r="BV45" s="71">
        <f t="shared" ca="1" si="217"/>
        <v>3.2780154854282277</v>
      </c>
      <c r="BW45" s="71">
        <f t="shared" ca="1" si="218"/>
        <v>10.386342484331994</v>
      </c>
      <c r="BX45" s="71">
        <f t="shared" ca="1" si="219"/>
        <v>3.886483661083679</v>
      </c>
      <c r="BY45" s="71">
        <f t="shared" ca="1" si="220"/>
        <v>0.7587660132294799</v>
      </c>
      <c r="BZ45" s="71">
        <f t="shared" ca="1" si="221"/>
        <v>6.6828130723277184</v>
      </c>
      <c r="CA45" s="71">
        <f t="shared" ca="1" si="222"/>
        <v>3.1620614384632368</v>
      </c>
      <c r="CB45" s="71">
        <f t="shared" ca="1" si="223"/>
        <v>8.6877738574080716</v>
      </c>
      <c r="CC45" s="71">
        <f t="shared" ca="1" si="224"/>
        <v>3.1620614384632368</v>
      </c>
      <c r="CD45" s="71">
        <f t="shared" ca="1" si="225"/>
        <v>4.272994771905176</v>
      </c>
      <c r="CE45" s="71">
        <f t="shared" ca="1" si="226"/>
        <v>12.01858562237269</v>
      </c>
      <c r="CF45" s="71">
        <f t="shared" ca="1" si="227"/>
        <v>4.272994771905176</v>
      </c>
      <c r="CG45" s="71">
        <f t="shared" ca="1" si="228"/>
        <v>4.1150326800047523</v>
      </c>
    </row>
    <row r="46" spans="1:85" x14ac:dyDescent="0.25">
      <c r="A46" t="str">
        <f t="shared" si="148"/>
        <v>R. Forsyth</v>
      </c>
      <c r="B46">
        <f t="shared" si="148"/>
        <v>29</v>
      </c>
      <c r="C46" s="49">
        <f t="shared" ca="1" si="148"/>
        <v>32</v>
      </c>
      <c r="D46" t="str">
        <f t="shared" si="148"/>
        <v>POT</v>
      </c>
      <c r="E46" s="201">
        <f t="shared" si="148"/>
        <v>43626</v>
      </c>
      <c r="F46" s="150">
        <f t="shared" ca="1" si="149"/>
        <v>1</v>
      </c>
      <c r="G46" s="151">
        <f t="shared" si="150"/>
        <v>8</v>
      </c>
      <c r="H46" s="48">
        <f t="shared" si="151"/>
        <v>0</v>
      </c>
      <c r="I46" s="48">
        <f t="shared" si="152"/>
        <v>11.76923076923077</v>
      </c>
      <c r="J46" s="48">
        <f t="shared" si="153"/>
        <v>15</v>
      </c>
      <c r="K46" s="48">
        <f t="shared" si="154"/>
        <v>3</v>
      </c>
      <c r="L46" s="48">
        <f t="shared" si="155"/>
        <v>4</v>
      </c>
      <c r="M46" s="48">
        <f t="shared" si="156"/>
        <v>7.5</v>
      </c>
      <c r="N46" s="48">
        <f t="shared" si="157"/>
        <v>19</v>
      </c>
      <c r="O46" s="151">
        <f t="shared" si="158"/>
        <v>2.8461538461538463</v>
      </c>
      <c r="P46" s="151">
        <f t="shared" ca="1" si="159"/>
        <v>20.171105161669594</v>
      </c>
      <c r="Q46" s="151">
        <f t="shared" si="160"/>
        <v>0.94499999999999995</v>
      </c>
      <c r="R46" s="151">
        <f t="shared" si="161"/>
        <v>1.0407692307692309</v>
      </c>
      <c r="S46" s="151">
        <f t="shared" ca="1" si="162"/>
        <v>21.204119982655925</v>
      </c>
      <c r="T46" s="71">
        <f t="shared" ca="1" si="163"/>
        <v>5.1725044371663156</v>
      </c>
      <c r="U46" s="71">
        <f t="shared" ca="1" si="164"/>
        <v>7.8474419745318755</v>
      </c>
      <c r="V46" s="71">
        <f t="shared" ca="1" si="165"/>
        <v>5.1725044371663156</v>
      </c>
      <c r="W46" s="71">
        <f t="shared" ca="1" si="166"/>
        <v>7.210248987973535</v>
      </c>
      <c r="X46" s="71">
        <f t="shared" ca="1" si="167"/>
        <v>13.973350751886695</v>
      </c>
      <c r="Y46" s="71">
        <f t="shared" ca="1" si="168"/>
        <v>3.6051244939867675</v>
      </c>
      <c r="Z46" s="71">
        <f t="shared" ca="1" si="169"/>
        <v>4.0945805558721098</v>
      </c>
      <c r="AA46" s="71">
        <f t="shared" ca="1" si="170"/>
        <v>5.2819265842131706</v>
      </c>
      <c r="AB46" s="71">
        <f t="shared" ca="1" si="171"/>
        <v>10.10273259361408</v>
      </c>
      <c r="AC46" s="71">
        <f t="shared" ca="1" si="172"/>
        <v>2.6409632921065853</v>
      </c>
      <c r="AD46" s="71">
        <f t="shared" ca="1" si="173"/>
        <v>6.6235861933225308</v>
      </c>
      <c r="AE46" s="235">
        <f t="shared" ca="1" si="174"/>
        <v>12.855482691735761</v>
      </c>
      <c r="AF46" s="71">
        <f t="shared" ca="1" si="175"/>
        <v>5.7849672112810913</v>
      </c>
      <c r="AG46" s="71">
        <f t="shared" ca="1" si="176"/>
        <v>2.8730880371035394</v>
      </c>
      <c r="AH46" s="235">
        <f t="shared" ca="1" si="177"/>
        <v>3.0600225498016838</v>
      </c>
      <c r="AI46" s="71">
        <f t="shared" ca="1" si="178"/>
        <v>10.535906466922569</v>
      </c>
      <c r="AJ46" s="71">
        <f t="shared" ca="1" si="179"/>
        <v>9.8931323323357798</v>
      </c>
      <c r="AK46" s="71">
        <f t="shared" ca="1" si="180"/>
        <v>3.5410880371035396</v>
      </c>
      <c r="AL46" s="71">
        <f t="shared" ca="1" si="181"/>
        <v>1.4544788626972138</v>
      </c>
      <c r="AM46" s="71">
        <f t="shared" ca="1" si="182"/>
        <v>3.7728047030094078</v>
      </c>
      <c r="AN46" s="71">
        <f t="shared" ca="1" si="183"/>
        <v>8.3001703466206962</v>
      </c>
      <c r="AO46" s="71">
        <f t="shared" ca="1" si="184"/>
        <v>1.8864023515047039</v>
      </c>
      <c r="AP46" s="71">
        <f t="shared" ca="1" si="185"/>
        <v>16.240689263627193</v>
      </c>
      <c r="AQ46" s="71">
        <f t="shared" ca="1" si="186"/>
        <v>0.80653559774527028</v>
      </c>
      <c r="AR46" s="71">
        <f t="shared" ca="1" si="187"/>
        <v>2.4233071549181857</v>
      </c>
      <c r="AS46" s="71">
        <f t="shared" ca="1" si="188"/>
        <v>0.40326779887263514</v>
      </c>
      <c r="AT46" s="71">
        <f t="shared" ca="1" si="189"/>
        <v>2.6409632921065853</v>
      </c>
      <c r="AU46" s="71">
        <f t="shared" ca="1" si="190"/>
        <v>5.589340300754678</v>
      </c>
      <c r="AV46" s="71">
        <f t="shared" ca="1" si="191"/>
        <v>1.3204816460532927</v>
      </c>
      <c r="AW46" s="71">
        <f t="shared" ca="1" si="192"/>
        <v>17.204119982655925</v>
      </c>
      <c r="AX46" s="71">
        <f t="shared" ca="1" si="193"/>
        <v>1.569642355611949</v>
      </c>
      <c r="AY46" s="71">
        <f t="shared" ca="1" si="194"/>
        <v>4.1534701104434149</v>
      </c>
      <c r="AZ46" s="71">
        <f t="shared" ca="1" si="195"/>
        <v>0.78482117780597449</v>
      </c>
      <c r="BA46" s="71">
        <f t="shared" ca="1" si="196"/>
        <v>4.0662450687990281</v>
      </c>
      <c r="BB46" s="71">
        <f t="shared" ca="1" si="197"/>
        <v>4.86272606165657</v>
      </c>
      <c r="BC46" s="71">
        <f t="shared" ca="1" si="198"/>
        <v>15.15682970471987</v>
      </c>
      <c r="BD46" s="71">
        <f t="shared" ca="1" si="199"/>
        <v>4.9414626645811168</v>
      </c>
      <c r="BE46" s="71">
        <f t="shared" ca="1" si="200"/>
        <v>1.4951929158200779</v>
      </c>
      <c r="BF46" s="71">
        <f t="shared" ca="1" si="201"/>
        <v>6.7770751146650472</v>
      </c>
      <c r="BG46" s="71">
        <f t="shared" ca="1" si="202"/>
        <v>3.6889645984980879</v>
      </c>
      <c r="BH46" s="71">
        <f t="shared" ca="1" si="203"/>
        <v>6.5547697133919076</v>
      </c>
      <c r="BI46" s="71">
        <f t="shared" ca="1" si="204"/>
        <v>4.7494008648412791</v>
      </c>
      <c r="BJ46" s="71">
        <f t="shared" ca="1" si="205"/>
        <v>0.3226142390981081</v>
      </c>
      <c r="BK46" s="71">
        <f t="shared" ca="1" si="206"/>
        <v>2.5152031353396049</v>
      </c>
      <c r="BL46" s="71">
        <f t="shared" ca="1" si="207"/>
        <v>0.95018785112829529</v>
      </c>
      <c r="BM46" s="71">
        <f t="shared" ca="1" si="208"/>
        <v>5.2472565947100573</v>
      </c>
      <c r="BN46" s="71">
        <f t="shared" ca="1" si="209"/>
        <v>6.9784982976955199</v>
      </c>
      <c r="BO46" s="71">
        <f t="shared" ca="1" si="210"/>
        <v>0.83755619765854994</v>
      </c>
      <c r="BP46" s="71">
        <f t="shared" ca="1" si="211"/>
        <v>3.9684316135358211</v>
      </c>
      <c r="BQ46" s="71">
        <f t="shared" ca="1" si="212"/>
        <v>3.4094975834603534</v>
      </c>
      <c r="BR46" s="71">
        <f t="shared" ca="1" si="213"/>
        <v>7.8278745921084463</v>
      </c>
      <c r="BS46" s="71">
        <f t="shared" ca="1" si="214"/>
        <v>6.0101649407827642</v>
      </c>
      <c r="BT46" s="71">
        <f t="shared" ca="1" si="215"/>
        <v>0.75069851790136688</v>
      </c>
      <c r="BU46" s="71">
        <f t="shared" ca="1" si="216"/>
        <v>3.9684316135358211</v>
      </c>
      <c r="BV46" s="71">
        <f t="shared" ca="1" si="217"/>
        <v>3.4094975834603534</v>
      </c>
      <c r="BW46" s="71">
        <f t="shared" ca="1" si="218"/>
        <v>10.855799709055889</v>
      </c>
      <c r="BX46" s="71">
        <f t="shared" ca="1" si="219"/>
        <v>4.8506873844770526</v>
      </c>
      <c r="BY46" s="71">
        <f t="shared" ca="1" si="220"/>
        <v>0.91820975743307687</v>
      </c>
      <c r="BZ46" s="71">
        <f t="shared" ca="1" si="221"/>
        <v>6.9848727129583059</v>
      </c>
      <c r="CA46" s="71">
        <f t="shared" ca="1" si="222"/>
        <v>3.5328465109637368</v>
      </c>
      <c r="CB46" s="71">
        <f t="shared" ca="1" si="223"/>
        <v>9.0263391004705724</v>
      </c>
      <c r="CC46" s="71">
        <f t="shared" ca="1" si="224"/>
        <v>3.5328465109637368</v>
      </c>
      <c r="CD46" s="71">
        <f t="shared" ca="1" si="225"/>
        <v>4.5541667491946409</v>
      </c>
      <c r="CE46" s="71">
        <f t="shared" ca="1" si="226"/>
        <v>11.993440256255962</v>
      </c>
      <c r="CF46" s="71">
        <f t="shared" ca="1" si="227"/>
        <v>4.5541667491946409</v>
      </c>
      <c r="CG46" s="71">
        <f t="shared" ca="1" si="228"/>
        <v>4.3010299956639813</v>
      </c>
    </row>
    <row r="47" spans="1:85" x14ac:dyDescent="0.25">
      <c r="A47" t="str">
        <f t="shared" ref="A47:E56" si="229">A13</f>
        <v>Dusty Ware</v>
      </c>
      <c r="B47">
        <f t="shared" si="229"/>
        <v>30</v>
      </c>
      <c r="C47" s="49">
        <f t="shared" ca="1" si="229"/>
        <v>14</v>
      </c>
      <c r="D47" t="str">
        <f t="shared" si="229"/>
        <v>POT</v>
      </c>
      <c r="E47" s="201">
        <f t="shared" si="229"/>
        <v>44354</v>
      </c>
      <c r="F47" s="150">
        <f t="shared" ca="1" si="149"/>
        <v>1</v>
      </c>
      <c r="G47" s="151">
        <f t="shared" si="150"/>
        <v>9</v>
      </c>
      <c r="H47" s="48">
        <f t="shared" si="151"/>
        <v>0</v>
      </c>
      <c r="I47" s="48">
        <f t="shared" si="152"/>
        <v>11.384615384615385</v>
      </c>
      <c r="J47" s="48">
        <f t="shared" si="153"/>
        <v>15.095238095238095</v>
      </c>
      <c r="K47" s="48">
        <f t="shared" si="154"/>
        <v>4</v>
      </c>
      <c r="L47" s="48">
        <f t="shared" si="155"/>
        <v>3</v>
      </c>
      <c r="M47" s="48">
        <f t="shared" si="156"/>
        <v>9</v>
      </c>
      <c r="N47" s="48">
        <f t="shared" si="157"/>
        <v>18.25</v>
      </c>
      <c r="O47" s="151">
        <f t="shared" si="158"/>
        <v>2.5480769230769234</v>
      </c>
      <c r="P47" s="151">
        <f t="shared" ca="1" si="159"/>
        <v>22.399334594481211</v>
      </c>
      <c r="Q47" s="151">
        <f t="shared" si="160"/>
        <v>0.99749999999999994</v>
      </c>
      <c r="R47" s="151">
        <f t="shared" si="161"/>
        <v>1.0028846153846154</v>
      </c>
      <c r="S47" s="151">
        <f t="shared" ca="1" si="162"/>
        <v>20.522323345919101</v>
      </c>
      <c r="T47" s="71">
        <f t="shared" ca="1" si="163"/>
        <v>5.1258921271412206</v>
      </c>
      <c r="U47" s="71">
        <f t="shared" ca="1" si="164"/>
        <v>7.7720309780430963</v>
      </c>
      <c r="V47" s="71">
        <f t="shared" ca="1" si="165"/>
        <v>5.1258921271412206</v>
      </c>
      <c r="W47" s="71">
        <f t="shared" ca="1" si="166"/>
        <v>7.0469803849557939</v>
      </c>
      <c r="X47" s="71">
        <f t="shared" ca="1" si="167"/>
        <v>13.656938730534485</v>
      </c>
      <c r="Y47" s="71">
        <f t="shared" ca="1" si="168"/>
        <v>3.523490192477897</v>
      </c>
      <c r="Z47" s="71">
        <f t="shared" ca="1" si="169"/>
        <v>4.1334796229954129</v>
      </c>
      <c r="AA47" s="71">
        <f t="shared" ca="1" si="170"/>
        <v>5.1623228401420356</v>
      </c>
      <c r="AB47" s="71">
        <f t="shared" ca="1" si="171"/>
        <v>9.8739667021764319</v>
      </c>
      <c r="AC47" s="71">
        <f t="shared" ca="1" si="172"/>
        <v>2.5811614200710178</v>
      </c>
      <c r="AD47" s="71">
        <f t="shared" ca="1" si="173"/>
        <v>6.6865111548455207</v>
      </c>
      <c r="AE47" s="235">
        <f t="shared" ca="1" si="174"/>
        <v>12.564383632091726</v>
      </c>
      <c r="AF47" s="71">
        <f t="shared" ca="1" si="175"/>
        <v>5.653972634441276</v>
      </c>
      <c r="AG47" s="71">
        <f t="shared" ca="1" si="176"/>
        <v>2.900382760673252</v>
      </c>
      <c r="AH47" s="235">
        <f t="shared" ca="1" si="177"/>
        <v>3.6881261274004302</v>
      </c>
      <c r="AI47" s="71">
        <f t="shared" ca="1" si="178"/>
        <v>10.297331802823001</v>
      </c>
      <c r="AJ47" s="71">
        <f t="shared" ca="1" si="179"/>
        <v>9.6691126212184155</v>
      </c>
      <c r="AK47" s="71">
        <f t="shared" ca="1" si="180"/>
        <v>3.4272279987684899</v>
      </c>
      <c r="AL47" s="71">
        <f t="shared" ca="1" si="181"/>
        <v>1.3882752774708544</v>
      </c>
      <c r="AM47" s="71">
        <f t="shared" ca="1" si="182"/>
        <v>3.6873734572443113</v>
      </c>
      <c r="AN47" s="71">
        <f t="shared" ca="1" si="183"/>
        <v>8.1122216059374832</v>
      </c>
      <c r="AO47" s="71">
        <f t="shared" ca="1" si="184"/>
        <v>1.8436867286221557</v>
      </c>
      <c r="AP47" s="71">
        <f t="shared" ca="1" si="185"/>
        <v>16.394978000452394</v>
      </c>
      <c r="AQ47" s="71">
        <f t="shared" ca="1" si="186"/>
        <v>0.68540203496948293</v>
      </c>
      <c r="AR47" s="71">
        <f t="shared" ca="1" si="187"/>
        <v>2.5827907403542962</v>
      </c>
      <c r="AS47" s="71">
        <f t="shared" ca="1" si="188"/>
        <v>0.34270101748474147</v>
      </c>
      <c r="AT47" s="71">
        <f t="shared" ca="1" si="189"/>
        <v>2.5811614200710178</v>
      </c>
      <c r="AU47" s="71">
        <f t="shared" ca="1" si="190"/>
        <v>5.4627754922137939</v>
      </c>
      <c r="AV47" s="71">
        <f t="shared" ca="1" si="191"/>
        <v>1.2905807100355089</v>
      </c>
      <c r="AW47" s="71">
        <f t="shared" ca="1" si="192"/>
        <v>17.367561441157196</v>
      </c>
      <c r="AX47" s="71">
        <f t="shared" ca="1" si="193"/>
        <v>1.3338978065175322</v>
      </c>
      <c r="AY47" s="71">
        <f t="shared" ca="1" si="194"/>
        <v>4.1650501636014239</v>
      </c>
      <c r="AZ47" s="71">
        <f t="shared" ca="1" si="195"/>
        <v>0.6669489032587661</v>
      </c>
      <c r="BA47" s="71">
        <f t="shared" ca="1" si="196"/>
        <v>3.9741691705855349</v>
      </c>
      <c r="BB47" s="71">
        <f t="shared" ca="1" si="197"/>
        <v>4.7526146782260001</v>
      </c>
      <c r="BC47" s="71">
        <f t="shared" ca="1" si="198"/>
        <v>15.30082162965949</v>
      </c>
      <c r="BD47" s="71">
        <f t="shared" ca="1" si="199"/>
        <v>5.2610954545220796</v>
      </c>
      <c r="BE47" s="71">
        <f t="shared" ca="1" si="200"/>
        <v>1.2706299263665031</v>
      </c>
      <c r="BF47" s="71">
        <f t="shared" ca="1" si="201"/>
        <v>6.6236152843092251</v>
      </c>
      <c r="BG47" s="71">
        <f t="shared" ca="1" si="202"/>
        <v>3.6054318248611041</v>
      </c>
      <c r="BH47" s="71">
        <f t="shared" ca="1" si="203"/>
        <v>6.6170409090808917</v>
      </c>
      <c r="BI47" s="71">
        <f t="shared" ca="1" si="204"/>
        <v>5.2810106043332938</v>
      </c>
      <c r="BJ47" s="71">
        <f t="shared" ca="1" si="205"/>
        <v>0.27416081398779318</v>
      </c>
      <c r="BK47" s="71">
        <f t="shared" ca="1" si="206"/>
        <v>2.4582489714962072</v>
      </c>
      <c r="BL47" s="71">
        <f t="shared" ca="1" si="207"/>
        <v>0.92867183367634498</v>
      </c>
      <c r="BM47" s="71">
        <f t="shared" ca="1" si="208"/>
        <v>5.2971062395529449</v>
      </c>
      <c r="BN47" s="71">
        <f t="shared" ca="1" si="209"/>
        <v>7.7802078228519616</v>
      </c>
      <c r="BO47" s="71">
        <f t="shared" ca="1" si="210"/>
        <v>0.71176365169907851</v>
      </c>
      <c r="BP47" s="71">
        <f t="shared" ca="1" si="211"/>
        <v>3.8785705994717934</v>
      </c>
      <c r="BQ47" s="71">
        <f t="shared" ca="1" si="212"/>
        <v>3.332293050250414</v>
      </c>
      <c r="BR47" s="71">
        <f t="shared" ca="1" si="213"/>
        <v>7.9022404557265249</v>
      </c>
      <c r="BS47" s="71">
        <f t="shared" ca="1" si="214"/>
        <v>6.7057342672783626</v>
      </c>
      <c r="BT47" s="71">
        <f t="shared" ca="1" si="215"/>
        <v>0.63795112485621108</v>
      </c>
      <c r="BU47" s="71">
        <f t="shared" ca="1" si="216"/>
        <v>3.8785705994717934</v>
      </c>
      <c r="BV47" s="71">
        <f t="shared" ca="1" si="217"/>
        <v>3.332293050250414</v>
      </c>
      <c r="BW47" s="71">
        <f t="shared" ca="1" si="218"/>
        <v>10.958931269370192</v>
      </c>
      <c r="BX47" s="71">
        <f t="shared" ca="1" si="219"/>
        <v>5.4207293945975943</v>
      </c>
      <c r="BY47" s="71">
        <f t="shared" ca="1" si="220"/>
        <v>0.78030385519602674</v>
      </c>
      <c r="BZ47" s="71">
        <f t="shared" ca="1" si="221"/>
        <v>7.0512299451098226</v>
      </c>
      <c r="CA47" s="71">
        <f t="shared" ca="1" si="222"/>
        <v>3.652880463223851</v>
      </c>
      <c r="CB47" s="71">
        <f t="shared" ca="1" si="223"/>
        <v>9.4346360875049058</v>
      </c>
      <c r="CC47" s="71">
        <f t="shared" ca="1" si="224"/>
        <v>3.652880463223851</v>
      </c>
      <c r="CD47" s="71">
        <f t="shared" ca="1" si="225"/>
        <v>5.0656574445075995</v>
      </c>
      <c r="CE47" s="71">
        <f t="shared" ca="1" si="226"/>
        <v>13.217810660563247</v>
      </c>
      <c r="CF47" s="71">
        <f t="shared" ca="1" si="227"/>
        <v>5.0656574445075995</v>
      </c>
      <c r="CG47" s="71">
        <f t="shared" ca="1" si="228"/>
        <v>4.3418903602892991</v>
      </c>
    </row>
    <row r="48" spans="1:85" x14ac:dyDescent="0.25">
      <c r="A48" t="str">
        <f t="shared" si="229"/>
        <v>S. Kariuki</v>
      </c>
      <c r="B48">
        <f t="shared" si="229"/>
        <v>29</v>
      </c>
      <c r="C48" s="49">
        <f t="shared" ca="1" si="229"/>
        <v>90</v>
      </c>
      <c r="D48" t="str">
        <f t="shared" si="229"/>
        <v>CAB</v>
      </c>
      <c r="E48" s="201">
        <f t="shared" si="229"/>
        <v>44652</v>
      </c>
      <c r="F48" s="150">
        <f t="shared" ca="1" si="149"/>
        <v>0.53380177226389258</v>
      </c>
      <c r="G48" s="151">
        <f t="shared" si="150"/>
        <v>9</v>
      </c>
      <c r="H48" s="48">
        <f t="shared" si="151"/>
        <v>0</v>
      </c>
      <c r="I48" s="48">
        <f t="shared" si="152"/>
        <v>13</v>
      </c>
      <c r="J48" s="48">
        <f t="shared" si="153"/>
        <v>14</v>
      </c>
      <c r="K48" s="48">
        <f t="shared" si="154"/>
        <v>2</v>
      </c>
      <c r="L48" s="48">
        <f t="shared" si="155"/>
        <v>2</v>
      </c>
      <c r="M48" s="48">
        <f t="shared" si="156"/>
        <v>7</v>
      </c>
      <c r="N48" s="48">
        <f t="shared" si="157"/>
        <v>19</v>
      </c>
      <c r="O48" s="151">
        <f t="shared" si="158"/>
        <v>2.5</v>
      </c>
      <c r="P48" s="151">
        <f t="shared" ca="1" si="159"/>
        <v>18.461536511184413</v>
      </c>
      <c r="Q48" s="151">
        <f t="shared" si="160"/>
        <v>0.91999999999999993</v>
      </c>
      <c r="R48" s="151">
        <f t="shared" si="161"/>
        <v>1.0900000000000001</v>
      </c>
      <c r="S48" s="151">
        <f t="shared" ca="1" si="162"/>
        <v>20.884695781614894</v>
      </c>
      <c r="T48" s="71">
        <f t="shared" ca="1" si="163"/>
        <v>5.1647472281737521</v>
      </c>
      <c r="U48" s="71">
        <f t="shared" ca="1" si="164"/>
        <v>7.8567075275742431</v>
      </c>
      <c r="V48" s="71">
        <f t="shared" ca="1" si="165"/>
        <v>5.1647472281737521</v>
      </c>
      <c r="W48" s="71">
        <f t="shared" ca="1" si="166"/>
        <v>7.6399605609824244</v>
      </c>
      <c r="X48" s="71">
        <f t="shared" ca="1" si="167"/>
        <v>14.806125118182992</v>
      </c>
      <c r="Y48" s="71">
        <f t="shared" ca="1" si="168"/>
        <v>3.8199802804912122</v>
      </c>
      <c r="Z48" s="71">
        <f t="shared" ca="1" si="169"/>
        <v>3.7618577781275517</v>
      </c>
      <c r="AA48" s="71">
        <f t="shared" ca="1" si="170"/>
        <v>5.5967152946731709</v>
      </c>
      <c r="AB48" s="71">
        <f t="shared" ca="1" si="171"/>
        <v>10.704828460446302</v>
      </c>
      <c r="AC48" s="71">
        <f t="shared" ca="1" si="172"/>
        <v>2.7983576473365854</v>
      </c>
      <c r="AD48" s="71">
        <f t="shared" ca="1" si="173"/>
        <v>6.0853581705004522</v>
      </c>
      <c r="AE48" s="235">
        <f t="shared" ca="1" si="174"/>
        <v>13.621635108728354</v>
      </c>
      <c r="AF48" s="71">
        <f t="shared" ca="1" si="175"/>
        <v>6.1297357989277588</v>
      </c>
      <c r="AG48" s="71">
        <f t="shared" ca="1" si="176"/>
        <v>2.6396228947365596</v>
      </c>
      <c r="AH48" s="235">
        <f t="shared" ca="1" si="177"/>
        <v>2.2380015694915993</v>
      </c>
      <c r="AI48" s="71">
        <f t="shared" ca="1" si="178"/>
        <v>11.163818339109977</v>
      </c>
      <c r="AJ48" s="71">
        <f t="shared" ca="1" si="179"/>
        <v>10.482736583673558</v>
      </c>
      <c r="AK48" s="71">
        <f t="shared" ca="1" si="180"/>
        <v>3.4746228947365601</v>
      </c>
      <c r="AL48" s="71">
        <f t="shared" ca="1" si="181"/>
        <v>1.2401640340367017</v>
      </c>
      <c r="AM48" s="71">
        <f t="shared" ca="1" si="182"/>
        <v>3.997653781909408</v>
      </c>
      <c r="AN48" s="71">
        <f t="shared" ca="1" si="183"/>
        <v>8.7948383202006966</v>
      </c>
      <c r="AO48" s="71">
        <f t="shared" ca="1" si="184"/>
        <v>1.998826890954704</v>
      </c>
      <c r="AP48" s="71">
        <f t="shared" ca="1" si="185"/>
        <v>14.920982111564744</v>
      </c>
      <c r="AQ48" s="71">
        <f t="shared" ca="1" si="186"/>
        <v>0.49479626536378896</v>
      </c>
      <c r="AR48" s="71">
        <f t="shared" ca="1" si="187"/>
        <v>1.9801946596276165</v>
      </c>
      <c r="AS48" s="71">
        <f t="shared" ca="1" si="188"/>
        <v>0.24739813268189448</v>
      </c>
      <c r="AT48" s="71">
        <f t="shared" ca="1" si="189"/>
        <v>2.7983576473365854</v>
      </c>
      <c r="AU48" s="71">
        <f t="shared" ca="1" si="190"/>
        <v>5.9224500472731973</v>
      </c>
      <c r="AV48" s="71">
        <f t="shared" ca="1" si="191"/>
        <v>1.3991788236682927</v>
      </c>
      <c r="AW48" s="71">
        <f t="shared" ca="1" si="192"/>
        <v>15.806125118182992</v>
      </c>
      <c r="AX48" s="71">
        <f t="shared" ca="1" si="193"/>
        <v>0.96294965490029705</v>
      </c>
      <c r="AY48" s="71">
        <f t="shared" ca="1" si="194"/>
        <v>3.1471749401188287</v>
      </c>
      <c r="AZ48" s="71">
        <f t="shared" ca="1" si="195"/>
        <v>0.48147482745014852</v>
      </c>
      <c r="BA48" s="71">
        <f t="shared" ca="1" si="196"/>
        <v>4.3085824093912501</v>
      </c>
      <c r="BB48" s="71">
        <f t="shared" ca="1" si="197"/>
        <v>5.1525315411276811</v>
      </c>
      <c r="BC48" s="71">
        <f t="shared" ca="1" si="198"/>
        <v>13.925196229119216</v>
      </c>
      <c r="BD48" s="71">
        <f t="shared" ca="1" si="199"/>
        <v>3.3836452300646798</v>
      </c>
      <c r="BE48" s="71">
        <f t="shared" ca="1" si="200"/>
        <v>0.91727615348210101</v>
      </c>
      <c r="BF48" s="71">
        <f t="shared" ca="1" si="201"/>
        <v>7.1809706823187511</v>
      </c>
      <c r="BG48" s="71">
        <f t="shared" ca="1" si="202"/>
        <v>3.9088170312003099</v>
      </c>
      <c r="BH48" s="71">
        <f t="shared" ca="1" si="203"/>
        <v>6.0221336700277197</v>
      </c>
      <c r="BI48" s="71">
        <f t="shared" ca="1" si="204"/>
        <v>3.3265533532919354</v>
      </c>
      <c r="BJ48" s="71">
        <f t="shared" ca="1" si="205"/>
        <v>0.19791850614551557</v>
      </c>
      <c r="BK48" s="71">
        <f t="shared" ca="1" si="206"/>
        <v>2.6651025212729387</v>
      </c>
      <c r="BL48" s="71">
        <f t="shared" ca="1" si="207"/>
        <v>1.0068165080364435</v>
      </c>
      <c r="BM48" s="71">
        <f t="shared" ca="1" si="208"/>
        <v>4.8208681610458122</v>
      </c>
      <c r="BN48" s="71">
        <f t="shared" ca="1" si="209"/>
        <v>4.8946769019833276</v>
      </c>
      <c r="BO48" s="71">
        <f t="shared" ca="1" si="210"/>
        <v>0.51382689095470391</v>
      </c>
      <c r="BP48" s="71">
        <f t="shared" ca="1" si="211"/>
        <v>4.2049395335639694</v>
      </c>
      <c r="BQ48" s="71">
        <f t="shared" ca="1" si="212"/>
        <v>3.6126945288366499</v>
      </c>
      <c r="BR48" s="71">
        <f t="shared" ca="1" si="213"/>
        <v>7.1917869287732614</v>
      </c>
      <c r="BS48" s="71">
        <f t="shared" ca="1" si="214"/>
        <v>4.2171866309467552</v>
      </c>
      <c r="BT48" s="71">
        <f t="shared" ca="1" si="215"/>
        <v>0.46054113930014201</v>
      </c>
      <c r="BU48" s="71">
        <f t="shared" ca="1" si="216"/>
        <v>4.2049395335639694</v>
      </c>
      <c r="BV48" s="71">
        <f t="shared" ca="1" si="217"/>
        <v>3.6126945288366499</v>
      </c>
      <c r="BW48" s="71">
        <f t="shared" ca="1" si="218"/>
        <v>9.9736649495734682</v>
      </c>
      <c r="BX48" s="71">
        <f t="shared" ca="1" si="219"/>
        <v>3.4064819807737781</v>
      </c>
      <c r="BY48" s="71">
        <f t="shared" ca="1" si="220"/>
        <v>0.56330651749108285</v>
      </c>
      <c r="BZ48" s="71">
        <f t="shared" ca="1" si="221"/>
        <v>6.4172867979822952</v>
      </c>
      <c r="CA48" s="71">
        <f t="shared" ca="1" si="222"/>
        <v>2.617991186573339</v>
      </c>
      <c r="CB48" s="71">
        <f t="shared" ca="1" si="223"/>
        <v>7.2006968830740492</v>
      </c>
      <c r="CC48" s="71">
        <f t="shared" ca="1" si="224"/>
        <v>2.617991186573339</v>
      </c>
      <c r="CD48" s="71">
        <f t="shared" ca="1" si="225"/>
        <v>3.792427487839392</v>
      </c>
      <c r="CE48" s="71">
        <f t="shared" ca="1" si="226"/>
        <v>10.210585286792515</v>
      </c>
      <c r="CF48" s="71">
        <f t="shared" ca="1" si="227"/>
        <v>3.792427487839392</v>
      </c>
      <c r="CG48" s="71">
        <f t="shared" ca="1" si="228"/>
        <v>3.951531279545748</v>
      </c>
    </row>
    <row r="49" spans="1:85" x14ac:dyDescent="0.25">
      <c r="A49" t="str">
        <f t="shared" si="229"/>
        <v>K. Polyukhov</v>
      </c>
      <c r="B49">
        <f t="shared" si="229"/>
        <v>30</v>
      </c>
      <c r="C49" s="49">
        <f t="shared" ca="1" si="229"/>
        <v>98</v>
      </c>
      <c r="D49" t="str">
        <f t="shared" si="229"/>
        <v>IMP</v>
      </c>
      <c r="E49" s="201">
        <f t="shared" si="229"/>
        <v>44531</v>
      </c>
      <c r="F49" s="150">
        <f t="shared" ca="1" si="149"/>
        <v>0.82123776531293857</v>
      </c>
      <c r="G49" s="151">
        <f t="shared" si="150"/>
        <v>9</v>
      </c>
      <c r="H49" s="48">
        <f t="shared" si="151"/>
        <v>0</v>
      </c>
      <c r="I49" s="48">
        <f t="shared" si="152"/>
        <v>14.590909090909092</v>
      </c>
      <c r="J49" s="48">
        <f t="shared" si="153"/>
        <v>13</v>
      </c>
      <c r="K49" s="48">
        <f t="shared" si="154"/>
        <v>1</v>
      </c>
      <c r="L49" s="48">
        <f t="shared" si="155"/>
        <v>9</v>
      </c>
      <c r="M49" s="48">
        <f t="shared" si="156"/>
        <v>9</v>
      </c>
      <c r="N49" s="48">
        <f t="shared" si="157"/>
        <v>16</v>
      </c>
      <c r="O49" s="151">
        <f t="shared" si="158"/>
        <v>4.4488636363636367</v>
      </c>
      <c r="P49" s="151">
        <f t="shared" ca="1" si="159"/>
        <v>20.766770055822803</v>
      </c>
      <c r="Q49" s="151">
        <f t="shared" si="160"/>
        <v>0.93</v>
      </c>
      <c r="R49" s="151">
        <f t="shared" si="161"/>
        <v>1.0636363636363637</v>
      </c>
      <c r="S49" s="151">
        <f t="shared" ca="1" si="162"/>
        <v>18.129714183063427</v>
      </c>
      <c r="T49" s="71">
        <f t="shared" ca="1" si="163"/>
        <v>5.85476975919648</v>
      </c>
      <c r="U49" s="71">
        <f t="shared" ca="1" si="164"/>
        <v>8.9039237582369264</v>
      </c>
      <c r="V49" s="71">
        <f t="shared" ca="1" si="165"/>
        <v>5.85476975919648</v>
      </c>
      <c r="W49" s="71">
        <f t="shared" ca="1" si="166"/>
        <v>8.6091866243048241</v>
      </c>
      <c r="X49" s="71">
        <f t="shared" ca="1" si="167"/>
        <v>16.684470202141132</v>
      </c>
      <c r="Y49" s="71">
        <f t="shared" ca="1" si="168"/>
        <v>4.304593312152412</v>
      </c>
      <c r="Z49" s="71">
        <f t="shared" ca="1" si="169"/>
        <v>3.5922675444732248</v>
      </c>
      <c r="AA49" s="71">
        <f t="shared" ca="1" si="170"/>
        <v>6.3067297364093475</v>
      </c>
      <c r="AB49" s="71">
        <f t="shared" ca="1" si="171"/>
        <v>12.062871956148038</v>
      </c>
      <c r="AC49" s="71">
        <f t="shared" ca="1" si="172"/>
        <v>3.1533648682046738</v>
      </c>
      <c r="AD49" s="71">
        <f t="shared" ca="1" si="173"/>
        <v>5.8110210278243351</v>
      </c>
      <c r="AE49" s="235">
        <f t="shared" ca="1" si="174"/>
        <v>15.349712585969842</v>
      </c>
      <c r="AF49" s="71">
        <f t="shared" ca="1" si="175"/>
        <v>6.9073706636864278</v>
      </c>
      <c r="AG49" s="71">
        <f t="shared" ca="1" si="176"/>
        <v>2.5206247055757505</v>
      </c>
      <c r="AH49" s="235">
        <f t="shared" ca="1" si="177"/>
        <v>1.8190139334044386</v>
      </c>
      <c r="AI49" s="71">
        <f t="shared" ca="1" si="178"/>
        <v>12.580090532414413</v>
      </c>
      <c r="AJ49" s="71">
        <f t="shared" ca="1" si="179"/>
        <v>11.81260490311592</v>
      </c>
      <c r="AK49" s="71">
        <f t="shared" ca="1" si="180"/>
        <v>3.0216247055757512</v>
      </c>
      <c r="AL49" s="71">
        <f t="shared" ca="1" si="181"/>
        <v>1.8842183273075541</v>
      </c>
      <c r="AM49" s="71">
        <f t="shared" ca="1" si="182"/>
        <v>4.5048069545781058</v>
      </c>
      <c r="AN49" s="71">
        <f t="shared" ca="1" si="183"/>
        <v>9.910575300071832</v>
      </c>
      <c r="AO49" s="71">
        <f t="shared" ca="1" si="184"/>
        <v>2.2524034772890529</v>
      </c>
      <c r="AP49" s="71">
        <f t="shared" ca="1" si="185"/>
        <v>14.248321689003044</v>
      </c>
      <c r="AQ49" s="71">
        <f t="shared" ca="1" si="186"/>
        <v>1.4421629444601649</v>
      </c>
      <c r="AR49" s="71">
        <f t="shared" ca="1" si="187"/>
        <v>3.250413405590987</v>
      </c>
      <c r="AS49" s="71">
        <f t="shared" ca="1" si="188"/>
        <v>0.72108147223008245</v>
      </c>
      <c r="AT49" s="71">
        <f t="shared" ca="1" si="189"/>
        <v>3.1533648682046738</v>
      </c>
      <c r="AU49" s="71">
        <f t="shared" ca="1" si="190"/>
        <v>6.6737880808564531</v>
      </c>
      <c r="AV49" s="71">
        <f t="shared" ca="1" si="191"/>
        <v>1.5766824341023369</v>
      </c>
      <c r="AW49" s="71">
        <f t="shared" ca="1" si="192"/>
        <v>15.093561111232038</v>
      </c>
      <c r="AX49" s="71">
        <f t="shared" ca="1" si="193"/>
        <v>2.8066709611417058</v>
      </c>
      <c r="AY49" s="71">
        <f t="shared" ca="1" si="194"/>
        <v>6.1125521722888525</v>
      </c>
      <c r="AZ49" s="71">
        <f t="shared" ca="1" si="195"/>
        <v>1.4033354805708529</v>
      </c>
      <c r="BA49" s="71">
        <f t="shared" ca="1" si="196"/>
        <v>4.8551808288230687</v>
      </c>
      <c r="BB49" s="71">
        <f t="shared" ca="1" si="197"/>
        <v>5.8061956303451137</v>
      </c>
      <c r="BC49" s="71">
        <f t="shared" ca="1" si="198"/>
        <v>13.297427338995426</v>
      </c>
      <c r="BD49" s="71">
        <f t="shared" ca="1" si="199"/>
        <v>5.2701758278852822</v>
      </c>
      <c r="BE49" s="71">
        <f t="shared" ca="1" si="200"/>
        <v>2.6735482278069211</v>
      </c>
      <c r="BF49" s="71">
        <f t="shared" ca="1" si="201"/>
        <v>8.0919680480384493</v>
      </c>
      <c r="BG49" s="71">
        <f t="shared" ca="1" si="202"/>
        <v>4.4047001333652593</v>
      </c>
      <c r="BH49" s="71">
        <f t="shared" ca="1" si="203"/>
        <v>5.7506467833794064</v>
      </c>
      <c r="BI49" s="71">
        <f t="shared" ca="1" si="204"/>
        <v>4.3117724112168023</v>
      </c>
      <c r="BJ49" s="71">
        <f t="shared" ca="1" si="205"/>
        <v>0.57686517778406599</v>
      </c>
      <c r="BK49" s="71">
        <f t="shared" ca="1" si="206"/>
        <v>3.0032046363854037</v>
      </c>
      <c r="BL49" s="71">
        <f t="shared" ca="1" si="207"/>
        <v>1.1345439737455971</v>
      </c>
      <c r="BM49" s="71">
        <f t="shared" ca="1" si="208"/>
        <v>4.6035361389257714</v>
      </c>
      <c r="BN49" s="71">
        <f t="shared" ca="1" si="209"/>
        <v>6.266319589044401</v>
      </c>
      <c r="BO49" s="71">
        <f t="shared" ca="1" si="210"/>
        <v>1.4976307500163253</v>
      </c>
      <c r="BP49" s="71">
        <f t="shared" ca="1" si="211"/>
        <v>4.7383895374080813</v>
      </c>
      <c r="BQ49" s="71">
        <f t="shared" ca="1" si="212"/>
        <v>4.0710107293224356</v>
      </c>
      <c r="BR49" s="71">
        <f t="shared" ca="1" si="213"/>
        <v>6.8675703056105775</v>
      </c>
      <c r="BS49" s="71">
        <f t="shared" ca="1" si="214"/>
        <v>5.3796657112450985</v>
      </c>
      <c r="BT49" s="71">
        <f t="shared" ca="1" si="215"/>
        <v>1.3423208944590765</v>
      </c>
      <c r="BU49" s="71">
        <f t="shared" ca="1" si="216"/>
        <v>4.7383895374080813</v>
      </c>
      <c r="BV49" s="71">
        <f t="shared" ca="1" si="217"/>
        <v>4.0710107293224356</v>
      </c>
      <c r="BW49" s="71">
        <f t="shared" ca="1" si="218"/>
        <v>9.5240370611874159</v>
      </c>
      <c r="BX49" s="71">
        <f t="shared" ca="1" si="219"/>
        <v>4.3127371945526747</v>
      </c>
      <c r="BY49" s="71">
        <f t="shared" ca="1" si="220"/>
        <v>1.6418470444623416</v>
      </c>
      <c r="BZ49" s="71">
        <f t="shared" ca="1" si="221"/>
        <v>6.1279858111602081</v>
      </c>
      <c r="CA49" s="71">
        <f t="shared" ca="1" si="222"/>
        <v>4.6277453389518923</v>
      </c>
      <c r="CB49" s="71">
        <f t="shared" ca="1" si="223"/>
        <v>12.491349811247275</v>
      </c>
      <c r="CC49" s="71">
        <f t="shared" ca="1" si="224"/>
        <v>4.6277453389518923</v>
      </c>
      <c r="CD49" s="71">
        <f t="shared" ca="1" si="225"/>
        <v>5.1897667533161957</v>
      </c>
      <c r="CE49" s="71">
        <f t="shared" ca="1" si="226"/>
        <v>15.187085161276659</v>
      </c>
      <c r="CF49" s="71">
        <f t="shared" ca="1" si="227"/>
        <v>5.1897667533161957</v>
      </c>
      <c r="CG49" s="71">
        <f t="shared" ca="1" si="228"/>
        <v>3.7733902778080095</v>
      </c>
    </row>
    <row r="50" spans="1:85" x14ac:dyDescent="0.25">
      <c r="A50" t="str">
        <f t="shared" si="229"/>
        <v>I. Vanags</v>
      </c>
      <c r="B50">
        <f t="shared" si="229"/>
        <v>28</v>
      </c>
      <c r="C50" s="49">
        <f t="shared" ca="1" si="229"/>
        <v>87</v>
      </c>
      <c r="D50" t="str">
        <f t="shared" si="229"/>
        <v>CAB</v>
      </c>
      <c r="E50" s="201">
        <f t="shared" si="229"/>
        <v>43626</v>
      </c>
      <c r="F50" s="150">
        <f t="shared" ca="1" si="149"/>
        <v>1</v>
      </c>
      <c r="G50" s="151">
        <f t="shared" si="150"/>
        <v>8</v>
      </c>
      <c r="H50" s="48">
        <f t="shared" si="151"/>
        <v>0</v>
      </c>
      <c r="I50" s="48">
        <f t="shared" si="152"/>
        <v>10</v>
      </c>
      <c r="J50" s="48">
        <f t="shared" si="153"/>
        <v>15</v>
      </c>
      <c r="K50" s="48">
        <f t="shared" si="154"/>
        <v>3</v>
      </c>
      <c r="L50" s="48">
        <f t="shared" si="155"/>
        <v>4</v>
      </c>
      <c r="M50" s="48">
        <f t="shared" si="156"/>
        <v>8.375</v>
      </c>
      <c r="N50" s="48">
        <f t="shared" si="157"/>
        <v>19.399999999999999</v>
      </c>
      <c r="O50" s="151">
        <f t="shared" si="158"/>
        <v>2.625</v>
      </c>
      <c r="P50" s="151">
        <f t="shared" ca="1" si="159"/>
        <v>21.843605161669593</v>
      </c>
      <c r="Q50" s="151">
        <f t="shared" si="160"/>
        <v>1.00075</v>
      </c>
      <c r="R50" s="151">
        <f t="shared" si="161"/>
        <v>0.98199999999999998</v>
      </c>
      <c r="S50" s="151">
        <f t="shared" ca="1" si="162"/>
        <v>21.604119982655924</v>
      </c>
      <c r="T50" s="71">
        <f t="shared" ca="1" si="163"/>
        <v>4.6841967448586228</v>
      </c>
      <c r="U50" s="71">
        <f t="shared" ca="1" si="164"/>
        <v>7.0955188976087982</v>
      </c>
      <c r="V50" s="71">
        <f t="shared" ca="1" si="165"/>
        <v>4.6841967448586228</v>
      </c>
      <c r="W50" s="71">
        <f t="shared" ca="1" si="166"/>
        <v>6.2973259110504571</v>
      </c>
      <c r="X50" s="71">
        <f t="shared" ca="1" si="167"/>
        <v>12.204119982655925</v>
      </c>
      <c r="Y50" s="71">
        <f t="shared" ca="1" si="168"/>
        <v>3.1486629555252286</v>
      </c>
      <c r="Z50" s="71">
        <f t="shared" ca="1" si="169"/>
        <v>4.0945805558721098</v>
      </c>
      <c r="AA50" s="71">
        <f t="shared" ca="1" si="170"/>
        <v>4.6131573534439401</v>
      </c>
      <c r="AB50" s="71">
        <f t="shared" ca="1" si="171"/>
        <v>8.8235787474602336</v>
      </c>
      <c r="AC50" s="71">
        <f t="shared" ca="1" si="172"/>
        <v>2.30657867672197</v>
      </c>
      <c r="AD50" s="71">
        <f t="shared" ca="1" si="173"/>
        <v>6.6235861933225308</v>
      </c>
      <c r="AE50" s="235">
        <f t="shared" ca="1" si="174"/>
        <v>11.227790384043452</v>
      </c>
      <c r="AF50" s="71">
        <f t="shared" ca="1" si="175"/>
        <v>5.052505672819553</v>
      </c>
      <c r="AG50" s="71">
        <f t="shared" ca="1" si="176"/>
        <v>2.8730880371035394</v>
      </c>
      <c r="AH50" s="235">
        <f t="shared" ca="1" si="177"/>
        <v>3.0600225498016838</v>
      </c>
      <c r="AI50" s="71">
        <f t="shared" ca="1" si="178"/>
        <v>9.2019064669225674</v>
      </c>
      <c r="AJ50" s="71">
        <f t="shared" ca="1" si="179"/>
        <v>8.6405169477203945</v>
      </c>
      <c r="AK50" s="71">
        <f t="shared" ca="1" si="180"/>
        <v>3.6078880371035393</v>
      </c>
      <c r="AL50" s="71">
        <f t="shared" ca="1" si="181"/>
        <v>1.3907865550049063</v>
      </c>
      <c r="AM50" s="71">
        <f t="shared" ca="1" si="182"/>
        <v>3.2951123953171</v>
      </c>
      <c r="AN50" s="71">
        <f t="shared" ca="1" si="183"/>
        <v>7.2492472696976193</v>
      </c>
      <c r="AO50" s="71">
        <f t="shared" ca="1" si="184"/>
        <v>1.64755619765855</v>
      </c>
      <c r="AP50" s="71">
        <f t="shared" ca="1" si="185"/>
        <v>16.240689263627193</v>
      </c>
      <c r="AQ50" s="71">
        <f t="shared" ca="1" si="186"/>
        <v>0.80653559774527028</v>
      </c>
      <c r="AR50" s="71">
        <f t="shared" ca="1" si="187"/>
        <v>2.574682154918186</v>
      </c>
      <c r="AS50" s="71">
        <f t="shared" ca="1" si="188"/>
        <v>0.40326779887263514</v>
      </c>
      <c r="AT50" s="71">
        <f t="shared" ca="1" si="189"/>
        <v>2.30657867672197</v>
      </c>
      <c r="AU50" s="71">
        <f t="shared" ca="1" si="190"/>
        <v>4.8816479930623702</v>
      </c>
      <c r="AV50" s="71">
        <f t="shared" ca="1" si="191"/>
        <v>1.153289338360985</v>
      </c>
      <c r="AW50" s="71">
        <f t="shared" ca="1" si="192"/>
        <v>17.204119982655925</v>
      </c>
      <c r="AX50" s="71">
        <f t="shared" ca="1" si="193"/>
        <v>1.569642355611949</v>
      </c>
      <c r="AY50" s="71">
        <f t="shared" ca="1" si="194"/>
        <v>4.3372201104434147</v>
      </c>
      <c r="AZ50" s="71">
        <f t="shared" ca="1" si="195"/>
        <v>0.78482117780597449</v>
      </c>
      <c r="BA50" s="71">
        <f t="shared" ca="1" si="196"/>
        <v>3.5513989149528737</v>
      </c>
      <c r="BB50" s="71">
        <f t="shared" ca="1" si="197"/>
        <v>4.2470337539642617</v>
      </c>
      <c r="BC50" s="71">
        <f t="shared" ca="1" si="198"/>
        <v>15.15682970471987</v>
      </c>
      <c r="BD50" s="71">
        <f t="shared" ca="1" si="199"/>
        <v>4.9414626645811168</v>
      </c>
      <c r="BE50" s="71">
        <f t="shared" ca="1" si="200"/>
        <v>1.4951929158200779</v>
      </c>
      <c r="BF50" s="71">
        <f t="shared" ca="1" si="201"/>
        <v>5.9189981915881233</v>
      </c>
      <c r="BG50" s="71">
        <f t="shared" ca="1" si="202"/>
        <v>3.2218876754211645</v>
      </c>
      <c r="BH50" s="71">
        <f t="shared" ca="1" si="203"/>
        <v>6.5547697133919076</v>
      </c>
      <c r="BI50" s="71">
        <f t="shared" ca="1" si="204"/>
        <v>4.7494008648412791</v>
      </c>
      <c r="BJ50" s="71">
        <f t="shared" ca="1" si="205"/>
        <v>0.3226142390981081</v>
      </c>
      <c r="BK50" s="71">
        <f t="shared" ca="1" si="206"/>
        <v>2.1967415968780664</v>
      </c>
      <c r="BL50" s="71">
        <f t="shared" ca="1" si="207"/>
        <v>0.82988015882060295</v>
      </c>
      <c r="BM50" s="71">
        <f t="shared" ca="1" si="208"/>
        <v>5.2472565947100573</v>
      </c>
      <c r="BN50" s="71">
        <f t="shared" ca="1" si="209"/>
        <v>6.9784982976955199</v>
      </c>
      <c r="BO50" s="71">
        <f t="shared" ca="1" si="210"/>
        <v>0.83755619765854994</v>
      </c>
      <c r="BP50" s="71">
        <f t="shared" ca="1" si="211"/>
        <v>3.4659700750742823</v>
      </c>
      <c r="BQ50" s="71">
        <f t="shared" ca="1" si="212"/>
        <v>2.9778052757680458</v>
      </c>
      <c r="BR50" s="71">
        <f t="shared" ca="1" si="213"/>
        <v>7.8278745921084463</v>
      </c>
      <c r="BS50" s="71">
        <f t="shared" ca="1" si="214"/>
        <v>6.0101649407827642</v>
      </c>
      <c r="BT50" s="71">
        <f t="shared" ca="1" si="215"/>
        <v>0.75069851790136688</v>
      </c>
      <c r="BU50" s="71">
        <f t="shared" ca="1" si="216"/>
        <v>3.4659700750742823</v>
      </c>
      <c r="BV50" s="71">
        <f t="shared" ca="1" si="217"/>
        <v>2.9778052757680458</v>
      </c>
      <c r="BW50" s="71">
        <f t="shared" ca="1" si="218"/>
        <v>10.855799709055889</v>
      </c>
      <c r="BX50" s="71">
        <f t="shared" ca="1" si="219"/>
        <v>4.8506873844770526</v>
      </c>
      <c r="BY50" s="71">
        <f t="shared" ca="1" si="220"/>
        <v>0.91820975743307687</v>
      </c>
      <c r="BZ50" s="71">
        <f t="shared" ca="1" si="221"/>
        <v>6.9848727129583059</v>
      </c>
      <c r="CA50" s="71">
        <f t="shared" ca="1" si="222"/>
        <v>3.6439715109637367</v>
      </c>
      <c r="CB50" s="71">
        <f t="shared" ca="1" si="223"/>
        <v>9.536464100470571</v>
      </c>
      <c r="CC50" s="71">
        <f t="shared" ca="1" si="224"/>
        <v>3.6439715109637367</v>
      </c>
      <c r="CD50" s="71">
        <f t="shared" ca="1" si="225"/>
        <v>4.781666749194641</v>
      </c>
      <c r="CE50" s="71">
        <f t="shared" ca="1" si="226"/>
        <v>12.868440256255962</v>
      </c>
      <c r="CF50" s="71">
        <f t="shared" ca="1" si="227"/>
        <v>4.781666749194641</v>
      </c>
      <c r="CG50" s="71">
        <f t="shared" ca="1" si="228"/>
        <v>4.3010299956639813</v>
      </c>
    </row>
    <row r="51" spans="1:85" x14ac:dyDescent="0.25">
      <c r="A51" t="str">
        <f t="shared" si="229"/>
        <v>I. Stone</v>
      </c>
      <c r="B51">
        <f t="shared" si="229"/>
        <v>28</v>
      </c>
      <c r="C51" s="49">
        <f t="shared" ca="1" si="229"/>
        <v>30</v>
      </c>
      <c r="D51" t="str">
        <f t="shared" si="229"/>
        <v>RAP</v>
      </c>
      <c r="E51" s="201">
        <f t="shared" si="229"/>
        <v>43633</v>
      </c>
      <c r="F51" s="150">
        <f t="shared" ca="1" si="149"/>
        <v>1</v>
      </c>
      <c r="G51" s="151">
        <f t="shared" si="150"/>
        <v>8</v>
      </c>
      <c r="H51" s="48">
        <f t="shared" si="151"/>
        <v>0</v>
      </c>
      <c r="I51" s="48">
        <f t="shared" si="152"/>
        <v>8.3333333333333339</v>
      </c>
      <c r="J51" s="48">
        <f t="shared" si="153"/>
        <v>14</v>
      </c>
      <c r="K51" s="48">
        <f t="shared" si="154"/>
        <v>2</v>
      </c>
      <c r="L51" s="48">
        <f t="shared" si="155"/>
        <v>6</v>
      </c>
      <c r="M51" s="48">
        <f t="shared" si="156"/>
        <v>10.199999999999999</v>
      </c>
      <c r="N51" s="48">
        <f t="shared" si="157"/>
        <v>19</v>
      </c>
      <c r="O51" s="151">
        <f t="shared" si="158"/>
        <v>2.916666666666667</v>
      </c>
      <c r="P51" s="151">
        <f t="shared" ca="1" si="159"/>
        <v>24.653105161669593</v>
      </c>
      <c r="Q51" s="151">
        <f t="shared" si="160"/>
        <v>1.08</v>
      </c>
      <c r="R51" s="151">
        <f t="shared" si="161"/>
        <v>0.90333333333333354</v>
      </c>
      <c r="S51" s="151">
        <f t="shared" ca="1" si="162"/>
        <v>21.204119982655925</v>
      </c>
      <c r="T51" s="71">
        <f t="shared" ca="1" si="163"/>
        <v>4.2241967448586228</v>
      </c>
      <c r="U51" s="71">
        <f t="shared" ca="1" si="164"/>
        <v>6.387185564275466</v>
      </c>
      <c r="V51" s="71">
        <f t="shared" ca="1" si="165"/>
        <v>4.2241967448586228</v>
      </c>
      <c r="W51" s="71">
        <f t="shared" ca="1" si="166"/>
        <v>5.4373259110504577</v>
      </c>
      <c r="X51" s="71">
        <f t="shared" ca="1" si="167"/>
        <v>10.537453315989259</v>
      </c>
      <c r="Y51" s="71">
        <f t="shared" ca="1" si="168"/>
        <v>2.7186629555252289</v>
      </c>
      <c r="Z51" s="71">
        <f t="shared" ca="1" si="169"/>
        <v>3.8565805558721098</v>
      </c>
      <c r="AA51" s="71">
        <f t="shared" ca="1" si="170"/>
        <v>3.9831573534439397</v>
      </c>
      <c r="AB51" s="71">
        <f t="shared" ca="1" si="171"/>
        <v>7.6185787474602336</v>
      </c>
      <c r="AC51" s="71">
        <f t="shared" ca="1" si="172"/>
        <v>1.9915786767219699</v>
      </c>
      <c r="AD51" s="71">
        <f t="shared" ca="1" si="173"/>
        <v>6.2385861933225311</v>
      </c>
      <c r="AE51" s="235">
        <f t="shared" ca="1" si="174"/>
        <v>9.6944570507101187</v>
      </c>
      <c r="AF51" s="71">
        <f t="shared" ca="1" si="175"/>
        <v>4.3625056728195526</v>
      </c>
      <c r="AG51" s="71">
        <f t="shared" ca="1" si="176"/>
        <v>2.7060880371035396</v>
      </c>
      <c r="AH51" s="235">
        <f t="shared" ca="1" si="177"/>
        <v>2.4720225498016837</v>
      </c>
      <c r="AI51" s="71">
        <f t="shared" ca="1" si="178"/>
        <v>7.9452398002559015</v>
      </c>
      <c r="AJ51" s="71">
        <f t="shared" ca="1" si="179"/>
        <v>7.4605169477203948</v>
      </c>
      <c r="AK51" s="71">
        <f t="shared" ca="1" si="180"/>
        <v>3.5410880371035396</v>
      </c>
      <c r="AL51" s="71">
        <f t="shared" ca="1" si="181"/>
        <v>1.4747865550049064</v>
      </c>
      <c r="AM51" s="71">
        <f t="shared" ca="1" si="182"/>
        <v>2.8451123953171003</v>
      </c>
      <c r="AN51" s="71">
        <f t="shared" ca="1" si="183"/>
        <v>6.2592472696976191</v>
      </c>
      <c r="AO51" s="71">
        <f t="shared" ca="1" si="184"/>
        <v>1.4225561976585501</v>
      </c>
      <c r="AP51" s="71">
        <f t="shared" ca="1" si="185"/>
        <v>15.296689263627192</v>
      </c>
      <c r="AQ51" s="71">
        <f t="shared" ca="1" si="186"/>
        <v>1.0665355977452702</v>
      </c>
      <c r="AR51" s="71">
        <f t="shared" ca="1" si="187"/>
        <v>3.1304071549181858</v>
      </c>
      <c r="AS51" s="71">
        <f t="shared" ca="1" si="188"/>
        <v>0.53326779887263509</v>
      </c>
      <c r="AT51" s="71">
        <f t="shared" ca="1" si="189"/>
        <v>1.9915786767219699</v>
      </c>
      <c r="AU51" s="71">
        <f t="shared" ca="1" si="190"/>
        <v>4.2149813263957041</v>
      </c>
      <c r="AV51" s="71">
        <f t="shared" ca="1" si="191"/>
        <v>0.99578933836098493</v>
      </c>
      <c r="AW51" s="71">
        <f t="shared" ca="1" si="192"/>
        <v>16.204119982655925</v>
      </c>
      <c r="AX51" s="71">
        <f t="shared" ca="1" si="193"/>
        <v>2.075642355611949</v>
      </c>
      <c r="AY51" s="71">
        <f t="shared" ca="1" si="194"/>
        <v>5.4024701104434145</v>
      </c>
      <c r="AZ51" s="71">
        <f t="shared" ca="1" si="195"/>
        <v>1.0378211778059745</v>
      </c>
      <c r="BA51" s="71">
        <f t="shared" ca="1" si="196"/>
        <v>3.0663989149528743</v>
      </c>
      <c r="BB51" s="71">
        <f t="shared" ca="1" si="197"/>
        <v>3.6670337539642617</v>
      </c>
      <c r="BC51" s="71">
        <f t="shared" ca="1" si="198"/>
        <v>14.27582970471987</v>
      </c>
      <c r="BD51" s="71">
        <f t="shared" ca="1" si="199"/>
        <v>4.9974626645811178</v>
      </c>
      <c r="BE51" s="71">
        <f t="shared" ca="1" si="200"/>
        <v>1.9771929158200778</v>
      </c>
      <c r="BF51" s="71">
        <f t="shared" ca="1" si="201"/>
        <v>5.1106648582547907</v>
      </c>
      <c r="BG51" s="71">
        <f t="shared" ca="1" si="202"/>
        <v>2.7818876754211646</v>
      </c>
      <c r="BH51" s="71">
        <f t="shared" ca="1" si="203"/>
        <v>6.1737697133919074</v>
      </c>
      <c r="BI51" s="71">
        <f t="shared" ca="1" si="204"/>
        <v>4.4784008648412783</v>
      </c>
      <c r="BJ51" s="71">
        <f t="shared" ca="1" si="205"/>
        <v>0.42661423909810808</v>
      </c>
      <c r="BK51" s="71">
        <f t="shared" ca="1" si="206"/>
        <v>1.8967415968780665</v>
      </c>
      <c r="BL51" s="71">
        <f t="shared" ca="1" si="207"/>
        <v>0.71654682548726967</v>
      </c>
      <c r="BM51" s="71">
        <f t="shared" ca="1" si="208"/>
        <v>4.9422565947100567</v>
      </c>
      <c r="BN51" s="71">
        <f t="shared" ca="1" si="209"/>
        <v>6.5504982976955191</v>
      </c>
      <c r="BO51" s="71">
        <f t="shared" ca="1" si="210"/>
        <v>1.10755619765855</v>
      </c>
      <c r="BP51" s="71">
        <f t="shared" ca="1" si="211"/>
        <v>2.9926367417409492</v>
      </c>
      <c r="BQ51" s="71">
        <f t="shared" ca="1" si="212"/>
        <v>2.571138609101379</v>
      </c>
      <c r="BR51" s="71">
        <f t="shared" ca="1" si="213"/>
        <v>7.3728745921084462</v>
      </c>
      <c r="BS51" s="71">
        <f t="shared" ca="1" si="214"/>
        <v>5.6341649407827648</v>
      </c>
      <c r="BT51" s="71">
        <f t="shared" ca="1" si="215"/>
        <v>0.99269851790136687</v>
      </c>
      <c r="BU51" s="71">
        <f t="shared" ca="1" si="216"/>
        <v>2.9926367417409492</v>
      </c>
      <c r="BV51" s="71">
        <f t="shared" ca="1" si="217"/>
        <v>2.571138609101379</v>
      </c>
      <c r="BW51" s="71">
        <f t="shared" ca="1" si="218"/>
        <v>10.224799709055889</v>
      </c>
      <c r="BX51" s="71">
        <f t="shared" ca="1" si="219"/>
        <v>4.5346873844770528</v>
      </c>
      <c r="BY51" s="71">
        <f t="shared" ca="1" si="220"/>
        <v>1.2142097574330768</v>
      </c>
      <c r="BZ51" s="71">
        <f t="shared" ca="1" si="221"/>
        <v>6.5788727129583062</v>
      </c>
      <c r="CA51" s="71">
        <f t="shared" ca="1" si="222"/>
        <v>4.2317465109637364</v>
      </c>
      <c r="CB51" s="71">
        <f t="shared" ca="1" si="223"/>
        <v>11.686439100470571</v>
      </c>
      <c r="CC51" s="71">
        <f t="shared" ca="1" si="224"/>
        <v>4.2317465109637364</v>
      </c>
      <c r="CD51" s="71">
        <f t="shared" ca="1" si="225"/>
        <v>5.3191667491946406</v>
      </c>
      <c r="CE51" s="71">
        <f t="shared" ca="1" si="226"/>
        <v>15.431440256255961</v>
      </c>
      <c r="CF51" s="71">
        <f t="shared" ca="1" si="227"/>
        <v>5.3191667491946406</v>
      </c>
      <c r="CG51" s="71">
        <f t="shared" ca="1" si="228"/>
        <v>4.0510299956639813</v>
      </c>
    </row>
    <row r="52" spans="1:85" x14ac:dyDescent="0.25">
      <c r="A52" t="str">
        <f t="shared" si="229"/>
        <v>G. Piscaer</v>
      </c>
      <c r="B52">
        <f t="shared" si="229"/>
        <v>28</v>
      </c>
      <c r="C52" s="49">
        <f t="shared" ca="1" si="229"/>
        <v>103</v>
      </c>
      <c r="D52" t="str">
        <f t="shared" si="229"/>
        <v>IMP</v>
      </c>
      <c r="E52" s="201">
        <f t="shared" si="229"/>
        <v>43630</v>
      </c>
      <c r="F52" s="150">
        <f t="shared" ca="1" si="149"/>
        <v>1</v>
      </c>
      <c r="G52" s="151">
        <f t="shared" si="150"/>
        <v>9</v>
      </c>
      <c r="H52" s="48">
        <f t="shared" si="151"/>
        <v>0</v>
      </c>
      <c r="I52" s="48">
        <f t="shared" si="152"/>
        <v>9.5</v>
      </c>
      <c r="J52" s="48">
        <f t="shared" si="153"/>
        <v>15.19047619047619</v>
      </c>
      <c r="K52" s="48">
        <f t="shared" si="154"/>
        <v>3</v>
      </c>
      <c r="L52" s="48">
        <f t="shared" si="155"/>
        <v>2</v>
      </c>
      <c r="M52" s="48">
        <f t="shared" si="156"/>
        <v>9.25</v>
      </c>
      <c r="N52" s="48">
        <f t="shared" si="157"/>
        <v>18.666666666666668</v>
      </c>
      <c r="O52" s="151">
        <f t="shared" si="158"/>
        <v>2.0625</v>
      </c>
      <c r="P52" s="151">
        <f t="shared" ca="1" si="159"/>
        <v>23.043501261147881</v>
      </c>
      <c r="Q52" s="151">
        <f t="shared" si="160"/>
        <v>1.0225000000000002</v>
      </c>
      <c r="R52" s="151">
        <f t="shared" si="161"/>
        <v>0.94000000000000006</v>
      </c>
      <c r="S52" s="151">
        <f t="shared" ca="1" si="162"/>
        <v>20.938990012585769</v>
      </c>
      <c r="T52" s="71">
        <f t="shared" ca="1" si="163"/>
        <v>4.6057382809873744</v>
      </c>
      <c r="U52" s="71">
        <f t="shared" ca="1" si="164"/>
        <v>6.9710694395815578</v>
      </c>
      <c r="V52" s="71">
        <f t="shared" ca="1" si="165"/>
        <v>4.6057382809873744</v>
      </c>
      <c r="W52" s="71">
        <f t="shared" ca="1" si="166"/>
        <v>6.0745188464942554</v>
      </c>
      <c r="X52" s="71">
        <f t="shared" ca="1" si="167"/>
        <v>11.7723233459191</v>
      </c>
      <c r="Y52" s="71">
        <f t="shared" ca="1" si="168"/>
        <v>3.0372594232471277</v>
      </c>
      <c r="Z52" s="71">
        <f t="shared" ca="1" si="169"/>
        <v>4.1561462896620789</v>
      </c>
      <c r="AA52" s="71">
        <f t="shared" ca="1" si="170"/>
        <v>4.4499382247574193</v>
      </c>
      <c r="AB52" s="71">
        <f t="shared" ca="1" si="171"/>
        <v>8.5113897790995097</v>
      </c>
      <c r="AC52" s="71">
        <f t="shared" ca="1" si="172"/>
        <v>2.2249691123787096</v>
      </c>
      <c r="AD52" s="71">
        <f t="shared" ca="1" si="173"/>
        <v>6.7231778215121869</v>
      </c>
      <c r="AE52" s="235">
        <f t="shared" ca="1" si="174"/>
        <v>10.830537478245573</v>
      </c>
      <c r="AF52" s="71">
        <f t="shared" ca="1" si="175"/>
        <v>4.8737418652105067</v>
      </c>
      <c r="AG52" s="71">
        <f t="shared" ca="1" si="176"/>
        <v>2.9162875225780138</v>
      </c>
      <c r="AH52" s="235">
        <f t="shared" ca="1" si="177"/>
        <v>3.1001261274004306</v>
      </c>
      <c r="AI52" s="71">
        <f t="shared" ca="1" si="178"/>
        <v>8.8763318028230014</v>
      </c>
      <c r="AJ52" s="71">
        <f t="shared" ca="1" si="179"/>
        <v>8.3348049289107227</v>
      </c>
      <c r="AK52" s="71">
        <f t="shared" ca="1" si="180"/>
        <v>3.4968113321018235</v>
      </c>
      <c r="AL52" s="71">
        <f t="shared" ca="1" si="181"/>
        <v>1.2484291236247007</v>
      </c>
      <c r="AM52" s="71">
        <f t="shared" ca="1" si="182"/>
        <v>3.1785273033981571</v>
      </c>
      <c r="AN52" s="71">
        <f t="shared" ca="1" si="183"/>
        <v>6.9927600674759445</v>
      </c>
      <c r="AO52" s="71">
        <f t="shared" ca="1" si="184"/>
        <v>1.5892636516990786</v>
      </c>
      <c r="AP52" s="71">
        <f t="shared" ca="1" si="185"/>
        <v>16.484882762357152</v>
      </c>
      <c r="AQ52" s="71">
        <f t="shared" ca="1" si="186"/>
        <v>0.55540203496948293</v>
      </c>
      <c r="AR52" s="71">
        <f t="shared" ca="1" si="187"/>
        <v>2.5060407403542961</v>
      </c>
      <c r="AS52" s="71">
        <f t="shared" ca="1" si="188"/>
        <v>0.27770101748474146</v>
      </c>
      <c r="AT52" s="71">
        <f t="shared" ca="1" si="189"/>
        <v>2.2249691123787096</v>
      </c>
      <c r="AU52" s="71">
        <f t="shared" ca="1" si="190"/>
        <v>4.70892933836764</v>
      </c>
      <c r="AV52" s="71">
        <f t="shared" ca="1" si="191"/>
        <v>1.1124845561893548</v>
      </c>
      <c r="AW52" s="71">
        <f t="shared" ca="1" si="192"/>
        <v>17.462799536395291</v>
      </c>
      <c r="AX52" s="71">
        <f t="shared" ca="1" si="193"/>
        <v>1.0808978065175323</v>
      </c>
      <c r="AY52" s="71">
        <f t="shared" ca="1" si="194"/>
        <v>3.8765501636014239</v>
      </c>
      <c r="AZ52" s="71">
        <f t="shared" ca="1" si="195"/>
        <v>0.54044890325876616</v>
      </c>
      <c r="BA52" s="71">
        <f t="shared" ca="1" si="196"/>
        <v>3.425746093662458</v>
      </c>
      <c r="BB52" s="71">
        <f t="shared" ca="1" si="197"/>
        <v>4.0967685243798462</v>
      </c>
      <c r="BC52" s="71">
        <f t="shared" ca="1" si="198"/>
        <v>15.384726391564252</v>
      </c>
      <c r="BD52" s="71">
        <f t="shared" ca="1" si="199"/>
        <v>4.3720954545220794</v>
      </c>
      <c r="BE52" s="71">
        <f t="shared" ca="1" si="200"/>
        <v>1.029629926366503</v>
      </c>
      <c r="BF52" s="71">
        <f t="shared" ca="1" si="201"/>
        <v>5.7095768227707628</v>
      </c>
      <c r="BG52" s="71">
        <f t="shared" ca="1" si="202"/>
        <v>3.1078933633226424</v>
      </c>
      <c r="BH52" s="71">
        <f t="shared" ca="1" si="203"/>
        <v>6.6533266233666062</v>
      </c>
      <c r="BI52" s="71">
        <f t="shared" ca="1" si="204"/>
        <v>4.4070106043332933</v>
      </c>
      <c r="BJ52" s="71">
        <f t="shared" ca="1" si="205"/>
        <v>0.22216081398779317</v>
      </c>
      <c r="BK52" s="71">
        <f t="shared" ca="1" si="206"/>
        <v>2.1190182022654378</v>
      </c>
      <c r="BL52" s="71">
        <f t="shared" ca="1" si="207"/>
        <v>0.80051798752249881</v>
      </c>
      <c r="BM52" s="71">
        <f t="shared" ca="1" si="208"/>
        <v>5.3261538586005637</v>
      </c>
      <c r="BN52" s="71">
        <f t="shared" ca="1" si="209"/>
        <v>6.494207822851962</v>
      </c>
      <c r="BO52" s="71">
        <f t="shared" ca="1" si="210"/>
        <v>0.57676365169907851</v>
      </c>
      <c r="BP52" s="71">
        <f t="shared" ca="1" si="211"/>
        <v>3.3433398302410242</v>
      </c>
      <c r="BQ52" s="71">
        <f t="shared" ca="1" si="212"/>
        <v>2.8724468964042602</v>
      </c>
      <c r="BR52" s="71">
        <f t="shared" ca="1" si="213"/>
        <v>7.9455737890598579</v>
      </c>
      <c r="BS52" s="71">
        <f t="shared" ca="1" si="214"/>
        <v>5.5977342672783621</v>
      </c>
      <c r="BT52" s="71">
        <f t="shared" ca="1" si="215"/>
        <v>0.51695112485621109</v>
      </c>
      <c r="BU52" s="71">
        <f t="shared" ca="1" si="216"/>
        <v>3.3433398302410242</v>
      </c>
      <c r="BV52" s="71">
        <f t="shared" ca="1" si="217"/>
        <v>2.8724468964042602</v>
      </c>
      <c r="BW52" s="71">
        <f t="shared" ca="1" si="218"/>
        <v>11.019026507465428</v>
      </c>
      <c r="BX52" s="71">
        <f t="shared" ca="1" si="219"/>
        <v>4.5257293945975938</v>
      </c>
      <c r="BY52" s="71">
        <f t="shared" ca="1" si="220"/>
        <v>0.63230385519602672</v>
      </c>
      <c r="BZ52" s="71">
        <f t="shared" ca="1" si="221"/>
        <v>7.0898966117764886</v>
      </c>
      <c r="CA52" s="71">
        <f t="shared" ca="1" si="222"/>
        <v>3.2906304632238506</v>
      </c>
      <c r="CB52" s="71">
        <f t="shared" ca="1" si="223"/>
        <v>9.0373860875049061</v>
      </c>
      <c r="CC52" s="71">
        <f t="shared" ca="1" si="224"/>
        <v>3.2906304632238506</v>
      </c>
      <c r="CD52" s="71">
        <f t="shared" ca="1" si="225"/>
        <v>4.7676574445075985</v>
      </c>
      <c r="CE52" s="71">
        <f t="shared" ca="1" si="226"/>
        <v>13.098810660563247</v>
      </c>
      <c r="CF52" s="71">
        <f t="shared" ca="1" si="227"/>
        <v>4.7676574445075985</v>
      </c>
      <c r="CG52" s="71">
        <f t="shared" ca="1" si="228"/>
        <v>4.3656998840988228</v>
      </c>
    </row>
    <row r="53" spans="1:85" x14ac:dyDescent="0.25">
      <c r="A53" t="str">
        <f t="shared" si="229"/>
        <v>M. Bondarewski</v>
      </c>
      <c r="B53">
        <f t="shared" si="229"/>
        <v>28</v>
      </c>
      <c r="C53" s="49">
        <f t="shared" ca="1" si="229"/>
        <v>103</v>
      </c>
      <c r="D53" t="str">
        <f t="shared" si="229"/>
        <v>RAP</v>
      </c>
      <c r="E53" s="201">
        <f t="shared" si="229"/>
        <v>43627</v>
      </c>
      <c r="F53" s="150">
        <f t="shared" ca="1" si="149"/>
        <v>1</v>
      </c>
      <c r="G53" s="151">
        <f t="shared" si="150"/>
        <v>9</v>
      </c>
      <c r="H53" s="48">
        <f t="shared" si="151"/>
        <v>0</v>
      </c>
      <c r="I53" s="48">
        <f t="shared" si="152"/>
        <v>8.3333333333333339</v>
      </c>
      <c r="J53" s="48">
        <f t="shared" si="153"/>
        <v>15</v>
      </c>
      <c r="K53" s="48">
        <f t="shared" si="154"/>
        <v>5</v>
      </c>
      <c r="L53" s="48">
        <f t="shared" si="155"/>
        <v>4</v>
      </c>
      <c r="M53" s="48">
        <f t="shared" si="156"/>
        <v>9.125</v>
      </c>
      <c r="N53" s="48">
        <f t="shared" si="157"/>
        <v>20.166666666666668</v>
      </c>
      <c r="O53" s="151">
        <f t="shared" si="158"/>
        <v>2.416666666666667</v>
      </c>
      <c r="P53" s="151">
        <f t="shared" ca="1" si="159"/>
        <v>23.661001261147881</v>
      </c>
      <c r="Q53" s="151">
        <f t="shared" si="160"/>
        <v>1.06125</v>
      </c>
      <c r="R53" s="151">
        <f t="shared" si="161"/>
        <v>0.93833333333333324</v>
      </c>
      <c r="S53" s="151">
        <f t="shared" ca="1" si="162"/>
        <v>22.438990012585769</v>
      </c>
      <c r="T53" s="71">
        <f t="shared" ca="1" si="163"/>
        <v>4.2837382809873743</v>
      </c>
      <c r="U53" s="71">
        <f t="shared" ca="1" si="164"/>
        <v>6.4752361062482242</v>
      </c>
      <c r="V53" s="71">
        <f t="shared" ca="1" si="165"/>
        <v>4.2837382809873743</v>
      </c>
      <c r="W53" s="71">
        <f t="shared" ca="1" si="166"/>
        <v>5.472518846494256</v>
      </c>
      <c r="X53" s="71">
        <f t="shared" ca="1" si="167"/>
        <v>10.605656679252434</v>
      </c>
      <c r="Y53" s="71">
        <f t="shared" ca="1" si="168"/>
        <v>2.736259423247128</v>
      </c>
      <c r="Z53" s="71">
        <f t="shared" ca="1" si="169"/>
        <v>4.1108129563287461</v>
      </c>
      <c r="AA53" s="71">
        <f t="shared" ca="1" si="170"/>
        <v>4.0089382247574203</v>
      </c>
      <c r="AB53" s="71">
        <f t="shared" ca="1" si="171"/>
        <v>7.6678897790995091</v>
      </c>
      <c r="AC53" s="71">
        <f t="shared" ca="1" si="172"/>
        <v>2.0044691123787102</v>
      </c>
      <c r="AD53" s="71">
        <f t="shared" ca="1" si="173"/>
        <v>6.6498444881788545</v>
      </c>
      <c r="AE53" s="235">
        <f t="shared" ca="1" si="174"/>
        <v>9.7572041449122402</v>
      </c>
      <c r="AF53" s="71">
        <f t="shared" ca="1" si="175"/>
        <v>4.390741865210507</v>
      </c>
      <c r="AG53" s="71">
        <f t="shared" ca="1" si="176"/>
        <v>2.8844779987684901</v>
      </c>
      <c r="AH53" s="235">
        <f t="shared" ca="1" si="177"/>
        <v>4.2761261274004303</v>
      </c>
      <c r="AI53" s="71">
        <f t="shared" ca="1" si="178"/>
        <v>7.9966651361563352</v>
      </c>
      <c r="AJ53" s="71">
        <f t="shared" ca="1" si="179"/>
        <v>7.5088049289107222</v>
      </c>
      <c r="AK53" s="71">
        <f t="shared" ca="1" si="180"/>
        <v>3.7473113321018237</v>
      </c>
      <c r="AL53" s="71">
        <f t="shared" ca="1" si="181"/>
        <v>1.3504291236247008</v>
      </c>
      <c r="AM53" s="71">
        <f t="shared" ca="1" si="182"/>
        <v>2.8635273033981572</v>
      </c>
      <c r="AN53" s="71">
        <f t="shared" ca="1" si="183"/>
        <v>6.2997600674759449</v>
      </c>
      <c r="AO53" s="71">
        <f t="shared" ca="1" si="184"/>
        <v>1.4317636516990786</v>
      </c>
      <c r="AP53" s="71">
        <f t="shared" ca="1" si="185"/>
        <v>16.305073238547632</v>
      </c>
      <c r="AQ53" s="71">
        <f t="shared" ca="1" si="186"/>
        <v>0.81540203496948294</v>
      </c>
      <c r="AR53" s="71">
        <f t="shared" ca="1" si="187"/>
        <v>2.7244157403542961</v>
      </c>
      <c r="AS53" s="71">
        <f t="shared" ca="1" si="188"/>
        <v>0.40770101748474147</v>
      </c>
      <c r="AT53" s="71">
        <f t="shared" ca="1" si="189"/>
        <v>2.0044691123787102</v>
      </c>
      <c r="AU53" s="71">
        <f t="shared" ca="1" si="190"/>
        <v>4.2422626717009733</v>
      </c>
      <c r="AV53" s="71">
        <f t="shared" ca="1" si="191"/>
        <v>1.0022345561893551</v>
      </c>
      <c r="AW53" s="71">
        <f t="shared" ca="1" si="192"/>
        <v>17.272323345919101</v>
      </c>
      <c r="AX53" s="71">
        <f t="shared" ca="1" si="193"/>
        <v>1.5868978065175323</v>
      </c>
      <c r="AY53" s="71">
        <f t="shared" ca="1" si="194"/>
        <v>4.5323001636014242</v>
      </c>
      <c r="AZ53" s="71">
        <f t="shared" ca="1" si="195"/>
        <v>0.79344890325876616</v>
      </c>
      <c r="BA53" s="71">
        <f t="shared" ca="1" si="196"/>
        <v>3.0862460936624578</v>
      </c>
      <c r="BB53" s="71">
        <f t="shared" ca="1" si="197"/>
        <v>3.6907685243798465</v>
      </c>
      <c r="BC53" s="71">
        <f t="shared" ca="1" si="198"/>
        <v>15.216916867754728</v>
      </c>
      <c r="BD53" s="71">
        <f t="shared" ca="1" si="199"/>
        <v>6.150095454522079</v>
      </c>
      <c r="BE53" s="71">
        <f t="shared" ca="1" si="200"/>
        <v>1.511629926366503</v>
      </c>
      <c r="BF53" s="71">
        <f t="shared" ca="1" si="201"/>
        <v>5.1437434894374299</v>
      </c>
      <c r="BG53" s="71">
        <f t="shared" ca="1" si="202"/>
        <v>2.7998933633226426</v>
      </c>
      <c r="BH53" s="71">
        <f t="shared" ca="1" si="203"/>
        <v>6.5807551947951781</v>
      </c>
      <c r="BI53" s="71">
        <f t="shared" ca="1" si="204"/>
        <v>6.1550106043332935</v>
      </c>
      <c r="BJ53" s="71">
        <f t="shared" ca="1" si="205"/>
        <v>0.32616081398779317</v>
      </c>
      <c r="BK53" s="71">
        <f t="shared" ca="1" si="206"/>
        <v>1.9090182022654381</v>
      </c>
      <c r="BL53" s="71">
        <f t="shared" ca="1" si="207"/>
        <v>0.72118465418916555</v>
      </c>
      <c r="BM53" s="71">
        <f t="shared" ca="1" si="208"/>
        <v>5.2680586205053261</v>
      </c>
      <c r="BN53" s="71">
        <f t="shared" ca="1" si="209"/>
        <v>9.0662078228519611</v>
      </c>
      <c r="BO53" s="71">
        <f t="shared" ca="1" si="210"/>
        <v>0.84676365169907852</v>
      </c>
      <c r="BP53" s="71">
        <f t="shared" ca="1" si="211"/>
        <v>3.012006496907691</v>
      </c>
      <c r="BQ53" s="71">
        <f t="shared" ca="1" si="212"/>
        <v>2.5877802297375938</v>
      </c>
      <c r="BR53" s="71">
        <f t="shared" ca="1" si="213"/>
        <v>7.858907122393191</v>
      </c>
      <c r="BS53" s="71">
        <f t="shared" ca="1" si="214"/>
        <v>7.8137342672783623</v>
      </c>
      <c r="BT53" s="71">
        <f t="shared" ca="1" si="215"/>
        <v>0.75895112485621108</v>
      </c>
      <c r="BU53" s="71">
        <f t="shared" ca="1" si="216"/>
        <v>3.012006496907691</v>
      </c>
      <c r="BV53" s="71">
        <f t="shared" ca="1" si="217"/>
        <v>2.5877802297375938</v>
      </c>
      <c r="BW53" s="71">
        <f t="shared" ca="1" si="218"/>
        <v>10.898836031274953</v>
      </c>
      <c r="BX53" s="71">
        <f t="shared" ca="1" si="219"/>
        <v>6.3157293945975939</v>
      </c>
      <c r="BY53" s="71">
        <f t="shared" ca="1" si="220"/>
        <v>0.92830385519602676</v>
      </c>
      <c r="BZ53" s="71">
        <f t="shared" ca="1" si="221"/>
        <v>7.0125632784431557</v>
      </c>
      <c r="CA53" s="71">
        <f t="shared" ca="1" si="222"/>
        <v>4.0627554632238514</v>
      </c>
      <c r="CB53" s="71">
        <f t="shared" ca="1" si="223"/>
        <v>10.050511087504905</v>
      </c>
      <c r="CC53" s="71">
        <f t="shared" ca="1" si="224"/>
        <v>4.0627554632238514</v>
      </c>
      <c r="CD53" s="71">
        <f t="shared" ca="1" si="225"/>
        <v>5.4611574445075988</v>
      </c>
      <c r="CE53" s="71">
        <f t="shared" ca="1" si="226"/>
        <v>13.711810660563248</v>
      </c>
      <c r="CF53" s="71">
        <f t="shared" ca="1" si="227"/>
        <v>5.4611574445075988</v>
      </c>
      <c r="CG53" s="71">
        <f t="shared" ca="1" si="228"/>
        <v>4.3180808364797754</v>
      </c>
    </row>
    <row r="54" spans="1:85" x14ac:dyDescent="0.25">
      <c r="A54">
        <f t="shared" si="229"/>
        <v>0</v>
      </c>
      <c r="B54">
        <f t="shared" si="229"/>
        <v>0</v>
      </c>
      <c r="C54" s="49">
        <f t="shared" si="229"/>
        <v>0</v>
      </c>
      <c r="D54">
        <f t="shared" si="229"/>
        <v>0</v>
      </c>
      <c r="E54" s="201">
        <f t="shared" si="229"/>
        <v>0</v>
      </c>
      <c r="F54" s="150">
        <f t="shared" si="149"/>
        <v>0</v>
      </c>
      <c r="G54" s="151">
        <f t="shared" si="150"/>
        <v>0</v>
      </c>
      <c r="H54" s="48">
        <f t="shared" si="151"/>
        <v>0</v>
      </c>
      <c r="I54" s="48">
        <f t="shared" si="152"/>
        <v>0</v>
      </c>
      <c r="J54" s="48">
        <f t="shared" si="153"/>
        <v>0</v>
      </c>
      <c r="K54" s="48">
        <f t="shared" si="154"/>
        <v>0</v>
      </c>
      <c r="L54" s="48">
        <f t="shared" si="155"/>
        <v>0</v>
      </c>
      <c r="M54" s="48">
        <f t="shared" si="156"/>
        <v>0</v>
      </c>
      <c r="N54" s="48">
        <f t="shared" si="157"/>
        <v>0</v>
      </c>
      <c r="O54" s="151">
        <f t="shared" si="158"/>
        <v>0.375</v>
      </c>
      <c r="P54" s="151" t="e">
        <f t="shared" si="159"/>
        <v>#NUM!</v>
      </c>
      <c r="Q54" s="151">
        <f t="shared" si="160"/>
        <v>0</v>
      </c>
      <c r="R54" s="151">
        <f t="shared" si="161"/>
        <v>0</v>
      </c>
      <c r="S54" s="151" t="e">
        <f t="shared" ca="1" si="162"/>
        <v>#NUM!</v>
      </c>
      <c r="T54" s="71" t="e">
        <f t="shared" si="163"/>
        <v>#NUM!</v>
      </c>
      <c r="U54" s="71" t="e">
        <f t="shared" si="164"/>
        <v>#NUM!</v>
      </c>
      <c r="V54" s="71" t="e">
        <f t="shared" si="165"/>
        <v>#NUM!</v>
      </c>
      <c r="W54" s="71" t="e">
        <f t="shared" si="166"/>
        <v>#NUM!</v>
      </c>
      <c r="X54" s="71" t="e">
        <f t="shared" si="167"/>
        <v>#NUM!</v>
      </c>
      <c r="Y54" s="71" t="e">
        <f t="shared" si="168"/>
        <v>#NUM!</v>
      </c>
      <c r="Z54" s="71" t="e">
        <f t="shared" si="169"/>
        <v>#NUM!</v>
      </c>
      <c r="AA54" s="71" t="e">
        <f t="shared" si="170"/>
        <v>#NUM!</v>
      </c>
      <c r="AB54" s="71" t="e">
        <f t="shared" si="171"/>
        <v>#NUM!</v>
      </c>
      <c r="AC54" s="71" t="e">
        <f t="shared" si="172"/>
        <v>#NUM!</v>
      </c>
      <c r="AD54" s="71" t="e">
        <f t="shared" si="173"/>
        <v>#NUM!</v>
      </c>
      <c r="AE54" s="235" t="e">
        <f t="shared" si="174"/>
        <v>#NUM!</v>
      </c>
      <c r="AF54" s="71" t="e">
        <f t="shared" si="175"/>
        <v>#NUM!</v>
      </c>
      <c r="AG54" s="71" t="e">
        <f t="shared" si="176"/>
        <v>#NUM!</v>
      </c>
      <c r="AH54" s="235" t="e">
        <f t="shared" si="177"/>
        <v>#NUM!</v>
      </c>
      <c r="AI54" s="71" t="e">
        <f t="shared" si="178"/>
        <v>#NUM!</v>
      </c>
      <c r="AJ54" s="71" t="e">
        <f t="shared" si="179"/>
        <v>#NUM!</v>
      </c>
      <c r="AK54" s="71" t="e">
        <f t="shared" si="180"/>
        <v>#NUM!</v>
      </c>
      <c r="AL54" s="71" t="e">
        <f t="shared" si="181"/>
        <v>#NUM!</v>
      </c>
      <c r="AM54" s="71" t="e">
        <f t="shared" si="182"/>
        <v>#NUM!</v>
      </c>
      <c r="AN54" s="71" t="e">
        <f t="shared" si="183"/>
        <v>#NUM!</v>
      </c>
      <c r="AO54" s="71" t="e">
        <f t="shared" si="184"/>
        <v>#NUM!</v>
      </c>
      <c r="AP54" s="71" t="e">
        <f t="shared" si="185"/>
        <v>#NUM!</v>
      </c>
      <c r="AQ54" s="71" t="e">
        <f t="shared" si="186"/>
        <v>#NUM!</v>
      </c>
      <c r="AR54" s="71" t="e">
        <f t="shared" si="187"/>
        <v>#NUM!</v>
      </c>
      <c r="AS54" s="71" t="e">
        <f t="shared" si="188"/>
        <v>#NUM!</v>
      </c>
      <c r="AT54" s="71" t="e">
        <f t="shared" si="189"/>
        <v>#NUM!</v>
      </c>
      <c r="AU54" s="71" t="e">
        <f t="shared" si="190"/>
        <v>#NUM!</v>
      </c>
      <c r="AV54" s="71" t="e">
        <f t="shared" si="191"/>
        <v>#NUM!</v>
      </c>
      <c r="AW54" s="71" t="e">
        <f t="shared" si="192"/>
        <v>#NUM!</v>
      </c>
      <c r="AX54" s="71" t="e">
        <f t="shared" si="193"/>
        <v>#NUM!</v>
      </c>
      <c r="AY54" s="71" t="e">
        <f t="shared" si="194"/>
        <v>#NUM!</v>
      </c>
      <c r="AZ54" s="71" t="e">
        <f t="shared" si="195"/>
        <v>#NUM!</v>
      </c>
      <c r="BA54" s="71" t="e">
        <f t="shared" si="196"/>
        <v>#NUM!</v>
      </c>
      <c r="BB54" s="71" t="e">
        <f t="shared" si="197"/>
        <v>#NUM!</v>
      </c>
      <c r="BC54" s="71" t="e">
        <f t="shared" si="198"/>
        <v>#NUM!</v>
      </c>
      <c r="BD54" s="71" t="e">
        <f t="shared" si="199"/>
        <v>#NUM!</v>
      </c>
      <c r="BE54" s="71" t="e">
        <f t="shared" si="200"/>
        <v>#NUM!</v>
      </c>
      <c r="BF54" s="71" t="e">
        <f t="shared" si="201"/>
        <v>#NUM!</v>
      </c>
      <c r="BG54" s="71" t="e">
        <f t="shared" si="202"/>
        <v>#NUM!</v>
      </c>
      <c r="BH54" s="71" t="e">
        <f t="shared" si="203"/>
        <v>#NUM!</v>
      </c>
      <c r="BI54" s="71" t="e">
        <f t="shared" si="204"/>
        <v>#NUM!</v>
      </c>
      <c r="BJ54" s="71" t="e">
        <f t="shared" si="205"/>
        <v>#NUM!</v>
      </c>
      <c r="BK54" s="71" t="e">
        <f t="shared" si="206"/>
        <v>#NUM!</v>
      </c>
      <c r="BL54" s="71" t="e">
        <f t="shared" si="207"/>
        <v>#NUM!</v>
      </c>
      <c r="BM54" s="71" t="e">
        <f t="shared" si="208"/>
        <v>#NUM!</v>
      </c>
      <c r="BN54" s="71" t="e">
        <f t="shared" si="209"/>
        <v>#NUM!</v>
      </c>
      <c r="BO54" s="71" t="e">
        <f t="shared" si="210"/>
        <v>#NUM!</v>
      </c>
      <c r="BP54" s="71" t="e">
        <f t="shared" si="211"/>
        <v>#NUM!</v>
      </c>
      <c r="BQ54" s="71" t="e">
        <f t="shared" si="212"/>
        <v>#NUM!</v>
      </c>
      <c r="BR54" s="71" t="e">
        <f t="shared" si="213"/>
        <v>#NUM!</v>
      </c>
      <c r="BS54" s="71" t="e">
        <f t="shared" si="214"/>
        <v>#NUM!</v>
      </c>
      <c r="BT54" s="71" t="e">
        <f t="shared" si="215"/>
        <v>#NUM!</v>
      </c>
      <c r="BU54" s="71" t="e">
        <f t="shared" si="216"/>
        <v>#NUM!</v>
      </c>
      <c r="BV54" s="71" t="e">
        <f t="shared" si="217"/>
        <v>#NUM!</v>
      </c>
      <c r="BW54" s="71" t="e">
        <f t="shared" si="218"/>
        <v>#NUM!</v>
      </c>
      <c r="BX54" s="71" t="e">
        <f t="shared" si="219"/>
        <v>#NUM!</v>
      </c>
      <c r="BY54" s="71" t="e">
        <f t="shared" si="220"/>
        <v>#NUM!</v>
      </c>
      <c r="BZ54" s="71" t="e">
        <f t="shared" si="221"/>
        <v>#NUM!</v>
      </c>
      <c r="CA54" s="71" t="e">
        <f t="shared" si="222"/>
        <v>#NUM!</v>
      </c>
      <c r="CB54" s="71" t="e">
        <f t="shared" si="223"/>
        <v>#NUM!</v>
      </c>
      <c r="CC54" s="71" t="e">
        <f t="shared" si="224"/>
        <v>#NUM!</v>
      </c>
      <c r="CD54" s="71" t="e">
        <f t="shared" si="225"/>
        <v>#NUM!</v>
      </c>
      <c r="CE54" s="71" t="e">
        <f t="shared" si="226"/>
        <v>#NUM!</v>
      </c>
      <c r="CF54" s="71" t="e">
        <f t="shared" si="227"/>
        <v>#NUM!</v>
      </c>
      <c r="CG54" s="71" t="e">
        <f t="shared" si="228"/>
        <v>#NUM!</v>
      </c>
    </row>
    <row r="55" spans="1:85" x14ac:dyDescent="0.25">
      <c r="A55">
        <f t="shared" si="229"/>
        <v>0</v>
      </c>
      <c r="B55">
        <f t="shared" si="229"/>
        <v>0</v>
      </c>
      <c r="C55" s="49">
        <f t="shared" si="229"/>
        <v>0</v>
      </c>
      <c r="D55">
        <f t="shared" si="229"/>
        <v>0</v>
      </c>
      <c r="E55" s="201">
        <f t="shared" si="229"/>
        <v>0</v>
      </c>
      <c r="F55" s="150">
        <f t="shared" si="149"/>
        <v>0</v>
      </c>
      <c r="G55" s="151">
        <f t="shared" si="150"/>
        <v>0</v>
      </c>
      <c r="H55" s="48">
        <f t="shared" si="151"/>
        <v>0</v>
      </c>
      <c r="I55" s="48">
        <f t="shared" si="152"/>
        <v>0</v>
      </c>
      <c r="J55" s="48">
        <f t="shared" si="153"/>
        <v>0</v>
      </c>
      <c r="K55" s="48">
        <f t="shared" si="154"/>
        <v>0</v>
      </c>
      <c r="L55" s="48">
        <f t="shared" si="155"/>
        <v>0</v>
      </c>
      <c r="M55" s="48">
        <f t="shared" si="156"/>
        <v>0</v>
      </c>
      <c r="N55" s="48">
        <f t="shared" si="157"/>
        <v>0</v>
      </c>
      <c r="O55" s="151">
        <f t="shared" si="158"/>
        <v>0.375</v>
      </c>
      <c r="P55" s="151" t="e">
        <f t="shared" si="159"/>
        <v>#NUM!</v>
      </c>
      <c r="Q55" s="151">
        <f t="shared" si="160"/>
        <v>0</v>
      </c>
      <c r="R55" s="151">
        <f t="shared" si="161"/>
        <v>0</v>
      </c>
      <c r="S55" s="151" t="e">
        <f t="shared" ca="1" si="162"/>
        <v>#NUM!</v>
      </c>
      <c r="T55" s="71" t="e">
        <f t="shared" si="163"/>
        <v>#NUM!</v>
      </c>
      <c r="U55" s="71" t="e">
        <f t="shared" si="164"/>
        <v>#NUM!</v>
      </c>
      <c r="V55" s="71" t="e">
        <f t="shared" si="165"/>
        <v>#NUM!</v>
      </c>
      <c r="W55" s="71" t="e">
        <f t="shared" si="166"/>
        <v>#NUM!</v>
      </c>
      <c r="X55" s="71" t="e">
        <f t="shared" si="167"/>
        <v>#NUM!</v>
      </c>
      <c r="Y55" s="71" t="e">
        <f t="shared" si="168"/>
        <v>#NUM!</v>
      </c>
      <c r="Z55" s="71" t="e">
        <f t="shared" si="169"/>
        <v>#NUM!</v>
      </c>
      <c r="AA55" s="71" t="e">
        <f t="shared" si="170"/>
        <v>#NUM!</v>
      </c>
      <c r="AB55" s="71" t="e">
        <f t="shared" si="171"/>
        <v>#NUM!</v>
      </c>
      <c r="AC55" s="71" t="e">
        <f t="shared" si="172"/>
        <v>#NUM!</v>
      </c>
      <c r="AD55" s="71" t="e">
        <f t="shared" si="173"/>
        <v>#NUM!</v>
      </c>
      <c r="AE55" s="235" t="e">
        <f t="shared" si="174"/>
        <v>#NUM!</v>
      </c>
      <c r="AF55" s="71" t="e">
        <f t="shared" si="175"/>
        <v>#NUM!</v>
      </c>
      <c r="AG55" s="71" t="e">
        <f t="shared" si="176"/>
        <v>#NUM!</v>
      </c>
      <c r="AH55" s="235" t="e">
        <f t="shared" si="177"/>
        <v>#NUM!</v>
      </c>
      <c r="AI55" s="71" t="e">
        <f t="shared" si="178"/>
        <v>#NUM!</v>
      </c>
      <c r="AJ55" s="71" t="e">
        <f t="shared" si="179"/>
        <v>#NUM!</v>
      </c>
      <c r="AK55" s="71" t="e">
        <f t="shared" si="180"/>
        <v>#NUM!</v>
      </c>
      <c r="AL55" s="71" t="e">
        <f t="shared" si="181"/>
        <v>#NUM!</v>
      </c>
      <c r="AM55" s="71" t="e">
        <f t="shared" si="182"/>
        <v>#NUM!</v>
      </c>
      <c r="AN55" s="71" t="e">
        <f t="shared" si="183"/>
        <v>#NUM!</v>
      </c>
      <c r="AO55" s="71" t="e">
        <f t="shared" si="184"/>
        <v>#NUM!</v>
      </c>
      <c r="AP55" s="71" t="e">
        <f t="shared" si="185"/>
        <v>#NUM!</v>
      </c>
      <c r="AQ55" s="71" t="e">
        <f t="shared" si="186"/>
        <v>#NUM!</v>
      </c>
      <c r="AR55" s="71" t="e">
        <f t="shared" si="187"/>
        <v>#NUM!</v>
      </c>
      <c r="AS55" s="71" t="e">
        <f t="shared" si="188"/>
        <v>#NUM!</v>
      </c>
      <c r="AT55" s="71" t="e">
        <f t="shared" si="189"/>
        <v>#NUM!</v>
      </c>
      <c r="AU55" s="71" t="e">
        <f t="shared" si="190"/>
        <v>#NUM!</v>
      </c>
      <c r="AV55" s="71" t="e">
        <f t="shared" si="191"/>
        <v>#NUM!</v>
      </c>
      <c r="AW55" s="71" t="e">
        <f t="shared" si="192"/>
        <v>#NUM!</v>
      </c>
      <c r="AX55" s="71" t="e">
        <f t="shared" si="193"/>
        <v>#NUM!</v>
      </c>
      <c r="AY55" s="71" t="e">
        <f t="shared" si="194"/>
        <v>#NUM!</v>
      </c>
      <c r="AZ55" s="71" t="e">
        <f t="shared" si="195"/>
        <v>#NUM!</v>
      </c>
      <c r="BA55" s="71" t="e">
        <f t="shared" si="196"/>
        <v>#NUM!</v>
      </c>
      <c r="BB55" s="71" t="e">
        <f t="shared" si="197"/>
        <v>#NUM!</v>
      </c>
      <c r="BC55" s="71" t="e">
        <f t="shared" si="198"/>
        <v>#NUM!</v>
      </c>
      <c r="BD55" s="71" t="e">
        <f t="shared" si="199"/>
        <v>#NUM!</v>
      </c>
      <c r="BE55" s="71" t="e">
        <f t="shared" si="200"/>
        <v>#NUM!</v>
      </c>
      <c r="BF55" s="71" t="e">
        <f t="shared" si="201"/>
        <v>#NUM!</v>
      </c>
      <c r="BG55" s="71" t="e">
        <f t="shared" si="202"/>
        <v>#NUM!</v>
      </c>
      <c r="BH55" s="71" t="e">
        <f t="shared" si="203"/>
        <v>#NUM!</v>
      </c>
      <c r="BI55" s="71" t="e">
        <f t="shared" si="204"/>
        <v>#NUM!</v>
      </c>
      <c r="BJ55" s="71" t="e">
        <f t="shared" si="205"/>
        <v>#NUM!</v>
      </c>
      <c r="BK55" s="71" t="e">
        <f t="shared" si="206"/>
        <v>#NUM!</v>
      </c>
      <c r="BL55" s="71" t="e">
        <f t="shared" si="207"/>
        <v>#NUM!</v>
      </c>
      <c r="BM55" s="71" t="e">
        <f t="shared" si="208"/>
        <v>#NUM!</v>
      </c>
      <c r="BN55" s="71" t="e">
        <f t="shared" si="209"/>
        <v>#NUM!</v>
      </c>
      <c r="BO55" s="71" t="e">
        <f t="shared" si="210"/>
        <v>#NUM!</v>
      </c>
      <c r="BP55" s="71" t="e">
        <f t="shared" si="211"/>
        <v>#NUM!</v>
      </c>
      <c r="BQ55" s="71" t="e">
        <f t="shared" si="212"/>
        <v>#NUM!</v>
      </c>
      <c r="BR55" s="71" t="e">
        <f t="shared" si="213"/>
        <v>#NUM!</v>
      </c>
      <c r="BS55" s="71" t="e">
        <f t="shared" si="214"/>
        <v>#NUM!</v>
      </c>
      <c r="BT55" s="71" t="e">
        <f t="shared" si="215"/>
        <v>#NUM!</v>
      </c>
      <c r="BU55" s="71" t="e">
        <f t="shared" si="216"/>
        <v>#NUM!</v>
      </c>
      <c r="BV55" s="71" t="e">
        <f t="shared" si="217"/>
        <v>#NUM!</v>
      </c>
      <c r="BW55" s="71" t="e">
        <f t="shared" si="218"/>
        <v>#NUM!</v>
      </c>
      <c r="BX55" s="71" t="e">
        <f t="shared" si="219"/>
        <v>#NUM!</v>
      </c>
      <c r="BY55" s="71" t="e">
        <f t="shared" si="220"/>
        <v>#NUM!</v>
      </c>
      <c r="BZ55" s="71" t="e">
        <f t="shared" si="221"/>
        <v>#NUM!</v>
      </c>
      <c r="CA55" s="71" t="e">
        <f t="shared" si="222"/>
        <v>#NUM!</v>
      </c>
      <c r="CB55" s="71" t="e">
        <f t="shared" si="223"/>
        <v>#NUM!</v>
      </c>
      <c r="CC55" s="71" t="e">
        <f t="shared" si="224"/>
        <v>#NUM!</v>
      </c>
      <c r="CD55" s="71" t="e">
        <f t="shared" si="225"/>
        <v>#NUM!</v>
      </c>
      <c r="CE55" s="71" t="e">
        <f t="shared" si="226"/>
        <v>#NUM!</v>
      </c>
      <c r="CF55" s="71" t="e">
        <f t="shared" si="227"/>
        <v>#NUM!</v>
      </c>
      <c r="CG55" s="71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49">
        <f t="shared" si="229"/>
        <v>0</v>
      </c>
      <c r="D56">
        <f t="shared" si="229"/>
        <v>0</v>
      </c>
      <c r="E56" s="201">
        <f t="shared" si="229"/>
        <v>0</v>
      </c>
      <c r="F56" s="150">
        <f t="shared" si="149"/>
        <v>0</v>
      </c>
      <c r="G56" s="151">
        <f t="shared" si="150"/>
        <v>0</v>
      </c>
      <c r="H56" s="48">
        <f t="shared" si="151"/>
        <v>0</v>
      </c>
      <c r="I56" s="48">
        <f t="shared" si="152"/>
        <v>0</v>
      </c>
      <c r="J56" s="48">
        <f t="shared" si="153"/>
        <v>0</v>
      </c>
      <c r="K56" s="48">
        <f t="shared" si="154"/>
        <v>0</v>
      </c>
      <c r="L56" s="48">
        <f t="shared" si="155"/>
        <v>0</v>
      </c>
      <c r="M56" s="48">
        <f t="shared" si="156"/>
        <v>0</v>
      </c>
      <c r="N56" s="48">
        <f t="shared" si="157"/>
        <v>0</v>
      </c>
      <c r="O56" s="151">
        <f t="shared" si="158"/>
        <v>0.375</v>
      </c>
      <c r="P56" s="151" t="e">
        <f t="shared" si="159"/>
        <v>#NUM!</v>
      </c>
      <c r="Q56" s="151">
        <f t="shared" si="160"/>
        <v>0</v>
      </c>
      <c r="R56" s="151">
        <f t="shared" si="161"/>
        <v>0</v>
      </c>
      <c r="S56" s="151" t="e">
        <f t="shared" ca="1" si="162"/>
        <v>#NUM!</v>
      </c>
      <c r="T56" s="71" t="e">
        <f t="shared" si="163"/>
        <v>#NUM!</v>
      </c>
      <c r="U56" s="71" t="e">
        <f t="shared" si="164"/>
        <v>#NUM!</v>
      </c>
      <c r="V56" s="71" t="e">
        <f t="shared" si="165"/>
        <v>#NUM!</v>
      </c>
      <c r="W56" s="71" t="e">
        <f t="shared" si="166"/>
        <v>#NUM!</v>
      </c>
      <c r="X56" s="71" t="e">
        <f t="shared" si="167"/>
        <v>#NUM!</v>
      </c>
      <c r="Y56" s="71" t="e">
        <f t="shared" si="168"/>
        <v>#NUM!</v>
      </c>
      <c r="Z56" s="71" t="e">
        <f t="shared" si="169"/>
        <v>#NUM!</v>
      </c>
      <c r="AA56" s="71" t="e">
        <f t="shared" si="170"/>
        <v>#NUM!</v>
      </c>
      <c r="AB56" s="71" t="e">
        <f t="shared" si="171"/>
        <v>#NUM!</v>
      </c>
      <c r="AC56" s="71" t="e">
        <f t="shared" si="172"/>
        <v>#NUM!</v>
      </c>
      <c r="AD56" s="71" t="e">
        <f t="shared" si="173"/>
        <v>#NUM!</v>
      </c>
      <c r="AE56" s="235" t="e">
        <f t="shared" si="174"/>
        <v>#NUM!</v>
      </c>
      <c r="AF56" s="71" t="e">
        <f t="shared" si="175"/>
        <v>#NUM!</v>
      </c>
      <c r="AG56" s="71" t="e">
        <f t="shared" si="176"/>
        <v>#NUM!</v>
      </c>
      <c r="AH56" s="235" t="e">
        <f t="shared" si="177"/>
        <v>#NUM!</v>
      </c>
      <c r="AI56" s="71" t="e">
        <f t="shared" si="178"/>
        <v>#NUM!</v>
      </c>
      <c r="AJ56" s="71" t="e">
        <f t="shared" si="179"/>
        <v>#NUM!</v>
      </c>
      <c r="AK56" s="71" t="e">
        <f t="shared" si="180"/>
        <v>#NUM!</v>
      </c>
      <c r="AL56" s="71" t="e">
        <f t="shared" si="181"/>
        <v>#NUM!</v>
      </c>
      <c r="AM56" s="71" t="e">
        <f t="shared" si="182"/>
        <v>#NUM!</v>
      </c>
      <c r="AN56" s="71" t="e">
        <f t="shared" si="183"/>
        <v>#NUM!</v>
      </c>
      <c r="AO56" s="71" t="e">
        <f t="shared" si="184"/>
        <v>#NUM!</v>
      </c>
      <c r="AP56" s="71" t="e">
        <f t="shared" si="185"/>
        <v>#NUM!</v>
      </c>
      <c r="AQ56" s="71" t="e">
        <f t="shared" si="186"/>
        <v>#NUM!</v>
      </c>
      <c r="AR56" s="71" t="e">
        <f t="shared" si="187"/>
        <v>#NUM!</v>
      </c>
      <c r="AS56" s="71" t="e">
        <f t="shared" si="188"/>
        <v>#NUM!</v>
      </c>
      <c r="AT56" s="71" t="e">
        <f t="shared" si="189"/>
        <v>#NUM!</v>
      </c>
      <c r="AU56" s="71" t="e">
        <f t="shared" si="190"/>
        <v>#NUM!</v>
      </c>
      <c r="AV56" s="71" t="e">
        <f t="shared" si="191"/>
        <v>#NUM!</v>
      </c>
      <c r="AW56" s="71" t="e">
        <f t="shared" si="192"/>
        <v>#NUM!</v>
      </c>
      <c r="AX56" s="71" t="e">
        <f t="shared" si="193"/>
        <v>#NUM!</v>
      </c>
      <c r="AY56" s="71" t="e">
        <f t="shared" si="194"/>
        <v>#NUM!</v>
      </c>
      <c r="AZ56" s="71" t="e">
        <f t="shared" si="195"/>
        <v>#NUM!</v>
      </c>
      <c r="BA56" s="71" t="e">
        <f t="shared" si="196"/>
        <v>#NUM!</v>
      </c>
      <c r="BB56" s="71" t="e">
        <f t="shared" si="197"/>
        <v>#NUM!</v>
      </c>
      <c r="BC56" s="71" t="e">
        <f t="shared" si="198"/>
        <v>#NUM!</v>
      </c>
      <c r="BD56" s="71" t="e">
        <f t="shared" si="199"/>
        <v>#NUM!</v>
      </c>
      <c r="BE56" s="71" t="e">
        <f t="shared" si="200"/>
        <v>#NUM!</v>
      </c>
      <c r="BF56" s="71" t="e">
        <f t="shared" si="201"/>
        <v>#NUM!</v>
      </c>
      <c r="BG56" s="71" t="e">
        <f t="shared" si="202"/>
        <v>#NUM!</v>
      </c>
      <c r="BH56" s="71" t="e">
        <f t="shared" si="203"/>
        <v>#NUM!</v>
      </c>
      <c r="BI56" s="71" t="e">
        <f t="shared" si="204"/>
        <v>#NUM!</v>
      </c>
      <c r="BJ56" s="71" t="e">
        <f t="shared" si="205"/>
        <v>#NUM!</v>
      </c>
      <c r="BK56" s="71" t="e">
        <f t="shared" si="206"/>
        <v>#NUM!</v>
      </c>
      <c r="BL56" s="71" t="e">
        <f t="shared" si="207"/>
        <v>#NUM!</v>
      </c>
      <c r="BM56" s="71" t="e">
        <f t="shared" si="208"/>
        <v>#NUM!</v>
      </c>
      <c r="BN56" s="71" t="e">
        <f t="shared" si="209"/>
        <v>#NUM!</v>
      </c>
      <c r="BO56" s="71" t="e">
        <f t="shared" si="210"/>
        <v>#NUM!</v>
      </c>
      <c r="BP56" s="71" t="e">
        <f t="shared" si="211"/>
        <v>#NUM!</v>
      </c>
      <c r="BQ56" s="71" t="e">
        <f t="shared" si="212"/>
        <v>#NUM!</v>
      </c>
      <c r="BR56" s="71" t="e">
        <f t="shared" si="213"/>
        <v>#NUM!</v>
      </c>
      <c r="BS56" s="71" t="e">
        <f t="shared" si="214"/>
        <v>#NUM!</v>
      </c>
      <c r="BT56" s="71" t="e">
        <f t="shared" si="215"/>
        <v>#NUM!</v>
      </c>
      <c r="BU56" s="71" t="e">
        <f t="shared" si="216"/>
        <v>#NUM!</v>
      </c>
      <c r="BV56" s="71" t="e">
        <f t="shared" si="217"/>
        <v>#NUM!</v>
      </c>
      <c r="BW56" s="71" t="e">
        <f t="shared" si="218"/>
        <v>#NUM!</v>
      </c>
      <c r="BX56" s="71" t="e">
        <f t="shared" si="219"/>
        <v>#NUM!</v>
      </c>
      <c r="BY56" s="71" t="e">
        <f t="shared" si="220"/>
        <v>#NUM!</v>
      </c>
      <c r="BZ56" s="71" t="e">
        <f t="shared" si="221"/>
        <v>#NUM!</v>
      </c>
      <c r="CA56" s="71" t="e">
        <f t="shared" si="222"/>
        <v>#NUM!</v>
      </c>
      <c r="CB56" s="71" t="e">
        <f t="shared" si="223"/>
        <v>#NUM!</v>
      </c>
      <c r="CC56" s="71" t="e">
        <f t="shared" si="224"/>
        <v>#NUM!</v>
      </c>
      <c r="CD56" s="71" t="e">
        <f t="shared" si="225"/>
        <v>#NUM!</v>
      </c>
      <c r="CE56" s="71" t="e">
        <f t="shared" si="226"/>
        <v>#NUM!</v>
      </c>
      <c r="CF56" s="71" t="e">
        <f t="shared" si="227"/>
        <v>#NUM!</v>
      </c>
      <c r="CG56" s="71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49">
        <f t="shared" si="230"/>
        <v>0</v>
      </c>
      <c r="D57">
        <f t="shared" si="230"/>
        <v>0</v>
      </c>
      <c r="E57" s="201">
        <f t="shared" si="230"/>
        <v>0</v>
      </c>
      <c r="F57" s="150">
        <f t="shared" si="149"/>
        <v>0</v>
      </c>
      <c r="G57" s="151">
        <f t="shared" si="150"/>
        <v>0</v>
      </c>
      <c r="H57" s="48">
        <f t="shared" si="151"/>
        <v>0</v>
      </c>
      <c r="I57" s="48">
        <f t="shared" si="152"/>
        <v>0</v>
      </c>
      <c r="J57" s="48">
        <f t="shared" si="153"/>
        <v>0</v>
      </c>
      <c r="K57" s="48">
        <f t="shared" si="154"/>
        <v>0</v>
      </c>
      <c r="L57" s="48">
        <f t="shared" si="155"/>
        <v>0</v>
      </c>
      <c r="M57" s="48">
        <f t="shared" si="156"/>
        <v>0</v>
      </c>
      <c r="N57" s="48">
        <f t="shared" si="157"/>
        <v>0</v>
      </c>
      <c r="O57" s="151">
        <f t="shared" si="158"/>
        <v>0.375</v>
      </c>
      <c r="P57" s="151" t="e">
        <f t="shared" si="159"/>
        <v>#NUM!</v>
      </c>
      <c r="Q57" s="151">
        <f t="shared" si="160"/>
        <v>0</v>
      </c>
      <c r="R57" s="151">
        <f t="shared" si="161"/>
        <v>0</v>
      </c>
      <c r="S57" s="151" t="e">
        <f t="shared" ca="1" si="162"/>
        <v>#NUM!</v>
      </c>
      <c r="T57" s="71" t="e">
        <f t="shared" si="163"/>
        <v>#NUM!</v>
      </c>
      <c r="U57" s="71" t="e">
        <f t="shared" si="164"/>
        <v>#NUM!</v>
      </c>
      <c r="V57" s="71" t="e">
        <f t="shared" si="165"/>
        <v>#NUM!</v>
      </c>
      <c r="W57" s="71" t="e">
        <f t="shared" si="166"/>
        <v>#NUM!</v>
      </c>
      <c r="X57" s="71" t="e">
        <f t="shared" si="167"/>
        <v>#NUM!</v>
      </c>
      <c r="Y57" s="71" t="e">
        <f t="shared" si="168"/>
        <v>#NUM!</v>
      </c>
      <c r="Z57" s="71" t="e">
        <f t="shared" si="169"/>
        <v>#NUM!</v>
      </c>
      <c r="AA57" s="71" t="e">
        <f t="shared" si="170"/>
        <v>#NUM!</v>
      </c>
      <c r="AB57" s="71" t="e">
        <f t="shared" si="171"/>
        <v>#NUM!</v>
      </c>
      <c r="AC57" s="71" t="e">
        <f t="shared" si="172"/>
        <v>#NUM!</v>
      </c>
      <c r="AD57" s="71" t="e">
        <f t="shared" si="173"/>
        <v>#NUM!</v>
      </c>
      <c r="AE57" s="235" t="e">
        <f t="shared" si="174"/>
        <v>#NUM!</v>
      </c>
      <c r="AF57" s="71" t="e">
        <f t="shared" si="175"/>
        <v>#NUM!</v>
      </c>
      <c r="AG57" s="71" t="e">
        <f t="shared" si="176"/>
        <v>#NUM!</v>
      </c>
      <c r="AH57" s="235" t="e">
        <f t="shared" si="177"/>
        <v>#NUM!</v>
      </c>
      <c r="AI57" s="71" t="e">
        <f t="shared" si="178"/>
        <v>#NUM!</v>
      </c>
      <c r="AJ57" s="71" t="e">
        <f t="shared" si="179"/>
        <v>#NUM!</v>
      </c>
      <c r="AK57" s="71" t="e">
        <f t="shared" si="180"/>
        <v>#NUM!</v>
      </c>
      <c r="AL57" s="71" t="e">
        <f t="shared" si="181"/>
        <v>#NUM!</v>
      </c>
      <c r="AM57" s="71" t="e">
        <f t="shared" si="182"/>
        <v>#NUM!</v>
      </c>
      <c r="AN57" s="71" t="e">
        <f t="shared" si="183"/>
        <v>#NUM!</v>
      </c>
      <c r="AO57" s="71" t="e">
        <f t="shared" si="184"/>
        <v>#NUM!</v>
      </c>
      <c r="AP57" s="71" t="e">
        <f t="shared" si="185"/>
        <v>#NUM!</v>
      </c>
      <c r="AQ57" s="71" t="e">
        <f t="shared" si="186"/>
        <v>#NUM!</v>
      </c>
      <c r="AR57" s="71" t="e">
        <f t="shared" si="187"/>
        <v>#NUM!</v>
      </c>
      <c r="AS57" s="71" t="e">
        <f t="shared" si="188"/>
        <v>#NUM!</v>
      </c>
      <c r="AT57" s="71" t="e">
        <f t="shared" si="189"/>
        <v>#NUM!</v>
      </c>
      <c r="AU57" s="71" t="e">
        <f t="shared" si="190"/>
        <v>#NUM!</v>
      </c>
      <c r="AV57" s="71" t="e">
        <f t="shared" si="191"/>
        <v>#NUM!</v>
      </c>
      <c r="AW57" s="71" t="e">
        <f t="shared" si="192"/>
        <v>#NUM!</v>
      </c>
      <c r="AX57" s="71" t="e">
        <f t="shared" si="193"/>
        <v>#NUM!</v>
      </c>
      <c r="AY57" s="71" t="e">
        <f t="shared" si="194"/>
        <v>#NUM!</v>
      </c>
      <c r="AZ57" s="71" t="e">
        <f t="shared" si="195"/>
        <v>#NUM!</v>
      </c>
      <c r="BA57" s="71" t="e">
        <f t="shared" si="196"/>
        <v>#NUM!</v>
      </c>
      <c r="BB57" s="71" t="e">
        <f t="shared" si="197"/>
        <v>#NUM!</v>
      </c>
      <c r="BC57" s="71" t="e">
        <f t="shared" si="198"/>
        <v>#NUM!</v>
      </c>
      <c r="BD57" s="71" t="e">
        <f t="shared" si="199"/>
        <v>#NUM!</v>
      </c>
      <c r="BE57" s="71" t="e">
        <f t="shared" si="200"/>
        <v>#NUM!</v>
      </c>
      <c r="BF57" s="71" t="e">
        <f t="shared" si="201"/>
        <v>#NUM!</v>
      </c>
      <c r="BG57" s="71" t="e">
        <f t="shared" si="202"/>
        <v>#NUM!</v>
      </c>
      <c r="BH57" s="71" t="e">
        <f t="shared" si="203"/>
        <v>#NUM!</v>
      </c>
      <c r="BI57" s="71" t="e">
        <f t="shared" si="204"/>
        <v>#NUM!</v>
      </c>
      <c r="BJ57" s="71" t="e">
        <f t="shared" si="205"/>
        <v>#NUM!</v>
      </c>
      <c r="BK57" s="71" t="e">
        <f t="shared" si="206"/>
        <v>#NUM!</v>
      </c>
      <c r="BL57" s="71" t="e">
        <f t="shared" si="207"/>
        <v>#NUM!</v>
      </c>
      <c r="BM57" s="71" t="e">
        <f t="shared" si="208"/>
        <v>#NUM!</v>
      </c>
      <c r="BN57" s="71" t="e">
        <f t="shared" si="209"/>
        <v>#NUM!</v>
      </c>
      <c r="BO57" s="71" t="e">
        <f t="shared" si="210"/>
        <v>#NUM!</v>
      </c>
      <c r="BP57" s="71" t="e">
        <f t="shared" si="211"/>
        <v>#NUM!</v>
      </c>
      <c r="BQ57" s="71" t="e">
        <f t="shared" si="212"/>
        <v>#NUM!</v>
      </c>
      <c r="BR57" s="71" t="e">
        <f t="shared" si="213"/>
        <v>#NUM!</v>
      </c>
      <c r="BS57" s="71" t="e">
        <f t="shared" si="214"/>
        <v>#NUM!</v>
      </c>
      <c r="BT57" s="71" t="e">
        <f t="shared" si="215"/>
        <v>#NUM!</v>
      </c>
      <c r="BU57" s="71" t="e">
        <f t="shared" si="216"/>
        <v>#NUM!</v>
      </c>
      <c r="BV57" s="71" t="e">
        <f t="shared" si="217"/>
        <v>#NUM!</v>
      </c>
      <c r="BW57" s="71" t="e">
        <f t="shared" si="218"/>
        <v>#NUM!</v>
      </c>
      <c r="BX57" s="71" t="e">
        <f t="shared" si="219"/>
        <v>#NUM!</v>
      </c>
      <c r="BY57" s="71" t="e">
        <f t="shared" si="220"/>
        <v>#NUM!</v>
      </c>
      <c r="BZ57" s="71" t="e">
        <f t="shared" si="221"/>
        <v>#NUM!</v>
      </c>
      <c r="CA57" s="71" t="e">
        <f t="shared" si="222"/>
        <v>#NUM!</v>
      </c>
      <c r="CB57" s="71" t="e">
        <f t="shared" si="223"/>
        <v>#NUM!</v>
      </c>
      <c r="CC57" s="71" t="e">
        <f t="shared" si="224"/>
        <v>#NUM!</v>
      </c>
      <c r="CD57" s="71" t="e">
        <f t="shared" si="225"/>
        <v>#NUM!</v>
      </c>
      <c r="CE57" s="71" t="e">
        <f t="shared" si="226"/>
        <v>#NUM!</v>
      </c>
      <c r="CF57" s="71" t="e">
        <f t="shared" si="227"/>
        <v>#NUM!</v>
      </c>
      <c r="CG57" s="71" t="e">
        <f t="shared" si="228"/>
        <v>#NUM!</v>
      </c>
    </row>
    <row r="58" spans="1:85" x14ac:dyDescent="0.25">
      <c r="C58" s="49"/>
      <c r="E58" s="201"/>
      <c r="F58" s="150"/>
      <c r="G58" s="151"/>
      <c r="H58" s="48"/>
      <c r="I58" s="48"/>
      <c r="J58" s="48"/>
      <c r="K58" s="48"/>
      <c r="L58" s="48"/>
      <c r="M58" s="48"/>
      <c r="N58" s="48"/>
      <c r="O58" s="151"/>
      <c r="P58" s="151"/>
      <c r="Q58" s="151"/>
      <c r="R58" s="151"/>
      <c r="S58" s="15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5"/>
      <c r="AF58" s="71"/>
      <c r="AG58" s="71"/>
      <c r="AH58" s="235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</row>
    <row r="59" spans="1:85" x14ac:dyDescent="0.25">
      <c r="C59" s="49"/>
      <c r="E59" s="201"/>
      <c r="F59" s="150"/>
      <c r="G59" s="151"/>
      <c r="H59" s="48"/>
      <c r="I59" s="48"/>
      <c r="J59" s="48"/>
      <c r="K59" s="48"/>
      <c r="L59" s="48"/>
      <c r="M59" s="48"/>
      <c r="N59" s="48"/>
      <c r="O59" s="151"/>
      <c r="P59" s="151"/>
      <c r="Q59" s="151"/>
      <c r="R59" s="151"/>
      <c r="S59" s="15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5"/>
      <c r="AF59" s="71"/>
      <c r="AG59" s="71"/>
      <c r="AH59" s="235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</row>
    <row r="60" spans="1:85" x14ac:dyDescent="0.25">
      <c r="C60" s="49"/>
      <c r="E60" s="201"/>
      <c r="F60" s="150"/>
      <c r="G60" s="151"/>
      <c r="H60" s="48"/>
      <c r="I60" s="48"/>
      <c r="J60" s="48"/>
      <c r="K60" s="48"/>
      <c r="L60" s="48"/>
      <c r="M60" s="48"/>
      <c r="N60" s="48"/>
      <c r="O60" s="151"/>
      <c r="P60" s="151"/>
      <c r="Q60" s="151"/>
      <c r="R60" s="151"/>
      <c r="S60" s="15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5"/>
      <c r="AF60" s="71"/>
      <c r="AG60" s="71"/>
      <c r="AH60" s="235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</row>
  </sheetData>
  <mergeCells count="2">
    <mergeCell ref="A1:E1"/>
    <mergeCell ref="A35:E35"/>
  </mergeCells>
  <conditionalFormatting sqref="X37:X60 AE37:AE60 AP37:AP60 AW37:AW60 BC37:BC60 BH37:BH60">
    <cfRule type="cellIs" dxfId="52" priority="1" operator="greaterThan">
      <formula>12</formula>
    </cfRule>
  </conditionalFormatting>
  <conditionalFormatting sqref="G37:G60">
    <cfRule type="cellIs" dxfId="51" priority="2" operator="greaterThan">
      <formula>7</formula>
    </cfRule>
  </conditionalFormatting>
  <conditionalFormatting sqref="T37:W60 Y37:AD60 AF37:AF60 AH37:AJ60 AL37:AO60 AQ37:AV60 AX37:BA60 BD37:BG60 BI37:CG60">
    <cfRule type="cellIs" dxfId="50" priority="3" operator="greaterThan">
      <formula>12.5</formula>
    </cfRule>
  </conditionalFormatting>
  <conditionalFormatting sqref="Q37:R60">
    <cfRule type="cellIs" dxfId="49" priority="4" operator="greaterThan">
      <formula>0.6</formula>
    </cfRule>
  </conditionalFormatting>
  <conditionalFormatting sqref="O37:O60">
    <cfRule type="cellIs" dxfId="48" priority="5" operator="greaterThan">
      <formula>3.2</formula>
    </cfRule>
  </conditionalFormatting>
  <conditionalFormatting sqref="S37:S60">
    <cfRule type="cellIs" dxfId="47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46" priority="9" operator="greaterThan">
      <formula>12</formula>
    </cfRule>
  </conditionalFormatting>
  <conditionalFormatting sqref="J3:J26">
    <cfRule type="cellIs" dxfId="45" priority="10" operator="greaterThan">
      <formula>7</formula>
    </cfRule>
  </conditionalFormatting>
  <conditionalFormatting sqref="X3:AA26 AC3:AH26 AJ3:AJ26 AL3:AN26 AP3:AS26 AU3:AZ26 BB3:BE26 BH3:BK26 BM3:CK26">
    <cfRule type="cellIs" dxfId="44" priority="11" operator="greaterThan">
      <formula>12.5</formula>
    </cfRule>
  </conditionalFormatting>
  <conditionalFormatting sqref="T3:U26">
    <cfRule type="cellIs" dxfId="43" priority="12" operator="greaterThan">
      <formula>0.6</formula>
    </cfRule>
  </conditionalFormatting>
  <conditionalFormatting sqref="R3:R26">
    <cfRule type="cellIs" dxfId="42" priority="13" operator="greaterThan">
      <formula>3.2</formula>
    </cfRule>
  </conditionalFormatting>
  <conditionalFormatting sqref="V3:W26">
    <cfRule type="cellIs" dxfId="41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65" bestFit="1" customWidth="1"/>
    <col min="2" max="2" width="10.28515625" style="265" bestFit="1" customWidth="1"/>
    <col min="3" max="3" width="7" style="265" bestFit="1" customWidth="1"/>
    <col min="4" max="4" width="10" style="265" bestFit="1" customWidth="1"/>
    <col min="5" max="5" width="2.85546875" style="265" bestFit="1" customWidth="1"/>
    <col min="6" max="6" width="3.140625" style="265" bestFit="1" customWidth="1"/>
    <col min="7" max="7" width="3.42578125" style="265" bestFit="1" customWidth="1"/>
    <col min="8" max="8" width="4" style="265" bestFit="1" customWidth="1"/>
    <col min="9" max="9" width="4.140625" style="265" bestFit="1" customWidth="1"/>
    <col min="10" max="10" width="4.85546875" style="265" bestFit="1" customWidth="1"/>
    <col min="12" max="12" width="12.7109375" style="265" customWidth="1"/>
    <col min="13" max="13" width="15.140625" style="265" bestFit="1" customWidth="1"/>
    <col min="14" max="14" width="4.140625" style="265" bestFit="1" customWidth="1"/>
    <col min="15" max="15" width="5.28515625" style="265" bestFit="1" customWidth="1"/>
    <col min="17" max="17" width="15.140625" style="265" bestFit="1" customWidth="1"/>
    <col min="18" max="18" width="12.140625" style="265" bestFit="1" customWidth="1"/>
    <col min="19" max="19" width="13.28515625" style="265" bestFit="1" customWidth="1"/>
    <col min="20" max="20" width="14.7109375" style="265" bestFit="1" customWidth="1"/>
    <col min="21" max="21" width="12.5703125" style="265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65" bestFit="1" customWidth="1"/>
  </cols>
  <sheetData>
    <row r="1" spans="1:28" s="3" customFormat="1" x14ac:dyDescent="0.25">
      <c r="A1" s="2" t="s">
        <v>164</v>
      </c>
      <c r="B1" s="2" t="s">
        <v>468</v>
      </c>
      <c r="C1" s="2" t="s">
        <v>473</v>
      </c>
      <c r="D1" s="2" t="s">
        <v>469</v>
      </c>
      <c r="E1" s="2" t="s">
        <v>113</v>
      </c>
      <c r="F1" s="2" t="s">
        <v>16</v>
      </c>
      <c r="G1" s="2" t="s">
        <v>24</v>
      </c>
      <c r="H1" s="2" t="s">
        <v>470</v>
      </c>
      <c r="I1" s="2" t="s">
        <v>30</v>
      </c>
      <c r="J1" s="2" t="s">
        <v>21</v>
      </c>
      <c r="L1" s="2" t="s">
        <v>164</v>
      </c>
      <c r="M1" s="2" t="s">
        <v>84</v>
      </c>
      <c r="N1" s="2" t="s">
        <v>471</v>
      </c>
      <c r="O1" s="2" t="s">
        <v>472</v>
      </c>
      <c r="Q1" s="300" t="s">
        <v>473</v>
      </c>
      <c r="R1" s="286" t="s">
        <v>474</v>
      </c>
      <c r="S1" s="288" t="s">
        <v>483</v>
      </c>
      <c r="T1" s="265"/>
      <c r="U1" s="265"/>
      <c r="V1" s="286" t="s">
        <v>475</v>
      </c>
      <c r="W1" s="287" t="s">
        <v>476</v>
      </c>
      <c r="X1" s="287" t="s">
        <v>477</v>
      </c>
      <c r="Y1" s="287" t="s">
        <v>478</v>
      </c>
      <c r="Z1" s="288" t="s">
        <v>479</v>
      </c>
      <c r="AA1"/>
      <c r="AB1" s="2" t="s">
        <v>190</v>
      </c>
    </row>
    <row r="2" spans="1:28" x14ac:dyDescent="0.25">
      <c r="A2" s="285">
        <v>43969</v>
      </c>
      <c r="B2" s="265">
        <v>17480983</v>
      </c>
      <c r="C2" s="265">
        <v>13</v>
      </c>
      <c r="D2" s="265">
        <v>7</v>
      </c>
      <c r="E2" s="265">
        <v>2</v>
      </c>
      <c r="F2" s="265">
        <v>0</v>
      </c>
      <c r="G2" s="265">
        <v>1</v>
      </c>
      <c r="H2" s="265">
        <v>0</v>
      </c>
      <c r="I2" s="265">
        <v>0</v>
      </c>
      <c r="J2" s="265">
        <v>1</v>
      </c>
      <c r="L2" s="285">
        <v>43969</v>
      </c>
      <c r="M2" s="265" t="s">
        <v>142</v>
      </c>
      <c r="N2" s="265">
        <v>1</v>
      </c>
      <c r="O2" s="265">
        <v>0</v>
      </c>
      <c r="Q2" s="289">
        <v>12</v>
      </c>
      <c r="R2" s="290">
        <v>10</v>
      </c>
      <c r="S2" s="292">
        <v>0.3</v>
      </c>
      <c r="V2" s="297">
        <v>22</v>
      </c>
      <c r="W2" s="298">
        <v>16</v>
      </c>
      <c r="X2" s="298">
        <v>52</v>
      </c>
      <c r="Y2" s="298">
        <v>32</v>
      </c>
      <c r="Z2" s="299">
        <v>6</v>
      </c>
      <c r="AB2" s="265">
        <f>SUM(V2:Z2)</f>
        <v>128</v>
      </c>
    </row>
    <row r="3" spans="1:28" x14ac:dyDescent="0.25">
      <c r="A3" s="285">
        <v>43969</v>
      </c>
      <c r="B3" s="265">
        <v>17554252</v>
      </c>
      <c r="C3" s="265">
        <v>13</v>
      </c>
      <c r="D3" s="265">
        <v>7</v>
      </c>
      <c r="E3" s="265">
        <v>3</v>
      </c>
      <c r="F3" s="265">
        <v>1</v>
      </c>
      <c r="G3" s="265">
        <v>2</v>
      </c>
      <c r="H3" s="265">
        <v>0</v>
      </c>
      <c r="I3" s="265">
        <v>0</v>
      </c>
      <c r="J3" s="265">
        <v>0</v>
      </c>
      <c r="L3" s="285">
        <v>43969</v>
      </c>
      <c r="M3" s="265" t="s">
        <v>140</v>
      </c>
      <c r="N3" s="265">
        <v>1</v>
      </c>
      <c r="O3" s="265">
        <v>0</v>
      </c>
      <c r="Q3" s="293">
        <v>13</v>
      </c>
      <c r="R3" s="294">
        <v>87</v>
      </c>
      <c r="S3" s="296">
        <v>0.2413793103448276</v>
      </c>
      <c r="V3" s="301">
        <f>V2/$AB$2</f>
        <v>0.171875</v>
      </c>
      <c r="W3" s="301">
        <f t="shared" ref="W3:Z3" si="0">W2/$AB$2</f>
        <v>0.125</v>
      </c>
      <c r="X3" s="301">
        <f t="shared" si="0"/>
        <v>0.40625</v>
      </c>
      <c r="Y3" s="301">
        <f t="shared" si="0"/>
        <v>0.25</v>
      </c>
      <c r="Z3" s="301">
        <f t="shared" si="0"/>
        <v>4.6875E-2</v>
      </c>
    </row>
    <row r="4" spans="1:28" x14ac:dyDescent="0.25">
      <c r="A4" s="285">
        <v>43970</v>
      </c>
      <c r="B4" s="265">
        <v>17612232</v>
      </c>
      <c r="C4" s="265">
        <v>13</v>
      </c>
      <c r="D4" s="265">
        <v>5</v>
      </c>
      <c r="E4" s="265">
        <v>1</v>
      </c>
      <c r="F4" s="265">
        <v>0</v>
      </c>
      <c r="G4" s="265">
        <v>0</v>
      </c>
      <c r="H4" s="265">
        <v>1</v>
      </c>
      <c r="I4" s="265">
        <v>0</v>
      </c>
      <c r="J4" s="265">
        <v>0</v>
      </c>
      <c r="L4" s="285">
        <v>43969</v>
      </c>
      <c r="M4" s="265" t="s">
        <v>134</v>
      </c>
      <c r="N4" s="265">
        <v>0</v>
      </c>
      <c r="O4" s="265">
        <v>2</v>
      </c>
      <c r="Q4" s="293">
        <v>14</v>
      </c>
      <c r="R4" s="294">
        <v>55</v>
      </c>
      <c r="S4" s="296">
        <v>0.29090909090909089</v>
      </c>
    </row>
    <row r="5" spans="1:28" x14ac:dyDescent="0.25">
      <c r="A5" s="285">
        <v>43970</v>
      </c>
      <c r="B5" s="265">
        <v>17669494</v>
      </c>
      <c r="C5" s="265">
        <v>13</v>
      </c>
      <c r="D5" s="265">
        <v>9</v>
      </c>
      <c r="E5" s="265">
        <v>3</v>
      </c>
      <c r="F5" s="265">
        <v>0</v>
      </c>
      <c r="G5" s="265">
        <v>0</v>
      </c>
      <c r="H5" s="265">
        <v>3</v>
      </c>
      <c r="I5" s="265">
        <v>0</v>
      </c>
      <c r="J5" s="265">
        <v>0</v>
      </c>
      <c r="L5" s="285">
        <v>43969</v>
      </c>
      <c r="M5" s="265" t="s">
        <v>159</v>
      </c>
      <c r="N5" s="265">
        <v>0</v>
      </c>
      <c r="O5" s="265">
        <v>1</v>
      </c>
      <c r="Q5" s="293">
        <v>15</v>
      </c>
      <c r="R5" s="294">
        <v>131</v>
      </c>
      <c r="S5" s="296">
        <v>0.29007633587786258</v>
      </c>
    </row>
    <row r="6" spans="1:28" x14ac:dyDescent="0.25">
      <c r="A6" s="285">
        <v>43971</v>
      </c>
      <c r="B6" s="265">
        <v>17728262</v>
      </c>
      <c r="C6" s="265">
        <v>12</v>
      </c>
      <c r="D6" s="265">
        <v>5</v>
      </c>
      <c r="E6" s="265">
        <v>0</v>
      </c>
      <c r="F6" s="265">
        <v>0</v>
      </c>
      <c r="G6" s="265">
        <v>0</v>
      </c>
      <c r="H6" s="265">
        <v>0</v>
      </c>
      <c r="I6" s="265">
        <v>0</v>
      </c>
      <c r="J6" s="265">
        <v>0</v>
      </c>
      <c r="L6" s="285">
        <v>43970</v>
      </c>
      <c r="M6" s="265" t="s">
        <v>150</v>
      </c>
      <c r="N6" s="265">
        <v>1</v>
      </c>
      <c r="O6" s="265">
        <v>1</v>
      </c>
      <c r="Q6" s="293">
        <v>16</v>
      </c>
      <c r="R6" s="294">
        <v>88</v>
      </c>
      <c r="S6" s="296">
        <v>0.29545454545454547</v>
      </c>
    </row>
    <row r="7" spans="1:28" x14ac:dyDescent="0.25">
      <c r="A7" s="285">
        <v>43972</v>
      </c>
      <c r="B7" s="265">
        <v>17843216</v>
      </c>
      <c r="C7" s="265">
        <v>12</v>
      </c>
      <c r="D7" s="265">
        <v>5</v>
      </c>
      <c r="E7" s="265">
        <v>3</v>
      </c>
      <c r="F7" s="265">
        <v>1</v>
      </c>
      <c r="G7" s="265">
        <v>1</v>
      </c>
      <c r="H7" s="265">
        <v>0</v>
      </c>
      <c r="I7" s="265">
        <v>1</v>
      </c>
      <c r="J7" s="265">
        <v>0</v>
      </c>
      <c r="L7" s="285">
        <v>43970</v>
      </c>
      <c r="M7" s="265" t="s">
        <v>152</v>
      </c>
      <c r="N7" s="265">
        <v>1</v>
      </c>
      <c r="O7" s="265">
        <v>1</v>
      </c>
      <c r="Q7" s="293">
        <v>17</v>
      </c>
      <c r="R7" s="294">
        <v>14</v>
      </c>
      <c r="S7" s="296">
        <v>0.14285714285714285</v>
      </c>
    </row>
    <row r="8" spans="1:28" x14ac:dyDescent="0.25">
      <c r="A8" s="285">
        <v>43976</v>
      </c>
      <c r="B8" s="265">
        <v>17945337</v>
      </c>
      <c r="C8" s="265">
        <v>13</v>
      </c>
      <c r="D8" s="265">
        <v>3</v>
      </c>
      <c r="E8" s="265">
        <v>1</v>
      </c>
      <c r="F8" s="265">
        <v>0</v>
      </c>
      <c r="G8" s="265">
        <v>0</v>
      </c>
      <c r="H8" s="265">
        <v>1</v>
      </c>
      <c r="I8" s="265">
        <v>0</v>
      </c>
      <c r="J8" s="265">
        <v>0</v>
      </c>
      <c r="L8" s="285">
        <v>43972</v>
      </c>
      <c r="M8" s="265" t="s">
        <v>136</v>
      </c>
      <c r="N8" s="265">
        <v>1</v>
      </c>
      <c r="O8" s="265">
        <v>0</v>
      </c>
      <c r="Q8" s="293">
        <v>19</v>
      </c>
      <c r="R8" s="294">
        <v>84</v>
      </c>
      <c r="S8" s="296">
        <v>0.26190476190476192</v>
      </c>
    </row>
    <row r="9" spans="1:28" x14ac:dyDescent="0.25">
      <c r="A9" s="285">
        <v>43977</v>
      </c>
      <c r="B9" s="265">
        <v>18067489</v>
      </c>
      <c r="C9" s="265">
        <v>13</v>
      </c>
      <c r="D9" s="265">
        <v>4</v>
      </c>
      <c r="E9" s="265">
        <v>1</v>
      </c>
      <c r="F9" s="265">
        <v>0</v>
      </c>
      <c r="G9" s="265">
        <v>0</v>
      </c>
      <c r="H9" s="265">
        <v>0</v>
      </c>
      <c r="I9" s="265">
        <v>1</v>
      </c>
      <c r="J9" s="265">
        <v>0</v>
      </c>
      <c r="L9" s="285">
        <v>43972</v>
      </c>
      <c r="M9" s="265" t="s">
        <v>142</v>
      </c>
      <c r="N9" s="265">
        <v>0</v>
      </c>
      <c r="O9" s="265">
        <v>1</v>
      </c>
      <c r="Q9" s="302" t="s">
        <v>190</v>
      </c>
      <c r="R9" s="303">
        <v>469</v>
      </c>
      <c r="S9" s="305">
        <v>0.27292110874200426</v>
      </c>
    </row>
    <row r="10" spans="1:28" x14ac:dyDescent="0.25">
      <c r="A10" s="285">
        <v>43978</v>
      </c>
      <c r="B10" s="265">
        <v>18083815</v>
      </c>
      <c r="C10" s="265">
        <v>13</v>
      </c>
      <c r="D10" s="265">
        <v>9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L10" s="285">
        <v>43972</v>
      </c>
      <c r="M10" s="265" t="s">
        <v>158</v>
      </c>
      <c r="N10" s="265">
        <v>0</v>
      </c>
      <c r="O10" s="265">
        <v>1</v>
      </c>
    </row>
    <row r="11" spans="1:28" x14ac:dyDescent="0.25">
      <c r="A11" s="285">
        <v>43978</v>
      </c>
      <c r="B11" s="265">
        <v>18102369</v>
      </c>
      <c r="C11" s="265">
        <v>13</v>
      </c>
      <c r="D11" s="265">
        <v>7</v>
      </c>
      <c r="E11" s="265">
        <v>1</v>
      </c>
      <c r="F11" s="265">
        <v>0</v>
      </c>
      <c r="G11" s="265">
        <v>0</v>
      </c>
      <c r="H11" s="265">
        <v>1</v>
      </c>
      <c r="I11" s="265">
        <v>0</v>
      </c>
      <c r="J11" s="265">
        <v>0</v>
      </c>
      <c r="L11" s="285">
        <v>43976</v>
      </c>
      <c r="M11" s="265" t="s">
        <v>150</v>
      </c>
      <c r="N11" s="265">
        <v>0</v>
      </c>
      <c r="O11" s="265">
        <v>1</v>
      </c>
    </row>
    <row r="12" spans="1:28" x14ac:dyDescent="0.25">
      <c r="A12" s="285">
        <v>43978</v>
      </c>
      <c r="B12" s="265">
        <v>18116746</v>
      </c>
      <c r="C12" s="265">
        <v>14</v>
      </c>
      <c r="D12" s="265">
        <v>10</v>
      </c>
      <c r="E12" s="265">
        <v>2</v>
      </c>
      <c r="F12" s="265">
        <v>0</v>
      </c>
      <c r="G12" s="265">
        <v>1</v>
      </c>
      <c r="H12" s="265">
        <v>0</v>
      </c>
      <c r="I12" s="265">
        <v>1</v>
      </c>
      <c r="J12" s="265">
        <v>0</v>
      </c>
      <c r="L12" s="285">
        <v>43977</v>
      </c>
      <c r="M12" s="265" t="s">
        <v>146</v>
      </c>
      <c r="N12" s="265">
        <v>0</v>
      </c>
      <c r="O12" s="265">
        <v>1</v>
      </c>
    </row>
    <row r="13" spans="1:28" x14ac:dyDescent="0.25">
      <c r="A13" s="285">
        <v>43979</v>
      </c>
      <c r="B13" s="265">
        <v>18200256</v>
      </c>
      <c r="C13" s="265">
        <v>14</v>
      </c>
      <c r="D13" s="265">
        <v>9</v>
      </c>
      <c r="E13" s="265">
        <v>2</v>
      </c>
      <c r="F13" s="265">
        <v>0</v>
      </c>
      <c r="G13" s="265">
        <v>0</v>
      </c>
      <c r="H13" s="265">
        <v>2</v>
      </c>
      <c r="I13" s="265">
        <v>0</v>
      </c>
      <c r="J13" s="265">
        <v>0</v>
      </c>
      <c r="L13" s="285">
        <v>43978</v>
      </c>
      <c r="M13" s="265" t="s">
        <v>142</v>
      </c>
      <c r="N13" s="265">
        <v>1</v>
      </c>
      <c r="O13" s="265">
        <v>0</v>
      </c>
    </row>
    <row r="14" spans="1:28" x14ac:dyDescent="0.25">
      <c r="A14" s="285">
        <v>43979</v>
      </c>
      <c r="B14" s="265">
        <v>18216545</v>
      </c>
      <c r="C14" s="265">
        <v>13</v>
      </c>
      <c r="D14" s="265">
        <v>9</v>
      </c>
      <c r="E14" s="265">
        <v>2</v>
      </c>
      <c r="F14" s="265">
        <v>0</v>
      </c>
      <c r="G14" s="265">
        <v>1</v>
      </c>
      <c r="H14" s="265">
        <v>1</v>
      </c>
      <c r="I14" s="265">
        <v>0</v>
      </c>
      <c r="J14" s="265">
        <v>0</v>
      </c>
      <c r="L14" s="285">
        <v>43978</v>
      </c>
      <c r="M14" s="265" t="s">
        <v>152</v>
      </c>
      <c r="N14" s="265">
        <v>1</v>
      </c>
      <c r="O14" s="265">
        <v>0</v>
      </c>
    </row>
    <row r="15" spans="1:28" x14ac:dyDescent="0.25">
      <c r="A15" s="285">
        <v>43979</v>
      </c>
      <c r="B15" s="265">
        <v>18286656</v>
      </c>
      <c r="C15" s="265">
        <v>13</v>
      </c>
      <c r="D15" s="265">
        <v>7</v>
      </c>
      <c r="E15" s="265">
        <v>2</v>
      </c>
      <c r="F15" s="265">
        <v>1</v>
      </c>
      <c r="G15" s="265">
        <v>0</v>
      </c>
      <c r="H15" s="265">
        <v>1</v>
      </c>
      <c r="I15" s="265">
        <v>0</v>
      </c>
      <c r="J15" s="265">
        <v>0</v>
      </c>
      <c r="L15" s="285">
        <v>43978</v>
      </c>
      <c r="M15" s="265" t="s">
        <v>158</v>
      </c>
      <c r="N15" s="265">
        <v>1</v>
      </c>
      <c r="O15" s="265">
        <v>0</v>
      </c>
      <c r="Q15" s="300" t="s">
        <v>84</v>
      </c>
      <c r="R15" s="286" t="s">
        <v>480</v>
      </c>
      <c r="S15" s="287" t="s">
        <v>481</v>
      </c>
      <c r="T15" s="288" t="s">
        <v>482</v>
      </c>
      <c r="V15" s="264" t="str">
        <f>PLANTILLA!D5</f>
        <v>I. Shirazi</v>
      </c>
      <c r="W15" s="88">
        <f ca="1">PLANTILLA!AH5</f>
        <v>0.10345675120365749</v>
      </c>
    </row>
    <row r="16" spans="1:28" x14ac:dyDescent="0.25">
      <c r="A16" s="285">
        <v>43982</v>
      </c>
      <c r="B16" s="265">
        <v>18448080</v>
      </c>
      <c r="C16" s="265">
        <v>13</v>
      </c>
      <c r="D16" s="265">
        <v>8</v>
      </c>
      <c r="E16" s="265">
        <v>1</v>
      </c>
      <c r="F16" s="265">
        <v>0</v>
      </c>
      <c r="G16" s="265">
        <v>0</v>
      </c>
      <c r="H16" s="265">
        <v>0</v>
      </c>
      <c r="I16" s="265">
        <v>1</v>
      </c>
      <c r="J16" s="265">
        <v>0</v>
      </c>
      <c r="L16" s="285">
        <v>43979</v>
      </c>
      <c r="M16" s="265" t="s">
        <v>150</v>
      </c>
      <c r="N16" s="265">
        <v>1</v>
      </c>
      <c r="O16" s="265">
        <v>1</v>
      </c>
      <c r="Q16" s="289" t="s">
        <v>140</v>
      </c>
      <c r="R16" s="290">
        <v>4</v>
      </c>
      <c r="S16" s="291">
        <v>1</v>
      </c>
      <c r="T16" s="292">
        <v>0.8</v>
      </c>
      <c r="U16" s="151" t="e">
        <f>VLOOKUP(Q16,$V$15:$W$36,2,FALSE)</f>
        <v>#N/A</v>
      </c>
      <c r="V16" s="264" t="str">
        <f>PLANTILLA!D4</f>
        <v>L. Guangwei</v>
      </c>
      <c r="W16" s="88">
        <f ca="1">PLANTILLA!AH4</f>
        <v>16.017926871784663</v>
      </c>
    </row>
    <row r="17" spans="1:23" x14ac:dyDescent="0.25">
      <c r="A17" s="285">
        <v>43990</v>
      </c>
      <c r="B17" s="265">
        <v>662376951</v>
      </c>
      <c r="C17" s="265">
        <v>13</v>
      </c>
      <c r="D17" s="265">
        <v>8</v>
      </c>
      <c r="E17" s="265">
        <v>3</v>
      </c>
      <c r="F17" s="265">
        <v>0</v>
      </c>
      <c r="G17" s="265">
        <v>0</v>
      </c>
      <c r="H17" s="265">
        <v>2</v>
      </c>
      <c r="I17" s="265">
        <v>1</v>
      </c>
      <c r="J17" s="265">
        <v>0</v>
      </c>
      <c r="L17" s="285">
        <v>43979</v>
      </c>
      <c r="M17" s="265" t="s">
        <v>142</v>
      </c>
      <c r="N17" s="265">
        <v>0</v>
      </c>
      <c r="O17" s="265">
        <v>1</v>
      </c>
      <c r="Q17" s="293" t="s">
        <v>158</v>
      </c>
      <c r="R17" s="294">
        <v>3</v>
      </c>
      <c r="S17" s="295">
        <v>1</v>
      </c>
      <c r="T17" s="296">
        <v>0.75</v>
      </c>
      <c r="U17" s="151" t="e">
        <f t="shared" ref="U17:U32" si="1">VLOOKUP(Q17,$V$15:$W$36,2,FALSE)</f>
        <v>#N/A</v>
      </c>
      <c r="V17" s="264" t="e">
        <f>PLANTILLA!#REF!</f>
        <v>#REF!</v>
      </c>
      <c r="W17" s="88" t="e">
        <f>PLANTILLA!#REF!</f>
        <v>#REF!</v>
      </c>
    </row>
    <row r="18" spans="1:23" x14ac:dyDescent="0.25">
      <c r="A18" s="285">
        <v>43997</v>
      </c>
      <c r="B18" s="265">
        <v>662376954</v>
      </c>
      <c r="C18" s="265">
        <v>13</v>
      </c>
      <c r="D18" s="265">
        <v>4</v>
      </c>
      <c r="E18" s="265">
        <v>1</v>
      </c>
      <c r="F18" s="265">
        <v>0</v>
      </c>
      <c r="G18" s="265">
        <v>0</v>
      </c>
      <c r="H18" s="265">
        <v>0</v>
      </c>
      <c r="I18" s="265">
        <v>1</v>
      </c>
      <c r="J18" s="265">
        <v>0</v>
      </c>
      <c r="L18" s="285">
        <v>43979</v>
      </c>
      <c r="M18" s="265" t="s">
        <v>139</v>
      </c>
      <c r="N18" s="265">
        <v>0</v>
      </c>
      <c r="O18" s="265">
        <v>1</v>
      </c>
      <c r="Q18" s="293" t="s">
        <v>152</v>
      </c>
      <c r="R18" s="294">
        <v>9</v>
      </c>
      <c r="S18" s="295">
        <v>5</v>
      </c>
      <c r="T18" s="296">
        <v>0.6428571428571429</v>
      </c>
      <c r="U18" s="151">
        <f t="shared" ca="1" si="1"/>
        <v>21.642771828336258</v>
      </c>
      <c r="V18" s="264" t="str">
        <f>PLANTILLA!D6</f>
        <v>V. Gardner</v>
      </c>
      <c r="W18" s="88">
        <f ca="1">PLANTILLA!AH6</f>
        <v>20.045167927814546</v>
      </c>
    </row>
    <row r="19" spans="1:23" x14ac:dyDescent="0.25">
      <c r="A19" s="285">
        <v>44000</v>
      </c>
      <c r="B19" s="265">
        <v>662839612</v>
      </c>
      <c r="C19" s="265">
        <v>14</v>
      </c>
      <c r="D19" s="265">
        <v>3</v>
      </c>
      <c r="E19" s="265">
        <v>1</v>
      </c>
      <c r="F19" s="265">
        <v>0</v>
      </c>
      <c r="G19" s="265">
        <v>0</v>
      </c>
      <c r="H19" s="265">
        <v>0</v>
      </c>
      <c r="I19" s="265">
        <v>1</v>
      </c>
      <c r="J19" s="265">
        <v>0</v>
      </c>
      <c r="L19" s="285">
        <v>43979</v>
      </c>
      <c r="M19" s="265" t="s">
        <v>144</v>
      </c>
      <c r="N19" s="265">
        <v>1</v>
      </c>
      <c r="O19" s="265">
        <v>1</v>
      </c>
      <c r="Q19" s="293" t="s">
        <v>146</v>
      </c>
      <c r="R19" s="294">
        <v>7</v>
      </c>
      <c r="S19" s="295">
        <v>4</v>
      </c>
      <c r="T19" s="296">
        <v>0.63636363636363635</v>
      </c>
      <c r="U19" s="151">
        <f t="shared" ca="1" si="1"/>
        <v>22.963888619004457</v>
      </c>
      <c r="V19" s="264" t="e">
        <f>PLANTILLA!#REF!</f>
        <v>#REF!</v>
      </c>
      <c r="W19" s="88" t="e">
        <f>PLANTILLA!#REF!</f>
        <v>#REF!</v>
      </c>
    </row>
    <row r="20" spans="1:23" x14ac:dyDescent="0.25">
      <c r="A20" s="285">
        <v>44004</v>
      </c>
      <c r="B20" s="265">
        <v>662376959</v>
      </c>
      <c r="C20" s="265">
        <v>14</v>
      </c>
      <c r="D20" s="265">
        <v>10</v>
      </c>
      <c r="E20" s="265">
        <v>3</v>
      </c>
      <c r="F20" s="265">
        <v>0</v>
      </c>
      <c r="G20" s="265">
        <v>0</v>
      </c>
      <c r="H20" s="265">
        <v>1</v>
      </c>
      <c r="I20" s="265">
        <v>1</v>
      </c>
      <c r="J20" s="265">
        <v>1</v>
      </c>
      <c r="L20" s="285">
        <v>43982</v>
      </c>
      <c r="M20" s="265" t="s">
        <v>146</v>
      </c>
      <c r="N20" s="265">
        <v>1</v>
      </c>
      <c r="O20" s="265">
        <v>0</v>
      </c>
      <c r="Q20" s="293" t="s">
        <v>136</v>
      </c>
      <c r="R20" s="294">
        <v>3</v>
      </c>
      <c r="S20" s="295">
        <v>2</v>
      </c>
      <c r="T20" s="296">
        <v>0.6</v>
      </c>
      <c r="U20" s="151">
        <f t="shared" ca="1" si="1"/>
        <v>18.022786746518353</v>
      </c>
      <c r="V20" s="264" t="str">
        <f>PLANTILLA!D7</f>
        <v>S. Swärdborn</v>
      </c>
      <c r="W20" s="88">
        <f ca="1">PLANTILLA!AH7</f>
        <v>19.327421570447836</v>
      </c>
    </row>
    <row r="21" spans="1:23" x14ac:dyDescent="0.25">
      <c r="A21" s="285">
        <v>44005</v>
      </c>
      <c r="B21" s="265">
        <v>18799271</v>
      </c>
      <c r="C21" s="265">
        <v>15</v>
      </c>
      <c r="D21" s="265">
        <v>6</v>
      </c>
      <c r="E21" s="265">
        <v>1</v>
      </c>
      <c r="F21" s="265">
        <v>0</v>
      </c>
      <c r="G21" s="265">
        <v>0</v>
      </c>
      <c r="H21" s="265">
        <v>0</v>
      </c>
      <c r="I21" s="265">
        <v>0</v>
      </c>
      <c r="J21" s="265">
        <v>1</v>
      </c>
      <c r="L21" s="285">
        <v>43990</v>
      </c>
      <c r="M21" s="265" t="s">
        <v>157</v>
      </c>
      <c r="N21" s="265">
        <v>0</v>
      </c>
      <c r="O21" s="265">
        <v>1</v>
      </c>
      <c r="Q21" s="293" t="s">
        <v>142</v>
      </c>
      <c r="R21" s="294">
        <v>3</v>
      </c>
      <c r="S21" s="295">
        <v>2</v>
      </c>
      <c r="T21" s="296">
        <v>0.6</v>
      </c>
      <c r="U21" s="151">
        <f t="shared" ca="1" si="1"/>
        <v>18.455105161669593</v>
      </c>
      <c r="V21" s="264" t="str">
        <f>PLANTILLA!D8</f>
        <v>A. Grimaud</v>
      </c>
      <c r="W21" s="88">
        <f ca="1">PLANTILLA!AH8</f>
        <v>18.022786746518353</v>
      </c>
    </row>
    <row r="22" spans="1:23" x14ac:dyDescent="0.25">
      <c r="A22" s="285">
        <v>44007</v>
      </c>
      <c r="B22" s="265">
        <v>18799286</v>
      </c>
      <c r="C22" s="265">
        <v>14</v>
      </c>
      <c r="D22" s="265">
        <v>7</v>
      </c>
      <c r="E22" s="265">
        <v>3</v>
      </c>
      <c r="F22" s="265">
        <v>0</v>
      </c>
      <c r="G22" s="265">
        <v>0</v>
      </c>
      <c r="H22" s="265">
        <v>0</v>
      </c>
      <c r="I22" s="265">
        <v>3</v>
      </c>
      <c r="J22" s="265">
        <v>0</v>
      </c>
      <c r="L22" s="285">
        <v>43990</v>
      </c>
      <c r="M22" s="265" t="s">
        <v>152</v>
      </c>
      <c r="N22" s="265">
        <v>0</v>
      </c>
      <c r="O22" s="265">
        <v>1</v>
      </c>
      <c r="Q22" s="293" t="s">
        <v>157</v>
      </c>
      <c r="R22" s="294">
        <v>9</v>
      </c>
      <c r="S22" s="295">
        <v>7</v>
      </c>
      <c r="T22" s="296">
        <v>0.5625</v>
      </c>
      <c r="U22" s="151" t="e">
        <f t="shared" si="1"/>
        <v>#N/A</v>
      </c>
      <c r="V22" s="264" t="str">
        <f>PLANTILLA!D9</f>
        <v>E. Deus</v>
      </c>
      <c r="W22" s="88">
        <f ca="1">PLANTILLA!AH9</f>
        <v>18.455105161669593</v>
      </c>
    </row>
    <row r="23" spans="1:23" x14ac:dyDescent="0.25">
      <c r="A23" s="285">
        <v>44010</v>
      </c>
      <c r="B23" s="265">
        <v>18799288</v>
      </c>
      <c r="C23" s="265">
        <v>15</v>
      </c>
      <c r="D23" s="265">
        <v>6</v>
      </c>
      <c r="E23" s="265">
        <v>2</v>
      </c>
      <c r="F23" s="265">
        <v>1</v>
      </c>
      <c r="G23" s="265">
        <v>0</v>
      </c>
      <c r="H23" s="265">
        <v>1</v>
      </c>
      <c r="I23" s="265">
        <v>0</v>
      </c>
      <c r="J23" s="265">
        <v>0</v>
      </c>
      <c r="L23" s="285">
        <v>43990</v>
      </c>
      <c r="M23" s="265" t="s">
        <v>146</v>
      </c>
      <c r="N23" s="265">
        <v>0</v>
      </c>
      <c r="O23" s="265">
        <v>1</v>
      </c>
      <c r="Q23" s="293" t="s">
        <v>144</v>
      </c>
      <c r="R23" s="294">
        <v>5</v>
      </c>
      <c r="S23" s="295">
        <v>4</v>
      </c>
      <c r="T23" s="296">
        <v>0.55555555555555558</v>
      </c>
      <c r="U23" s="151">
        <f t="shared" ca="1" si="1"/>
        <v>14.39867187705657</v>
      </c>
      <c r="V23" s="264" t="str">
        <f>PLANTILLA!D12</f>
        <v>T. McPhail</v>
      </c>
      <c r="W23" s="88">
        <f ca="1">PLANTILLA!AH12</f>
        <v>16.389224488289351</v>
      </c>
    </row>
    <row r="24" spans="1:23" x14ac:dyDescent="0.25">
      <c r="A24" s="285">
        <v>44011</v>
      </c>
      <c r="B24" s="265">
        <v>662376963</v>
      </c>
      <c r="C24" s="265">
        <v>15</v>
      </c>
      <c r="D24" s="265">
        <v>4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L24" s="285">
        <v>43997</v>
      </c>
      <c r="M24" s="265" t="s">
        <v>144</v>
      </c>
      <c r="N24" s="265">
        <v>1</v>
      </c>
      <c r="O24" s="265">
        <v>0</v>
      </c>
      <c r="Q24" s="293" t="s">
        <v>150</v>
      </c>
      <c r="R24" s="294">
        <v>12</v>
      </c>
      <c r="S24" s="295">
        <v>10</v>
      </c>
      <c r="T24" s="296">
        <v>0.54545454545454541</v>
      </c>
      <c r="U24" s="151">
        <f t="shared" ca="1" si="1"/>
        <v>20.111149786477327</v>
      </c>
      <c r="V24" s="264" t="str">
        <f>PLANTILLA!D15</f>
        <v>P. Tuderek</v>
      </c>
      <c r="W24" s="88">
        <f ca="1">PLANTILLA!AH15</f>
        <v>21.642771828336258</v>
      </c>
    </row>
    <row r="25" spans="1:23" x14ac:dyDescent="0.25">
      <c r="A25" s="285">
        <v>44012</v>
      </c>
      <c r="B25" s="265">
        <v>18799301</v>
      </c>
      <c r="C25" s="265">
        <v>15</v>
      </c>
      <c r="D25" s="265">
        <v>7</v>
      </c>
      <c r="E25" s="265">
        <v>3</v>
      </c>
      <c r="F25" s="265">
        <v>0</v>
      </c>
      <c r="G25" s="265">
        <v>0</v>
      </c>
      <c r="H25" s="265">
        <v>3</v>
      </c>
      <c r="I25" s="265">
        <v>0</v>
      </c>
      <c r="J25" s="265">
        <v>0</v>
      </c>
      <c r="L25" s="285">
        <v>44000</v>
      </c>
      <c r="M25" s="265" t="s">
        <v>150</v>
      </c>
      <c r="N25" s="265">
        <v>0</v>
      </c>
      <c r="O25" s="265">
        <v>1</v>
      </c>
      <c r="Q25" s="293" t="s">
        <v>148</v>
      </c>
      <c r="R25" s="294">
        <v>4</v>
      </c>
      <c r="S25" s="295">
        <v>4</v>
      </c>
      <c r="T25" s="296">
        <v>0.5</v>
      </c>
      <c r="U25" s="151">
        <f t="shared" ca="1" si="1"/>
        <v>21.458966879228122</v>
      </c>
      <c r="V25" s="264" t="str">
        <f>PLANTILLA!D13</f>
        <v>R. Forsyth</v>
      </c>
      <c r="W25" s="88">
        <f ca="1">PLANTILLA!AH13</f>
        <v>18.814362931823879</v>
      </c>
    </row>
    <row r="26" spans="1:23" x14ac:dyDescent="0.25">
      <c r="A26" s="285">
        <v>44014</v>
      </c>
      <c r="B26" s="265">
        <v>663085087</v>
      </c>
      <c r="C26" s="265">
        <v>15</v>
      </c>
      <c r="D26" s="265">
        <v>10</v>
      </c>
      <c r="E26" s="265">
        <v>4</v>
      </c>
      <c r="F26" s="265">
        <v>1</v>
      </c>
      <c r="G26" s="265">
        <v>2</v>
      </c>
      <c r="H26" s="265">
        <v>1</v>
      </c>
      <c r="I26" s="265">
        <v>0</v>
      </c>
      <c r="J26" s="265">
        <v>0</v>
      </c>
      <c r="L26" s="285">
        <v>44004</v>
      </c>
      <c r="M26" s="265" t="s">
        <v>154</v>
      </c>
      <c r="N26" s="265">
        <v>1</v>
      </c>
      <c r="O26" s="265">
        <v>0</v>
      </c>
      <c r="Q26" s="293" t="s">
        <v>132</v>
      </c>
      <c r="R26" s="294">
        <v>3</v>
      </c>
      <c r="S26" s="295">
        <v>3</v>
      </c>
      <c r="T26" s="296">
        <v>0.5</v>
      </c>
      <c r="U26" s="151" t="e">
        <f t="shared" si="1"/>
        <v>#N/A</v>
      </c>
      <c r="V26" s="264" t="str">
        <f>PLANTILLA!D14</f>
        <v>Dusty Ware</v>
      </c>
      <c r="W26" s="88">
        <f ca="1">PLANTILLA!AH14</f>
        <v>20.862584431624633</v>
      </c>
    </row>
    <row r="27" spans="1:23" x14ac:dyDescent="0.25">
      <c r="A27" s="285">
        <v>44014</v>
      </c>
      <c r="B27" s="265">
        <v>18799305</v>
      </c>
      <c r="C27" s="265">
        <v>14</v>
      </c>
      <c r="D27" s="265">
        <v>8</v>
      </c>
      <c r="E27" s="265">
        <v>2</v>
      </c>
      <c r="F27" s="265">
        <v>0</v>
      </c>
      <c r="G27" s="265">
        <v>0</v>
      </c>
      <c r="H27" s="265">
        <v>0</v>
      </c>
      <c r="I27" s="265">
        <v>1</v>
      </c>
      <c r="J27" s="265">
        <v>1</v>
      </c>
      <c r="L27" s="285">
        <v>44004</v>
      </c>
      <c r="M27" s="265" t="s">
        <v>158</v>
      </c>
      <c r="N27" s="265">
        <v>1</v>
      </c>
      <c r="O27" s="265">
        <v>0</v>
      </c>
      <c r="Q27" s="293" t="s">
        <v>154</v>
      </c>
      <c r="R27" s="294">
        <v>2</v>
      </c>
      <c r="S27" s="295">
        <v>2</v>
      </c>
      <c r="T27" s="296">
        <v>0.5</v>
      </c>
      <c r="U27" s="151">
        <f t="shared" ca="1" si="1"/>
        <v>18.814362931823879</v>
      </c>
      <c r="V27" s="264" t="str">
        <f>PLANTILLA!D11</f>
        <v>S. Kariuki</v>
      </c>
      <c r="W27" s="88">
        <f ca="1">PLANTILLA!AH11</f>
        <v>17.216891817262631</v>
      </c>
    </row>
    <row r="28" spans="1:23" x14ac:dyDescent="0.25">
      <c r="A28" s="285">
        <v>44017</v>
      </c>
      <c r="B28" s="265">
        <v>18799314</v>
      </c>
      <c r="C28" s="265">
        <v>15</v>
      </c>
      <c r="D28" s="265">
        <v>5</v>
      </c>
      <c r="E28" s="265">
        <v>1</v>
      </c>
      <c r="F28" s="265">
        <v>0</v>
      </c>
      <c r="G28" s="265">
        <v>0</v>
      </c>
      <c r="H28" s="265">
        <v>1</v>
      </c>
      <c r="I28" s="265">
        <v>0</v>
      </c>
      <c r="J28" s="265">
        <v>0</v>
      </c>
      <c r="L28" s="285">
        <v>44004</v>
      </c>
      <c r="M28" s="265" t="s">
        <v>144</v>
      </c>
      <c r="N28" s="265">
        <v>0</v>
      </c>
      <c r="O28" s="265">
        <v>1</v>
      </c>
      <c r="Q28" s="293" t="s">
        <v>134</v>
      </c>
      <c r="R28" s="294">
        <v>2</v>
      </c>
      <c r="S28" s="295">
        <v>3</v>
      </c>
      <c r="T28" s="296">
        <v>0.4</v>
      </c>
      <c r="U28" s="151">
        <f t="shared" ca="1" si="1"/>
        <v>19.327421570447836</v>
      </c>
      <c r="V28" s="264" t="str">
        <f>PLANTILLA!D10</f>
        <v>K. Polyukhov</v>
      </c>
      <c r="W28" s="88">
        <f ca="1">PLANTILLA!AH10</f>
        <v>20.901602128008257</v>
      </c>
    </row>
    <row r="29" spans="1:23" x14ac:dyDescent="0.25">
      <c r="A29" s="285">
        <v>44018</v>
      </c>
      <c r="B29" s="265">
        <v>662376969</v>
      </c>
      <c r="C29" s="265">
        <v>15</v>
      </c>
      <c r="D29" s="265">
        <v>8</v>
      </c>
      <c r="E29" s="265">
        <v>1</v>
      </c>
      <c r="F29" s="265">
        <v>0</v>
      </c>
      <c r="G29" s="265">
        <v>0</v>
      </c>
      <c r="H29" s="265">
        <v>0</v>
      </c>
      <c r="I29" s="265">
        <v>1</v>
      </c>
      <c r="J29" s="265">
        <v>0</v>
      </c>
      <c r="L29" s="285">
        <v>44005</v>
      </c>
      <c r="M29" s="265" t="s">
        <v>130</v>
      </c>
      <c r="N29" s="265">
        <v>0</v>
      </c>
      <c r="O29" s="265">
        <v>1</v>
      </c>
      <c r="Q29" s="293" t="s">
        <v>139</v>
      </c>
      <c r="R29" s="294">
        <v>3</v>
      </c>
      <c r="S29" s="295">
        <v>7</v>
      </c>
      <c r="T29" s="296">
        <v>0.3</v>
      </c>
      <c r="U29" s="151">
        <f t="shared" ca="1" si="1"/>
        <v>20.045167927814546</v>
      </c>
      <c r="V29" s="264" t="str">
        <f>PLANTILLA!D16</f>
        <v>I. Vanags</v>
      </c>
      <c r="W29" s="88">
        <f ca="1">PLANTILLA!AH16</f>
        <v>14.39867187705657</v>
      </c>
    </row>
    <row r="30" spans="1:23" x14ac:dyDescent="0.25">
      <c r="A30" s="285">
        <v>44019</v>
      </c>
      <c r="B30" s="265">
        <v>18799322</v>
      </c>
      <c r="C30" s="265">
        <v>15</v>
      </c>
      <c r="D30" s="265">
        <v>10</v>
      </c>
      <c r="E30" s="265">
        <v>3</v>
      </c>
      <c r="F30" s="265">
        <v>1</v>
      </c>
      <c r="G30" s="265">
        <v>0</v>
      </c>
      <c r="H30" s="265">
        <v>1</v>
      </c>
      <c r="I30" s="265">
        <v>1</v>
      </c>
      <c r="J30" s="265">
        <v>0</v>
      </c>
      <c r="L30" s="285">
        <v>44007</v>
      </c>
      <c r="M30" s="265" t="s">
        <v>150</v>
      </c>
      <c r="N30" s="265">
        <v>2</v>
      </c>
      <c r="O30" s="265">
        <v>0</v>
      </c>
      <c r="Q30" s="293" t="s">
        <v>130</v>
      </c>
      <c r="R30" s="294">
        <v>0</v>
      </c>
      <c r="S30" s="295">
        <v>1</v>
      </c>
      <c r="T30" s="296">
        <v>0</v>
      </c>
      <c r="U30" s="151" t="e">
        <f t="shared" si="1"/>
        <v>#N/A</v>
      </c>
      <c r="V30" s="264" t="str">
        <f>PLANTILLA!D17</f>
        <v>I. Stone</v>
      </c>
      <c r="W30" s="88">
        <f ca="1">PLANTILLA!AH17</f>
        <v>22.963888619004457</v>
      </c>
    </row>
    <row r="31" spans="1:23" x14ac:dyDescent="0.25">
      <c r="A31" s="285">
        <v>44021</v>
      </c>
      <c r="B31" s="265">
        <v>663163558</v>
      </c>
      <c r="C31" s="265">
        <v>14</v>
      </c>
      <c r="D31" s="265">
        <v>8</v>
      </c>
      <c r="E31" s="265">
        <v>3</v>
      </c>
      <c r="F31" s="265">
        <v>1</v>
      </c>
      <c r="G31" s="265">
        <v>1</v>
      </c>
      <c r="H31" s="265">
        <v>1</v>
      </c>
      <c r="I31" s="265">
        <v>0</v>
      </c>
      <c r="J31" s="265">
        <v>0</v>
      </c>
      <c r="L31" s="285">
        <v>44007</v>
      </c>
      <c r="M31" s="265" t="s">
        <v>152</v>
      </c>
      <c r="N31" s="265">
        <v>1</v>
      </c>
      <c r="O31" s="265">
        <v>0</v>
      </c>
      <c r="Q31" s="293" t="s">
        <v>530</v>
      </c>
      <c r="R31" s="294">
        <v>0</v>
      </c>
      <c r="S31" s="295">
        <v>2</v>
      </c>
      <c r="T31" s="296">
        <v>0</v>
      </c>
      <c r="U31" s="151" t="e">
        <f t="shared" si="1"/>
        <v>#N/A</v>
      </c>
      <c r="V31" s="264" t="str">
        <f>PLANTILLA!D18</f>
        <v>G. Piscaer</v>
      </c>
      <c r="W31" s="88">
        <f ca="1">PLANTILLA!AH18</f>
        <v>21.458966879228122</v>
      </c>
    </row>
    <row r="32" spans="1:23" x14ac:dyDescent="0.25">
      <c r="A32" s="285">
        <v>44021</v>
      </c>
      <c r="B32" s="265">
        <v>18799331</v>
      </c>
      <c r="C32" s="265">
        <v>15</v>
      </c>
      <c r="D32" s="265">
        <v>10</v>
      </c>
      <c r="E32" s="265">
        <v>3</v>
      </c>
      <c r="F32" s="265">
        <v>1</v>
      </c>
      <c r="G32" s="265">
        <v>0</v>
      </c>
      <c r="H32" s="265">
        <v>1</v>
      </c>
      <c r="I32" s="265">
        <v>0</v>
      </c>
      <c r="J32" s="265">
        <v>1</v>
      </c>
      <c r="L32" s="285">
        <v>44010</v>
      </c>
      <c r="M32" s="265" t="s">
        <v>136</v>
      </c>
      <c r="N32" s="265">
        <v>1</v>
      </c>
      <c r="O32" s="265">
        <v>0</v>
      </c>
      <c r="Q32" s="293" t="s">
        <v>159</v>
      </c>
      <c r="R32" s="294">
        <v>0</v>
      </c>
      <c r="S32" s="295">
        <v>1</v>
      </c>
      <c r="T32" s="296">
        <v>0</v>
      </c>
      <c r="U32" s="151" t="e">
        <f t="shared" si="1"/>
        <v>#N/A</v>
      </c>
      <c r="V32" s="264" t="str">
        <f>PLANTILLA!D19</f>
        <v>M. Bondarewski</v>
      </c>
      <c r="W32" s="88">
        <f ca="1">PLANTILLA!AH19</f>
        <v>20.111149786477327</v>
      </c>
    </row>
    <row r="33" spans="1:23" x14ac:dyDescent="0.25">
      <c r="A33" s="285">
        <v>44024</v>
      </c>
      <c r="B33" s="265">
        <v>18799339</v>
      </c>
      <c r="C33" s="265">
        <v>15</v>
      </c>
      <c r="D33" s="265">
        <v>10</v>
      </c>
      <c r="E33" s="265">
        <v>2</v>
      </c>
      <c r="F33" s="265">
        <v>1</v>
      </c>
      <c r="G33" s="265">
        <v>0</v>
      </c>
      <c r="H33" s="265">
        <v>0</v>
      </c>
      <c r="I33" s="265">
        <v>1</v>
      </c>
      <c r="J33" s="265">
        <v>0</v>
      </c>
      <c r="L33" s="285">
        <v>44010</v>
      </c>
      <c r="M33" s="265" t="s">
        <v>150</v>
      </c>
      <c r="N33" s="265">
        <v>1</v>
      </c>
      <c r="O33" s="265">
        <v>0</v>
      </c>
      <c r="Q33" s="302" t="s">
        <v>190</v>
      </c>
      <c r="R33" s="303">
        <v>69</v>
      </c>
      <c r="S33" s="304">
        <v>59</v>
      </c>
      <c r="T33" s="305">
        <v>0.5390625</v>
      </c>
      <c r="V33" s="264">
        <f>PLANTILLA!D20</f>
        <v>0</v>
      </c>
      <c r="W33" s="88">
        <f>PLANTILLA!AH20</f>
        <v>0</v>
      </c>
    </row>
    <row r="34" spans="1:23" x14ac:dyDescent="0.25">
      <c r="A34" s="285">
        <v>44025</v>
      </c>
      <c r="B34" s="265">
        <v>662376971</v>
      </c>
      <c r="C34" s="265">
        <v>15</v>
      </c>
      <c r="D34" s="265">
        <v>7</v>
      </c>
      <c r="E34" s="265">
        <v>4</v>
      </c>
      <c r="F34" s="265">
        <v>0</v>
      </c>
      <c r="G34" s="265">
        <v>0</v>
      </c>
      <c r="H34" s="265">
        <v>2</v>
      </c>
      <c r="I34" s="265">
        <v>2</v>
      </c>
      <c r="J34" s="265">
        <v>0</v>
      </c>
      <c r="L34" s="285">
        <v>44012</v>
      </c>
      <c r="M34" s="265" t="s">
        <v>150</v>
      </c>
      <c r="N34" s="265">
        <v>1</v>
      </c>
      <c r="O34" s="265">
        <v>0</v>
      </c>
      <c r="V34" s="264">
        <f>PLANTILLA!D21</f>
        <v>0</v>
      </c>
      <c r="W34" s="88">
        <f>PLANTILLA!AH21</f>
        <v>0</v>
      </c>
    </row>
    <row r="35" spans="1:23" x14ac:dyDescent="0.25">
      <c r="A35" s="285">
        <v>44026</v>
      </c>
      <c r="B35" s="265">
        <v>18799345</v>
      </c>
      <c r="C35" s="265">
        <v>15</v>
      </c>
      <c r="D35" s="265">
        <v>10</v>
      </c>
      <c r="E35" s="265">
        <v>2</v>
      </c>
      <c r="F35" s="265">
        <v>1</v>
      </c>
      <c r="G35" s="265">
        <v>0</v>
      </c>
      <c r="H35" s="265">
        <v>0</v>
      </c>
      <c r="I35" s="265">
        <v>1</v>
      </c>
      <c r="J35" s="265">
        <v>0</v>
      </c>
      <c r="L35" s="285">
        <v>44012</v>
      </c>
      <c r="M35" s="265" t="s">
        <v>157</v>
      </c>
      <c r="N35" s="265">
        <v>1</v>
      </c>
      <c r="O35" s="265">
        <v>0</v>
      </c>
      <c r="V35" s="264">
        <f>PLANTILLA!D22</f>
        <v>0</v>
      </c>
      <c r="W35" s="88">
        <f>PLANTILLA!AH22</f>
        <v>0</v>
      </c>
    </row>
    <row r="36" spans="1:23" x14ac:dyDescent="0.25">
      <c r="A36" s="285">
        <v>44028</v>
      </c>
      <c r="B36" s="265">
        <v>663238565</v>
      </c>
      <c r="C36" s="265">
        <v>15</v>
      </c>
      <c r="D36" s="265">
        <v>9</v>
      </c>
      <c r="E36" s="265">
        <v>3</v>
      </c>
      <c r="F36" s="265">
        <v>0</v>
      </c>
      <c r="G36" s="265">
        <v>1</v>
      </c>
      <c r="H36" s="265">
        <v>1</v>
      </c>
      <c r="I36" s="265">
        <v>1</v>
      </c>
      <c r="J36" s="265">
        <v>0</v>
      </c>
      <c r="L36" s="285">
        <v>44012</v>
      </c>
      <c r="M36" s="265" t="s">
        <v>144</v>
      </c>
      <c r="N36" s="265">
        <v>0</v>
      </c>
      <c r="O36" s="265">
        <v>1</v>
      </c>
      <c r="V36" s="264">
        <f>PLANTILLA!D23</f>
        <v>0</v>
      </c>
      <c r="W36" s="88">
        <f>PLANTILLA!AH23</f>
        <v>0</v>
      </c>
    </row>
    <row r="37" spans="1:23" x14ac:dyDescent="0.25">
      <c r="A37" s="285">
        <v>44028</v>
      </c>
      <c r="B37" s="265">
        <v>18799355</v>
      </c>
      <c r="C37" s="265">
        <v>16</v>
      </c>
      <c r="D37" s="265">
        <v>10</v>
      </c>
      <c r="E37" s="265">
        <v>2</v>
      </c>
      <c r="F37" s="265">
        <v>0</v>
      </c>
      <c r="G37" s="265">
        <v>0</v>
      </c>
      <c r="H37" s="265">
        <v>2</v>
      </c>
      <c r="I37" s="265">
        <v>0</v>
      </c>
      <c r="J37" s="265">
        <v>0</v>
      </c>
      <c r="L37" s="285">
        <v>44014</v>
      </c>
      <c r="M37" s="265" t="s">
        <v>142</v>
      </c>
      <c r="N37" s="265">
        <v>1</v>
      </c>
      <c r="O37" s="265">
        <v>0</v>
      </c>
    </row>
    <row r="38" spans="1:23" x14ac:dyDescent="0.25">
      <c r="A38" s="285">
        <v>44031</v>
      </c>
      <c r="B38" s="265">
        <v>18799359</v>
      </c>
      <c r="C38" s="265">
        <v>15</v>
      </c>
      <c r="D38" s="265">
        <v>7</v>
      </c>
      <c r="E38" s="265">
        <v>2</v>
      </c>
      <c r="F38" s="265">
        <v>2</v>
      </c>
      <c r="G38" s="265">
        <v>0</v>
      </c>
      <c r="H38" s="265">
        <v>0</v>
      </c>
      <c r="I38" s="265">
        <v>0</v>
      </c>
      <c r="J38" s="265">
        <v>0</v>
      </c>
      <c r="L38" s="285">
        <v>44014</v>
      </c>
      <c r="M38" s="265" t="s">
        <v>139</v>
      </c>
      <c r="N38" s="265">
        <v>0</v>
      </c>
      <c r="O38" s="265">
        <v>1</v>
      </c>
    </row>
    <row r="39" spans="1:23" x14ac:dyDescent="0.25">
      <c r="A39" s="285">
        <v>44033</v>
      </c>
      <c r="B39" s="265">
        <v>18799373</v>
      </c>
      <c r="C39" s="265">
        <v>15</v>
      </c>
      <c r="D39" s="265">
        <v>10</v>
      </c>
      <c r="E39" s="265">
        <v>4</v>
      </c>
      <c r="F39" s="265">
        <v>2</v>
      </c>
      <c r="G39" s="265">
        <v>1</v>
      </c>
      <c r="H39" s="265">
        <v>0</v>
      </c>
      <c r="I39" s="265">
        <v>1</v>
      </c>
      <c r="J39" s="265">
        <v>0</v>
      </c>
      <c r="L39" s="285">
        <v>44014</v>
      </c>
      <c r="M39" s="265" t="s">
        <v>157</v>
      </c>
      <c r="N39" s="265">
        <v>0</v>
      </c>
      <c r="O39" s="265">
        <v>1</v>
      </c>
    </row>
    <row r="40" spans="1:23" x14ac:dyDescent="0.25">
      <c r="A40" s="285">
        <v>44035</v>
      </c>
      <c r="B40" s="265">
        <v>663312307</v>
      </c>
      <c r="C40" s="265">
        <v>15</v>
      </c>
      <c r="D40" s="265">
        <v>7</v>
      </c>
      <c r="E40" s="265">
        <v>2</v>
      </c>
      <c r="F40" s="265">
        <v>0</v>
      </c>
      <c r="G40" s="265">
        <v>0</v>
      </c>
      <c r="H40" s="265">
        <v>1</v>
      </c>
      <c r="I40" s="265">
        <v>1</v>
      </c>
      <c r="J40" s="265">
        <v>0</v>
      </c>
      <c r="L40" s="285">
        <v>44014</v>
      </c>
      <c r="M40" s="265" t="s">
        <v>158</v>
      </c>
      <c r="N40" s="265">
        <v>1</v>
      </c>
      <c r="O40" s="265">
        <v>0</v>
      </c>
    </row>
    <row r="41" spans="1:23" x14ac:dyDescent="0.25">
      <c r="A41" s="285">
        <v>44035</v>
      </c>
      <c r="B41" s="265">
        <v>18799375</v>
      </c>
      <c r="C41" s="265">
        <v>16</v>
      </c>
      <c r="D41" s="265">
        <v>6</v>
      </c>
      <c r="E41" s="265">
        <v>1</v>
      </c>
      <c r="F41" s="265">
        <v>0</v>
      </c>
      <c r="G41" s="265">
        <v>0</v>
      </c>
      <c r="H41" s="265">
        <v>0</v>
      </c>
      <c r="I41" s="265">
        <v>0</v>
      </c>
      <c r="J41" s="265">
        <v>1</v>
      </c>
      <c r="L41" s="285">
        <v>44014</v>
      </c>
      <c r="M41" s="265" t="s">
        <v>134</v>
      </c>
      <c r="N41" s="265">
        <v>1</v>
      </c>
      <c r="O41" s="265">
        <v>0</v>
      </c>
    </row>
    <row r="42" spans="1:23" x14ac:dyDescent="0.25">
      <c r="A42" s="285">
        <v>44038</v>
      </c>
      <c r="B42" s="265">
        <v>18799390</v>
      </c>
      <c r="C42" s="265">
        <v>16</v>
      </c>
      <c r="D42" s="265">
        <v>7</v>
      </c>
      <c r="E42" s="265">
        <v>2</v>
      </c>
      <c r="F42" s="265">
        <v>1</v>
      </c>
      <c r="G42" s="265">
        <v>0</v>
      </c>
      <c r="H42" s="265">
        <v>1</v>
      </c>
      <c r="I42" s="265">
        <v>0</v>
      </c>
      <c r="J42" s="265">
        <v>0</v>
      </c>
      <c r="L42" s="285">
        <v>44014</v>
      </c>
      <c r="M42" s="265" t="s">
        <v>144</v>
      </c>
      <c r="N42" s="265">
        <v>0</v>
      </c>
      <c r="O42" s="265">
        <v>1</v>
      </c>
    </row>
    <row r="43" spans="1:23" x14ac:dyDescent="0.25">
      <c r="A43" s="285">
        <v>44040</v>
      </c>
      <c r="B43" s="265">
        <v>18799400</v>
      </c>
      <c r="C43" s="265">
        <v>15</v>
      </c>
      <c r="D43" s="265">
        <v>5</v>
      </c>
      <c r="E43" s="265">
        <v>1</v>
      </c>
      <c r="F43" s="265">
        <v>0</v>
      </c>
      <c r="G43" s="265">
        <v>1</v>
      </c>
      <c r="H43" s="265">
        <v>0</v>
      </c>
      <c r="I43" s="265">
        <v>0</v>
      </c>
      <c r="J43" s="265">
        <v>0</v>
      </c>
      <c r="L43" s="285">
        <v>44017</v>
      </c>
      <c r="M43" s="265" t="s">
        <v>154</v>
      </c>
      <c r="N43" s="265">
        <v>0</v>
      </c>
      <c r="O43" s="265">
        <v>1</v>
      </c>
    </row>
    <row r="44" spans="1:23" x14ac:dyDescent="0.25">
      <c r="A44" s="285">
        <v>44042</v>
      </c>
      <c r="B44" s="265">
        <v>663388126</v>
      </c>
      <c r="C44" s="265">
        <v>16</v>
      </c>
      <c r="D44" s="265">
        <v>8</v>
      </c>
      <c r="E44" s="265">
        <v>2</v>
      </c>
      <c r="F44" s="265">
        <v>0</v>
      </c>
      <c r="G44" s="265">
        <v>0</v>
      </c>
      <c r="H44" s="265">
        <v>2</v>
      </c>
      <c r="I44" s="265">
        <v>0</v>
      </c>
      <c r="J44" s="265">
        <v>0</v>
      </c>
      <c r="L44" s="285">
        <v>44018</v>
      </c>
      <c r="M44" s="265" t="s">
        <v>157</v>
      </c>
      <c r="N44" s="265">
        <v>1</v>
      </c>
      <c r="O44" s="265">
        <v>0</v>
      </c>
    </row>
    <row r="45" spans="1:23" x14ac:dyDescent="0.25">
      <c r="A45" s="285">
        <v>44042</v>
      </c>
      <c r="B45" s="265">
        <v>18799398</v>
      </c>
      <c r="C45" s="265">
        <v>16</v>
      </c>
      <c r="D45" s="265">
        <v>7</v>
      </c>
      <c r="E45" s="265">
        <v>2</v>
      </c>
      <c r="F45" s="265">
        <v>0</v>
      </c>
      <c r="G45" s="265">
        <v>0</v>
      </c>
      <c r="H45" s="265">
        <v>1</v>
      </c>
      <c r="I45" s="265">
        <v>1</v>
      </c>
      <c r="J45" s="265">
        <v>0</v>
      </c>
      <c r="L45" s="285">
        <v>44019</v>
      </c>
      <c r="M45" s="265" t="s">
        <v>157</v>
      </c>
      <c r="N45" s="265">
        <v>1</v>
      </c>
      <c r="O45" s="265">
        <v>0</v>
      </c>
    </row>
    <row r="46" spans="1:23" x14ac:dyDescent="0.25">
      <c r="A46" s="285">
        <v>44047</v>
      </c>
      <c r="B46" s="265">
        <v>18799416</v>
      </c>
      <c r="C46" s="265">
        <v>16</v>
      </c>
      <c r="D46" s="265">
        <v>8</v>
      </c>
      <c r="E46" s="265">
        <v>3</v>
      </c>
      <c r="F46" s="265">
        <v>1</v>
      </c>
      <c r="G46" s="265">
        <v>0</v>
      </c>
      <c r="H46" s="265">
        <v>1</v>
      </c>
      <c r="I46" s="265">
        <v>1</v>
      </c>
      <c r="J46" s="265">
        <v>0</v>
      </c>
      <c r="L46" s="285">
        <v>44019</v>
      </c>
      <c r="M46" s="265" t="s">
        <v>132</v>
      </c>
      <c r="N46" s="265">
        <v>1</v>
      </c>
      <c r="O46" s="265">
        <v>1</v>
      </c>
    </row>
    <row r="47" spans="1:23" x14ac:dyDescent="0.25">
      <c r="A47" s="285">
        <v>44049</v>
      </c>
      <c r="B47" s="265">
        <v>663465755</v>
      </c>
      <c r="C47" s="265">
        <v>16</v>
      </c>
      <c r="D47" s="265">
        <v>8</v>
      </c>
      <c r="E47" s="265">
        <v>2</v>
      </c>
      <c r="F47" s="265">
        <v>0</v>
      </c>
      <c r="G47" s="265">
        <v>1</v>
      </c>
      <c r="H47" s="265">
        <v>0</v>
      </c>
      <c r="I47" s="265">
        <v>1</v>
      </c>
      <c r="J47" s="265">
        <v>0</v>
      </c>
      <c r="L47" s="285">
        <v>44019</v>
      </c>
      <c r="M47" s="265" t="s">
        <v>144</v>
      </c>
      <c r="N47" s="265">
        <v>1</v>
      </c>
      <c r="O47" s="265">
        <v>0</v>
      </c>
    </row>
    <row r="48" spans="1:23" x14ac:dyDescent="0.25">
      <c r="A48" s="285">
        <v>44052</v>
      </c>
      <c r="B48" s="265">
        <v>18799434</v>
      </c>
      <c r="C48" s="265">
        <v>16</v>
      </c>
      <c r="D48" s="265">
        <v>9</v>
      </c>
      <c r="E48" s="265">
        <v>2</v>
      </c>
      <c r="F48" s="265">
        <v>0</v>
      </c>
      <c r="G48" s="265">
        <v>1</v>
      </c>
      <c r="H48" s="265">
        <v>1</v>
      </c>
      <c r="I48" s="265">
        <v>0</v>
      </c>
      <c r="J48" s="265">
        <v>0</v>
      </c>
      <c r="L48" s="285">
        <v>44021</v>
      </c>
      <c r="M48" s="265" t="s">
        <v>136</v>
      </c>
      <c r="N48" s="265">
        <v>0</v>
      </c>
      <c r="O48" s="265">
        <v>1</v>
      </c>
    </row>
    <row r="49" spans="1:15" x14ac:dyDescent="0.25">
      <c r="A49" s="285">
        <v>44053</v>
      </c>
      <c r="B49" s="265">
        <v>662376987</v>
      </c>
      <c r="C49" s="265">
        <v>16</v>
      </c>
      <c r="D49" s="265">
        <v>6</v>
      </c>
      <c r="E49" s="265">
        <v>2</v>
      </c>
      <c r="F49" s="265">
        <v>1</v>
      </c>
      <c r="G49" s="265">
        <v>0</v>
      </c>
      <c r="H49" s="265">
        <v>0</v>
      </c>
      <c r="I49" s="265">
        <v>1</v>
      </c>
      <c r="J49" s="265">
        <v>0</v>
      </c>
      <c r="L49" s="285">
        <v>44021</v>
      </c>
      <c r="M49" s="265" t="s">
        <v>139</v>
      </c>
      <c r="N49" s="265">
        <v>0</v>
      </c>
      <c r="O49" s="265">
        <v>1</v>
      </c>
    </row>
    <row r="50" spans="1:15" x14ac:dyDescent="0.25">
      <c r="A50" s="285">
        <v>44054</v>
      </c>
      <c r="B50" s="265">
        <v>18799443</v>
      </c>
      <c r="C50" s="265">
        <v>17</v>
      </c>
      <c r="D50" s="265">
        <v>10</v>
      </c>
      <c r="E50" s="265">
        <v>2</v>
      </c>
      <c r="F50" s="265">
        <v>0</v>
      </c>
      <c r="G50" s="265">
        <v>0</v>
      </c>
      <c r="H50" s="265">
        <v>1</v>
      </c>
      <c r="I50" s="265">
        <v>1</v>
      </c>
      <c r="J50" s="265">
        <v>0</v>
      </c>
      <c r="L50" s="285">
        <v>44021</v>
      </c>
      <c r="M50" s="265" t="s">
        <v>157</v>
      </c>
      <c r="N50" s="265">
        <v>1</v>
      </c>
      <c r="O50" s="265">
        <v>0</v>
      </c>
    </row>
    <row r="51" spans="1:15" x14ac:dyDescent="0.25">
      <c r="A51" s="285">
        <v>44056</v>
      </c>
      <c r="B51" s="265">
        <v>663544263</v>
      </c>
      <c r="C51" s="265">
        <v>17</v>
      </c>
      <c r="D51" s="265">
        <v>4</v>
      </c>
      <c r="E51" s="265">
        <v>0</v>
      </c>
      <c r="F51" s="265">
        <v>0</v>
      </c>
      <c r="G51" s="265">
        <v>0</v>
      </c>
      <c r="H51" s="265">
        <v>0</v>
      </c>
      <c r="I51" s="265">
        <v>0</v>
      </c>
      <c r="J51" s="265">
        <v>0</v>
      </c>
      <c r="L51" s="285">
        <v>44021</v>
      </c>
      <c r="M51" s="265" t="s">
        <v>148</v>
      </c>
      <c r="N51" s="265">
        <v>0</v>
      </c>
      <c r="O51" s="265">
        <v>1</v>
      </c>
    </row>
    <row r="52" spans="1:15" x14ac:dyDescent="0.25">
      <c r="A52" s="285">
        <v>44056</v>
      </c>
      <c r="B52" s="265">
        <v>18799451</v>
      </c>
      <c r="C52" s="265">
        <v>16</v>
      </c>
      <c r="D52" s="265">
        <v>9</v>
      </c>
      <c r="E52" s="265">
        <v>4</v>
      </c>
      <c r="F52" s="265">
        <v>0</v>
      </c>
      <c r="G52" s="265">
        <v>0</v>
      </c>
      <c r="H52" s="265">
        <v>2</v>
      </c>
      <c r="I52" s="265">
        <v>2</v>
      </c>
      <c r="J52" s="265">
        <v>0</v>
      </c>
      <c r="L52" s="285">
        <v>44021</v>
      </c>
      <c r="M52" s="265" t="s">
        <v>140</v>
      </c>
      <c r="N52" s="265">
        <v>1</v>
      </c>
      <c r="O52" s="265">
        <v>0</v>
      </c>
    </row>
    <row r="53" spans="1:15" x14ac:dyDescent="0.25">
      <c r="A53" s="285">
        <v>44059</v>
      </c>
      <c r="B53" s="265">
        <v>18799458</v>
      </c>
      <c r="C53" s="265">
        <v>16</v>
      </c>
      <c r="D53" s="265">
        <v>10</v>
      </c>
      <c r="E53" s="265">
        <v>4</v>
      </c>
      <c r="F53" s="265">
        <v>1</v>
      </c>
      <c r="G53" s="265">
        <v>1</v>
      </c>
      <c r="H53" s="265">
        <v>1</v>
      </c>
      <c r="I53" s="265">
        <v>1</v>
      </c>
      <c r="J53" s="265">
        <v>0</v>
      </c>
      <c r="L53" s="285">
        <v>44021</v>
      </c>
      <c r="M53" s="265" t="s">
        <v>146</v>
      </c>
      <c r="N53" s="265">
        <v>1</v>
      </c>
      <c r="O53" s="265">
        <v>0</v>
      </c>
    </row>
    <row r="54" spans="1:15" x14ac:dyDescent="0.25">
      <c r="A54" s="285">
        <v>44308</v>
      </c>
      <c r="B54" s="265">
        <v>21910085</v>
      </c>
      <c r="C54" s="265">
        <v>19</v>
      </c>
      <c r="D54" s="265">
        <v>7</v>
      </c>
      <c r="E54" s="265">
        <v>3</v>
      </c>
      <c r="F54" s="265">
        <v>1</v>
      </c>
      <c r="G54" s="265">
        <v>0</v>
      </c>
      <c r="H54" s="265">
        <v>2</v>
      </c>
      <c r="I54" s="265">
        <v>0</v>
      </c>
      <c r="J54" s="265">
        <v>0</v>
      </c>
      <c r="L54" s="285">
        <v>44024</v>
      </c>
      <c r="M54" s="265" t="s">
        <v>139</v>
      </c>
      <c r="N54" s="265">
        <v>1</v>
      </c>
      <c r="O54" s="265">
        <v>1</v>
      </c>
    </row>
    <row r="55" spans="1:15" x14ac:dyDescent="0.25">
      <c r="A55" s="285">
        <v>44307</v>
      </c>
      <c r="B55" s="265">
        <v>2185486</v>
      </c>
      <c r="C55" s="265">
        <v>19</v>
      </c>
      <c r="D55" s="265">
        <v>9</v>
      </c>
      <c r="E55" s="265">
        <v>2</v>
      </c>
      <c r="F55" s="265">
        <v>0</v>
      </c>
      <c r="G55" s="265">
        <v>0</v>
      </c>
      <c r="H55" s="265">
        <v>2</v>
      </c>
      <c r="I55" s="265">
        <v>0</v>
      </c>
      <c r="J55" s="265">
        <v>0</v>
      </c>
      <c r="L55" s="285">
        <v>44024</v>
      </c>
      <c r="M55" s="265" t="s">
        <v>146</v>
      </c>
      <c r="N55" s="265">
        <v>1</v>
      </c>
      <c r="O55" s="265">
        <v>0</v>
      </c>
    </row>
    <row r="56" spans="1:15" x14ac:dyDescent="0.25">
      <c r="A56" s="285">
        <v>44307</v>
      </c>
      <c r="B56" s="265">
        <v>21799788</v>
      </c>
      <c r="C56" s="265">
        <v>19</v>
      </c>
      <c r="D56" s="265">
        <v>8</v>
      </c>
      <c r="E56" s="265">
        <v>1</v>
      </c>
      <c r="F56" s="265">
        <v>0</v>
      </c>
      <c r="G56" s="265">
        <v>0</v>
      </c>
      <c r="H56" s="265">
        <v>1</v>
      </c>
      <c r="I56" s="265">
        <v>0</v>
      </c>
      <c r="J56" s="265">
        <v>0</v>
      </c>
      <c r="L56" s="285">
        <v>44025</v>
      </c>
      <c r="M56" s="265" t="s">
        <v>150</v>
      </c>
      <c r="N56" s="265">
        <v>3</v>
      </c>
      <c r="O56" s="265">
        <v>2</v>
      </c>
    </row>
    <row r="57" spans="1:15" x14ac:dyDescent="0.25">
      <c r="A57" s="285">
        <v>44306</v>
      </c>
      <c r="B57" s="265">
        <v>21744694</v>
      </c>
      <c r="C57" s="265">
        <v>19</v>
      </c>
      <c r="D57" s="265">
        <v>4</v>
      </c>
      <c r="E57" s="265">
        <v>0</v>
      </c>
      <c r="F57" s="265">
        <v>0</v>
      </c>
      <c r="G57" s="265">
        <v>0</v>
      </c>
      <c r="H57" s="265">
        <v>0</v>
      </c>
      <c r="I57" s="265">
        <v>0</v>
      </c>
      <c r="J57" s="265">
        <v>0</v>
      </c>
      <c r="L57" s="285">
        <v>44025</v>
      </c>
      <c r="M57" s="265" t="s">
        <v>152</v>
      </c>
      <c r="N57" s="265">
        <v>2</v>
      </c>
      <c r="O57" s="265">
        <v>1</v>
      </c>
    </row>
    <row r="58" spans="1:15" x14ac:dyDescent="0.25">
      <c r="A58" s="285">
        <v>44306</v>
      </c>
      <c r="B58" s="265">
        <v>21689849</v>
      </c>
      <c r="C58" s="265">
        <v>19</v>
      </c>
      <c r="D58" s="265">
        <v>9</v>
      </c>
      <c r="E58" s="265">
        <v>3</v>
      </c>
      <c r="F58" s="265">
        <v>1</v>
      </c>
      <c r="G58" s="265">
        <v>0</v>
      </c>
      <c r="H58" s="265">
        <v>1</v>
      </c>
      <c r="I58" s="265">
        <v>1</v>
      </c>
      <c r="J58" s="265">
        <v>0</v>
      </c>
      <c r="L58" s="285">
        <v>44025</v>
      </c>
      <c r="M58" s="265" t="s">
        <v>148</v>
      </c>
      <c r="N58" s="265">
        <v>1</v>
      </c>
      <c r="O58" s="265">
        <v>1</v>
      </c>
    </row>
    <row r="59" spans="1:15" x14ac:dyDescent="0.25">
      <c r="A59" s="285">
        <v>44305</v>
      </c>
      <c r="B59" s="265">
        <v>21013089</v>
      </c>
      <c r="C59" s="265">
        <v>19</v>
      </c>
      <c r="D59" s="265">
        <v>5</v>
      </c>
      <c r="E59" s="265">
        <v>2</v>
      </c>
      <c r="F59" s="265">
        <v>0</v>
      </c>
      <c r="G59" s="265">
        <v>0</v>
      </c>
      <c r="H59" s="265">
        <v>2</v>
      </c>
      <c r="I59" s="265">
        <v>0</v>
      </c>
      <c r="J59" s="265">
        <v>0</v>
      </c>
      <c r="L59" s="285">
        <v>44025</v>
      </c>
      <c r="M59" s="265" t="s">
        <v>144</v>
      </c>
      <c r="N59" s="265">
        <v>1</v>
      </c>
      <c r="O59" s="265">
        <v>0</v>
      </c>
    </row>
    <row r="60" spans="1:15" x14ac:dyDescent="0.25">
      <c r="A60" s="285">
        <v>44305</v>
      </c>
      <c r="B60" s="265">
        <v>21634050</v>
      </c>
      <c r="C60" s="265">
        <v>19</v>
      </c>
      <c r="D60" s="265">
        <v>5</v>
      </c>
      <c r="E60" s="265">
        <v>2</v>
      </c>
      <c r="F60" s="265">
        <v>0</v>
      </c>
      <c r="G60" s="265">
        <v>1</v>
      </c>
      <c r="H60" s="265">
        <v>0</v>
      </c>
      <c r="I60" s="265">
        <v>1</v>
      </c>
      <c r="J60" s="265">
        <v>0</v>
      </c>
      <c r="L60" s="285">
        <v>44026</v>
      </c>
      <c r="M60" s="265" t="s">
        <v>139</v>
      </c>
      <c r="N60" s="265">
        <v>0</v>
      </c>
      <c r="O60" s="265">
        <v>1</v>
      </c>
    </row>
    <row r="61" spans="1:15" x14ac:dyDescent="0.25">
      <c r="A61" s="285">
        <v>44306</v>
      </c>
      <c r="B61" s="265">
        <v>21689849</v>
      </c>
      <c r="C61" s="265">
        <v>19</v>
      </c>
      <c r="D61" s="265">
        <v>9</v>
      </c>
      <c r="E61" s="265">
        <v>3</v>
      </c>
      <c r="F61" s="265">
        <v>1</v>
      </c>
      <c r="G61" s="265">
        <v>0</v>
      </c>
      <c r="H61" s="265">
        <v>1</v>
      </c>
      <c r="I61" s="265">
        <v>1</v>
      </c>
      <c r="J61" s="265">
        <v>0</v>
      </c>
      <c r="L61" s="285">
        <v>44026</v>
      </c>
      <c r="M61" s="265" t="s">
        <v>146</v>
      </c>
      <c r="N61" s="265">
        <v>1</v>
      </c>
      <c r="O61" s="265">
        <v>1</v>
      </c>
    </row>
    <row r="62" spans="1:15" x14ac:dyDescent="0.25">
      <c r="A62" s="285">
        <v>44306</v>
      </c>
      <c r="B62" s="265">
        <v>21744694</v>
      </c>
      <c r="C62" s="265">
        <v>19</v>
      </c>
      <c r="D62" s="265">
        <v>4</v>
      </c>
      <c r="E62" s="265">
        <v>0</v>
      </c>
      <c r="F62" s="265">
        <v>0</v>
      </c>
      <c r="G62" s="265">
        <v>0</v>
      </c>
      <c r="H62" s="265">
        <v>0</v>
      </c>
      <c r="I62" s="265">
        <v>0</v>
      </c>
      <c r="J62" s="265">
        <v>0</v>
      </c>
      <c r="L62" s="285">
        <v>44028</v>
      </c>
      <c r="M62" s="265" t="s">
        <v>157</v>
      </c>
      <c r="N62" s="265">
        <v>1</v>
      </c>
      <c r="O62" s="265">
        <v>2</v>
      </c>
    </row>
    <row r="63" spans="1:15" x14ac:dyDescent="0.25">
      <c r="A63" s="285">
        <v>44307</v>
      </c>
      <c r="B63" s="265">
        <v>21799788</v>
      </c>
      <c r="C63" s="265">
        <v>19</v>
      </c>
      <c r="D63" s="265">
        <v>8</v>
      </c>
      <c r="E63" s="265">
        <v>1</v>
      </c>
      <c r="F63" s="265">
        <v>0</v>
      </c>
      <c r="G63" s="265">
        <v>0</v>
      </c>
      <c r="H63" s="265">
        <v>1</v>
      </c>
      <c r="I63" s="265">
        <v>0</v>
      </c>
      <c r="J63" s="265">
        <v>0</v>
      </c>
      <c r="L63" s="285">
        <v>44028</v>
      </c>
      <c r="M63" s="265" t="s">
        <v>152</v>
      </c>
      <c r="N63" s="265">
        <v>1</v>
      </c>
      <c r="O63" s="265">
        <v>0</v>
      </c>
    </row>
    <row r="64" spans="1:15" x14ac:dyDescent="0.25">
      <c r="A64" s="285">
        <v>44307</v>
      </c>
      <c r="B64" s="523">
        <v>21854386</v>
      </c>
      <c r="C64" s="265">
        <v>19</v>
      </c>
      <c r="D64" s="265">
        <v>9</v>
      </c>
      <c r="E64" s="265">
        <v>2</v>
      </c>
      <c r="F64" s="265">
        <v>0</v>
      </c>
      <c r="G64" s="265">
        <v>0</v>
      </c>
      <c r="H64" s="265">
        <v>2</v>
      </c>
      <c r="I64" s="265">
        <v>0</v>
      </c>
      <c r="J64" s="265">
        <v>0</v>
      </c>
      <c r="L64" s="285">
        <v>44028</v>
      </c>
      <c r="M64" s="265" t="s">
        <v>134</v>
      </c>
      <c r="N64" s="265">
        <v>1</v>
      </c>
      <c r="O64" s="265">
        <v>0</v>
      </c>
    </row>
    <row r="65" spans="1:15" x14ac:dyDescent="0.25">
      <c r="A65" s="285">
        <v>44308</v>
      </c>
      <c r="B65" s="265">
        <v>21910085</v>
      </c>
      <c r="C65" s="265">
        <v>19</v>
      </c>
      <c r="D65" s="265">
        <v>7</v>
      </c>
      <c r="E65" s="265">
        <v>3</v>
      </c>
      <c r="F65" s="265">
        <v>1</v>
      </c>
      <c r="G65" s="265">
        <v>0</v>
      </c>
      <c r="H65" s="265">
        <v>2</v>
      </c>
      <c r="I65" s="265">
        <v>0</v>
      </c>
      <c r="J65" s="265">
        <v>0</v>
      </c>
      <c r="L65" s="285">
        <v>44031</v>
      </c>
      <c r="M65" s="265" t="s">
        <v>139</v>
      </c>
      <c r="N65" s="265">
        <v>1</v>
      </c>
      <c r="O65" s="265">
        <v>0</v>
      </c>
    </row>
    <row r="66" spans="1:15" x14ac:dyDescent="0.25">
      <c r="L66" s="285">
        <v>44031</v>
      </c>
      <c r="M66" s="265" t="s">
        <v>140</v>
      </c>
      <c r="N66" s="265">
        <v>1</v>
      </c>
      <c r="O66" s="265">
        <v>0</v>
      </c>
    </row>
    <row r="67" spans="1:15" x14ac:dyDescent="0.25">
      <c r="L67" s="285">
        <v>44033</v>
      </c>
      <c r="M67" s="265" t="s">
        <v>136</v>
      </c>
      <c r="N67" s="265">
        <v>1</v>
      </c>
      <c r="O67" s="265">
        <v>0</v>
      </c>
    </row>
    <row r="68" spans="1:15" x14ac:dyDescent="0.25">
      <c r="L68" s="285">
        <v>44033</v>
      </c>
      <c r="M68" s="265" t="s">
        <v>154</v>
      </c>
      <c r="N68" s="265">
        <v>0</v>
      </c>
      <c r="O68" s="265">
        <v>1</v>
      </c>
    </row>
    <row r="69" spans="1:15" x14ac:dyDescent="0.25">
      <c r="L69" s="285">
        <v>44033</v>
      </c>
      <c r="M69" s="265" t="s">
        <v>140</v>
      </c>
      <c r="N69" s="265">
        <v>1</v>
      </c>
      <c r="O69" s="265">
        <v>1</v>
      </c>
    </row>
    <row r="70" spans="1:15" x14ac:dyDescent="0.25">
      <c r="L70" s="285">
        <v>44035</v>
      </c>
      <c r="M70" s="265" t="s">
        <v>157</v>
      </c>
      <c r="N70" s="265">
        <v>1</v>
      </c>
      <c r="O70" s="265">
        <v>0</v>
      </c>
    </row>
    <row r="71" spans="1:15" x14ac:dyDescent="0.25">
      <c r="L71" s="285">
        <v>44035</v>
      </c>
      <c r="M71" s="265" t="s">
        <v>152</v>
      </c>
      <c r="N71" s="265">
        <v>1</v>
      </c>
      <c r="O71" s="265">
        <v>0</v>
      </c>
    </row>
    <row r="72" spans="1:15" x14ac:dyDescent="0.25">
      <c r="L72" s="285">
        <v>44035</v>
      </c>
      <c r="M72" s="265" t="s">
        <v>148</v>
      </c>
      <c r="N72" s="265">
        <v>1</v>
      </c>
      <c r="O72" s="265">
        <v>0</v>
      </c>
    </row>
    <row r="73" spans="1:15" x14ac:dyDescent="0.25">
      <c r="L73" s="285">
        <v>44038</v>
      </c>
      <c r="M73" s="265" t="s">
        <v>150</v>
      </c>
      <c r="N73" s="265">
        <v>0</v>
      </c>
      <c r="O73" s="265">
        <v>1</v>
      </c>
    </row>
    <row r="74" spans="1:15" x14ac:dyDescent="0.25">
      <c r="L74" s="285">
        <v>44038</v>
      </c>
      <c r="M74" s="265" t="s">
        <v>139</v>
      </c>
      <c r="N74" s="265">
        <v>0</v>
      </c>
      <c r="O74" s="265">
        <v>1</v>
      </c>
    </row>
    <row r="75" spans="1:15" x14ac:dyDescent="0.25">
      <c r="L75" s="285">
        <v>44040</v>
      </c>
      <c r="M75" s="265" t="s">
        <v>132</v>
      </c>
      <c r="N75" s="265">
        <v>0</v>
      </c>
      <c r="O75" s="265">
        <v>1</v>
      </c>
    </row>
    <row r="76" spans="1:15" x14ac:dyDescent="0.25">
      <c r="L76" s="285">
        <v>44042</v>
      </c>
      <c r="M76" s="265" t="s">
        <v>150</v>
      </c>
      <c r="N76" s="265">
        <v>0</v>
      </c>
      <c r="O76" s="265">
        <v>1</v>
      </c>
    </row>
    <row r="77" spans="1:15" x14ac:dyDescent="0.25">
      <c r="L77" s="285">
        <v>44042</v>
      </c>
      <c r="M77" s="265" t="s">
        <v>157</v>
      </c>
      <c r="N77" s="265">
        <v>0</v>
      </c>
      <c r="O77" s="265">
        <v>2</v>
      </c>
    </row>
    <row r="78" spans="1:15" x14ac:dyDescent="0.25">
      <c r="L78" s="285">
        <v>44042</v>
      </c>
      <c r="M78" s="265" t="s">
        <v>146</v>
      </c>
      <c r="N78" s="265">
        <v>0</v>
      </c>
      <c r="O78" s="265">
        <v>1</v>
      </c>
    </row>
    <row r="79" spans="1:15" x14ac:dyDescent="0.25">
      <c r="L79" s="285">
        <v>44047</v>
      </c>
      <c r="M79" s="265" t="s">
        <v>139</v>
      </c>
      <c r="N79" s="265">
        <v>1</v>
      </c>
      <c r="O79" s="265">
        <v>0</v>
      </c>
    </row>
    <row r="80" spans="1:15" x14ac:dyDescent="0.25">
      <c r="L80" s="285">
        <v>44047</v>
      </c>
      <c r="M80" s="265" t="s">
        <v>157</v>
      </c>
      <c r="N80" s="265">
        <v>1</v>
      </c>
      <c r="O80" s="265">
        <v>0</v>
      </c>
    </row>
    <row r="81" spans="12:15" x14ac:dyDescent="0.25">
      <c r="L81" s="285">
        <v>44047</v>
      </c>
      <c r="M81" s="265" t="s">
        <v>152</v>
      </c>
      <c r="N81" s="265">
        <v>0</v>
      </c>
      <c r="O81" s="265">
        <v>1</v>
      </c>
    </row>
    <row r="82" spans="12:15" x14ac:dyDescent="0.25">
      <c r="L82" s="285">
        <v>44049</v>
      </c>
      <c r="M82" s="265" t="s">
        <v>146</v>
      </c>
      <c r="N82" s="265">
        <v>1</v>
      </c>
      <c r="O82" s="265">
        <v>0</v>
      </c>
    </row>
    <row r="83" spans="12:15" x14ac:dyDescent="0.25">
      <c r="L83" s="285">
        <v>44049</v>
      </c>
      <c r="M83" s="265" t="s">
        <v>132</v>
      </c>
      <c r="N83" s="265">
        <v>0</v>
      </c>
      <c r="O83" s="265">
        <v>1</v>
      </c>
    </row>
    <row r="84" spans="12:15" x14ac:dyDescent="0.25">
      <c r="L84" s="285">
        <v>44053</v>
      </c>
      <c r="M84" s="337" t="s">
        <v>148</v>
      </c>
      <c r="N84" s="265">
        <v>2</v>
      </c>
      <c r="O84" s="265">
        <v>1</v>
      </c>
    </row>
    <row r="85" spans="12:15" x14ac:dyDescent="0.25">
      <c r="L85" s="285">
        <v>44053</v>
      </c>
      <c r="M85" s="337" t="s">
        <v>134</v>
      </c>
      <c r="N85" s="265">
        <v>0</v>
      </c>
      <c r="O85" s="265">
        <v>1</v>
      </c>
    </row>
    <row r="86" spans="12:15" x14ac:dyDescent="0.25">
      <c r="L86" s="285">
        <v>44052</v>
      </c>
      <c r="M86" s="337" t="s">
        <v>132</v>
      </c>
      <c r="N86" s="265">
        <v>1</v>
      </c>
      <c r="O86" s="265">
        <v>0</v>
      </c>
    </row>
    <row r="87" spans="12:15" x14ac:dyDescent="0.25">
      <c r="L87" s="285">
        <v>44052</v>
      </c>
      <c r="M87" s="337" t="s">
        <v>157</v>
      </c>
      <c r="N87" s="265">
        <v>1</v>
      </c>
      <c r="O87" s="265">
        <v>0</v>
      </c>
    </row>
    <row r="88" spans="12:15" x14ac:dyDescent="0.25">
      <c r="L88" s="285">
        <v>44054</v>
      </c>
      <c r="M88" s="337" t="s">
        <v>146</v>
      </c>
      <c r="N88" s="265">
        <v>1</v>
      </c>
      <c r="O88" s="265">
        <v>0</v>
      </c>
    </row>
    <row r="89" spans="12:15" x14ac:dyDescent="0.25">
      <c r="L89" s="285">
        <v>44054</v>
      </c>
      <c r="M89" s="337" t="s">
        <v>150</v>
      </c>
      <c r="N89" s="265">
        <v>0</v>
      </c>
      <c r="O89" s="265">
        <v>1</v>
      </c>
    </row>
    <row r="90" spans="12:15" x14ac:dyDescent="0.25">
      <c r="L90" s="285">
        <v>44056</v>
      </c>
      <c r="M90" s="337" t="s">
        <v>146</v>
      </c>
      <c r="N90" s="337">
        <v>1</v>
      </c>
      <c r="O90" s="337">
        <v>0</v>
      </c>
    </row>
    <row r="91" spans="12:15" x14ac:dyDescent="0.25">
      <c r="L91" s="285">
        <v>44056</v>
      </c>
      <c r="M91" s="337" t="s">
        <v>152</v>
      </c>
      <c r="N91" s="337">
        <v>1</v>
      </c>
      <c r="O91" s="337">
        <v>0</v>
      </c>
    </row>
    <row r="92" spans="12:15" x14ac:dyDescent="0.25">
      <c r="L92" s="285">
        <v>44056</v>
      </c>
      <c r="M92" s="337" t="s">
        <v>157</v>
      </c>
      <c r="N92" s="265">
        <v>0</v>
      </c>
      <c r="O92" s="265">
        <v>1</v>
      </c>
    </row>
    <row r="93" spans="12:15" x14ac:dyDescent="0.25">
      <c r="L93" s="285">
        <v>44056</v>
      </c>
      <c r="M93" s="337" t="s">
        <v>144</v>
      </c>
      <c r="N93" s="337">
        <v>1</v>
      </c>
      <c r="O93" s="337">
        <v>0</v>
      </c>
    </row>
    <row r="94" spans="12:15" x14ac:dyDescent="0.25">
      <c r="L94" s="285">
        <v>44059</v>
      </c>
      <c r="M94" s="337" t="s">
        <v>152</v>
      </c>
      <c r="N94" s="337">
        <v>1</v>
      </c>
      <c r="O94" s="337">
        <v>0</v>
      </c>
    </row>
    <row r="95" spans="12:15" x14ac:dyDescent="0.25">
      <c r="L95" s="285">
        <v>44059</v>
      </c>
      <c r="M95" s="337" t="s">
        <v>157</v>
      </c>
      <c r="N95" s="337">
        <v>1</v>
      </c>
      <c r="O95" s="337">
        <v>0</v>
      </c>
    </row>
    <row r="96" spans="12:15" x14ac:dyDescent="0.25">
      <c r="L96" s="285">
        <v>44059</v>
      </c>
      <c r="M96" s="337" t="s">
        <v>136</v>
      </c>
      <c r="N96" s="337">
        <v>0</v>
      </c>
      <c r="O96" s="337">
        <v>1</v>
      </c>
    </row>
    <row r="97" spans="12:15" x14ac:dyDescent="0.25">
      <c r="L97" s="285">
        <v>44059</v>
      </c>
      <c r="M97" s="337" t="s">
        <v>154</v>
      </c>
      <c r="N97" s="337">
        <v>1</v>
      </c>
      <c r="O97" s="337">
        <v>0</v>
      </c>
    </row>
    <row r="98" spans="12:15" x14ac:dyDescent="0.25">
      <c r="L98" s="285">
        <v>44308</v>
      </c>
      <c r="M98" s="265" t="s">
        <v>530</v>
      </c>
      <c r="N98" s="265">
        <v>0</v>
      </c>
      <c r="O98" s="265">
        <v>1</v>
      </c>
    </row>
    <row r="99" spans="12:15" x14ac:dyDescent="0.25">
      <c r="L99" s="285">
        <v>44306</v>
      </c>
      <c r="M99" s="523" t="s">
        <v>530</v>
      </c>
      <c r="N99" s="523">
        <v>0</v>
      </c>
      <c r="O99" s="523">
        <v>1</v>
      </c>
    </row>
    <row r="100" spans="12:15" x14ac:dyDescent="0.25">
      <c r="L100" s="285">
        <v>44306</v>
      </c>
      <c r="M100" s="523" t="s">
        <v>148</v>
      </c>
      <c r="N100" s="523">
        <v>0</v>
      </c>
      <c r="O100" s="523">
        <v>1</v>
      </c>
    </row>
    <row r="101" spans="12:15" x14ac:dyDescent="0.25">
      <c r="L101" s="285">
        <v>44306</v>
      </c>
      <c r="M101" s="523" t="s">
        <v>139</v>
      </c>
      <c r="N101" s="523">
        <v>0</v>
      </c>
      <c r="O101" s="523">
        <v>1</v>
      </c>
    </row>
    <row r="102" spans="12:15" x14ac:dyDescent="0.25">
      <c r="L102" s="285">
        <v>44307</v>
      </c>
      <c r="M102" s="523" t="s">
        <v>150</v>
      </c>
      <c r="N102" s="523">
        <v>1</v>
      </c>
      <c r="O102" s="523">
        <v>0</v>
      </c>
    </row>
    <row r="103" spans="12:15" x14ac:dyDescent="0.25">
      <c r="L103" s="285">
        <v>44307</v>
      </c>
      <c r="M103" s="523" t="s">
        <v>150</v>
      </c>
      <c r="N103" s="523">
        <v>1</v>
      </c>
      <c r="O103" s="523">
        <v>0</v>
      </c>
    </row>
    <row r="104" spans="12:15" x14ac:dyDescent="0.25">
      <c r="L104" s="285">
        <v>44307</v>
      </c>
      <c r="M104" s="523" t="s">
        <v>152</v>
      </c>
      <c r="N104" s="523">
        <v>0</v>
      </c>
      <c r="O104" s="523">
        <v>1</v>
      </c>
    </row>
    <row r="105" spans="12:15" x14ac:dyDescent="0.25">
      <c r="L105" s="285">
        <v>44308</v>
      </c>
      <c r="M105" s="523" t="s">
        <v>150</v>
      </c>
      <c r="N105" s="265">
        <v>1</v>
      </c>
      <c r="O105" s="265">
        <v>1</v>
      </c>
    </row>
    <row r="106" spans="12:15" x14ac:dyDescent="0.25">
      <c r="L106" s="285">
        <v>44308</v>
      </c>
      <c r="M106" s="523" t="s">
        <v>132</v>
      </c>
      <c r="N106" s="265">
        <v>1</v>
      </c>
      <c r="O106" s="265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8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2" customWidth="1"/>
    <col min="23" max="24" width="5.5703125" customWidth="1"/>
    <col min="25" max="26" width="4.5703125" customWidth="1"/>
  </cols>
  <sheetData>
    <row r="1" spans="1:26" x14ac:dyDescent="0.25">
      <c r="A1" s="73">
        <v>41900</v>
      </c>
      <c r="E1" s="99" t="s">
        <v>274</v>
      </c>
      <c r="F1" s="100" t="s">
        <v>275</v>
      </c>
      <c r="G1" s="8"/>
      <c r="H1" s="8"/>
      <c r="I1" s="101" t="s">
        <v>274</v>
      </c>
      <c r="J1" s="102" t="s">
        <v>275</v>
      </c>
      <c r="P1" s="99" t="s">
        <v>274</v>
      </c>
      <c r="Q1" s="100" t="s">
        <v>275</v>
      </c>
      <c r="R1" s="99"/>
      <c r="S1" s="100"/>
      <c r="W1" s="99" t="s">
        <v>274</v>
      </c>
      <c r="X1" s="100" t="s">
        <v>275</v>
      </c>
      <c r="Y1" s="99"/>
      <c r="Z1" s="100"/>
    </row>
    <row r="2" spans="1:26" x14ac:dyDescent="0.25">
      <c r="A2" s="98" t="s">
        <v>84</v>
      </c>
      <c r="B2" s="98" t="s">
        <v>279</v>
      </c>
      <c r="C2" s="98" t="s">
        <v>280</v>
      </c>
      <c r="D2" s="98" t="s">
        <v>107</v>
      </c>
      <c r="E2" s="99" t="s">
        <v>89</v>
      </c>
      <c r="F2" s="100" t="s">
        <v>89</v>
      </c>
      <c r="G2" s="8" t="s">
        <v>88</v>
      </c>
      <c r="H2" s="8" t="s">
        <v>88</v>
      </c>
      <c r="I2" s="101" t="s">
        <v>182</v>
      </c>
      <c r="J2" s="102" t="s">
        <v>182</v>
      </c>
      <c r="P2" s="99" t="s">
        <v>89</v>
      </c>
      <c r="Q2" s="100" t="s">
        <v>89</v>
      </c>
      <c r="R2" s="99" t="s">
        <v>88</v>
      </c>
      <c r="S2" s="100" t="s">
        <v>88</v>
      </c>
      <c r="W2" s="99" t="s">
        <v>89</v>
      </c>
      <c r="X2" s="100" t="s">
        <v>89</v>
      </c>
      <c r="Y2" s="99" t="s">
        <v>88</v>
      </c>
      <c r="Z2" s="100" t="s">
        <v>88</v>
      </c>
    </row>
    <row r="3" spans="1:26" x14ac:dyDescent="0.25">
      <c r="A3" s="3" t="str">
        <f>PLANTILLA!D5</f>
        <v>I. Shirazi</v>
      </c>
      <c r="B3">
        <f>PLANTILLA!E5</f>
        <v>20</v>
      </c>
      <c r="C3">
        <f>PLANTILLA!H5</f>
        <v>3</v>
      </c>
      <c r="D3" s="71">
        <f>PLANTILLA!I5</f>
        <v>0.5</v>
      </c>
      <c r="E3" s="103">
        <f t="shared" ref="E3:E4" si="0">D3</f>
        <v>0.5</v>
      </c>
      <c r="F3" s="103">
        <f t="shared" ref="F3:F4" si="1">E3+0.1</f>
        <v>0.6</v>
      </c>
      <c r="G3" s="103">
        <f t="shared" ref="G3:G4" si="2">C3</f>
        <v>3</v>
      </c>
      <c r="H3" s="103">
        <f t="shared" ref="H3:H4" si="3">G3+0.99</f>
        <v>3.99</v>
      </c>
      <c r="I3" s="107">
        <f t="shared" ref="I3:I4" si="4">G3*G3*E3</f>
        <v>4.5</v>
      </c>
      <c r="J3" s="107">
        <f t="shared" ref="J3:J4" si="5">H3*H3*F3</f>
        <v>9.5520600000000009</v>
      </c>
      <c r="K3" s="104"/>
      <c r="N3" s="3" t="s">
        <v>182</v>
      </c>
      <c r="O3" t="str">
        <f>A3</f>
        <v>I. Shirazi</v>
      </c>
      <c r="P3" s="105">
        <f>E3</f>
        <v>0.5</v>
      </c>
      <c r="Q3" s="105">
        <f>F3</f>
        <v>0.6</v>
      </c>
      <c r="R3" s="105">
        <f>G3</f>
        <v>3</v>
      </c>
      <c r="S3" s="105">
        <f>H3</f>
        <v>3.99</v>
      </c>
      <c r="U3" s="3" t="s">
        <v>182</v>
      </c>
      <c r="V3" s="52" t="str">
        <f t="shared" ref="V3:V13" si="6">O3</f>
        <v>I. Shirazi</v>
      </c>
      <c r="W3" s="105">
        <f t="shared" ref="W3:W13" si="7">P3</f>
        <v>0.5</v>
      </c>
      <c r="X3" s="105">
        <f t="shared" ref="X3:X13" si="8">Q3</f>
        <v>0.6</v>
      </c>
      <c r="Y3" s="105">
        <f t="shared" ref="Y3:Y13" si="9">R3</f>
        <v>3</v>
      </c>
      <c r="Z3" s="105">
        <f t="shared" ref="Z3:Z13" si="10">S3</f>
        <v>3.99</v>
      </c>
    </row>
    <row r="4" spans="1:26" x14ac:dyDescent="0.25">
      <c r="A4" s="3" t="str">
        <f>PLANTILLA!D4</f>
        <v>L. Guangwei</v>
      </c>
      <c r="B4">
        <f>PLANTILLA!E4</f>
        <v>29</v>
      </c>
      <c r="C4">
        <f>PLANTILLA!H4</f>
        <v>0</v>
      </c>
      <c r="D4" s="71">
        <f>PLANTILLA!I4</f>
        <v>9</v>
      </c>
      <c r="E4" s="103">
        <f t="shared" si="0"/>
        <v>9</v>
      </c>
      <c r="F4" s="103">
        <f t="shared" si="1"/>
        <v>9.1</v>
      </c>
      <c r="G4" s="103">
        <f t="shared" si="2"/>
        <v>0</v>
      </c>
      <c r="H4" s="103">
        <f t="shared" si="3"/>
        <v>0.99</v>
      </c>
      <c r="I4" s="107">
        <f t="shared" si="4"/>
        <v>0</v>
      </c>
      <c r="J4" s="107">
        <f t="shared" si="5"/>
        <v>8.9189099999999986</v>
      </c>
      <c r="K4" s="104"/>
      <c r="O4" t="str">
        <f>A7</f>
        <v>S. Swärdborn</v>
      </c>
      <c r="P4" s="105">
        <f>E7</f>
        <v>8</v>
      </c>
      <c r="Q4" s="105">
        <f>F7</f>
        <v>8.1</v>
      </c>
      <c r="R4" s="105">
        <f>G7</f>
        <v>2</v>
      </c>
      <c r="S4" s="105">
        <f>H7</f>
        <v>2.99</v>
      </c>
      <c r="V4" s="52" t="str">
        <f t="shared" si="6"/>
        <v>S. Swärdborn</v>
      </c>
      <c r="W4" s="105">
        <f t="shared" si="7"/>
        <v>8</v>
      </c>
      <c r="X4" s="105">
        <f t="shared" si="8"/>
        <v>8.1</v>
      </c>
      <c r="Y4" s="105">
        <f t="shared" si="9"/>
        <v>2</v>
      </c>
      <c r="Z4" s="105">
        <f t="shared" si="10"/>
        <v>2.99</v>
      </c>
    </row>
    <row r="5" spans="1:26" x14ac:dyDescent="0.25">
      <c r="A5" s="3" t="str">
        <f>PLANTILLA!D6</f>
        <v>V. Gardner</v>
      </c>
      <c r="B5">
        <f>PLANTILLA!E6</f>
        <v>28</v>
      </c>
      <c r="C5">
        <f>PLANTILLA!H6</f>
        <v>3</v>
      </c>
      <c r="D5" s="71">
        <f>PLANTILLA!I6</f>
        <v>8</v>
      </c>
      <c r="E5" s="103">
        <f t="shared" ref="E5:E28" si="11">D5</f>
        <v>8</v>
      </c>
      <c r="F5" s="103">
        <f t="shared" ref="F5:F28" si="12">E5+0.1</f>
        <v>8.1</v>
      </c>
      <c r="G5" s="103">
        <f t="shared" ref="G5:G28" si="13">C5</f>
        <v>3</v>
      </c>
      <c r="H5" s="103">
        <f t="shared" ref="H5:H28" si="14">G5+0.99</f>
        <v>3.99</v>
      </c>
      <c r="I5" s="107">
        <f t="shared" ref="I5:I28" si="15">G5*G5*E5</f>
        <v>72</v>
      </c>
      <c r="J5" s="107">
        <f t="shared" ref="J5:J28" si="16">H5*H5*F5</f>
        <v>128.95281</v>
      </c>
      <c r="K5" s="104"/>
      <c r="O5" t="str">
        <f>A14</f>
        <v>S. Kariuki</v>
      </c>
      <c r="P5" s="105">
        <f>E14</f>
        <v>9</v>
      </c>
      <c r="Q5" s="105">
        <f>F14</f>
        <v>9.1</v>
      </c>
      <c r="R5" s="105">
        <f>G14</f>
        <v>1</v>
      </c>
      <c r="S5" s="105">
        <f>H14</f>
        <v>1.99</v>
      </c>
      <c r="V5" s="52" t="str">
        <f t="shared" si="6"/>
        <v>S. Kariuki</v>
      </c>
      <c r="W5" s="105">
        <f t="shared" si="7"/>
        <v>9</v>
      </c>
      <c r="X5" s="105">
        <f t="shared" si="8"/>
        <v>9.1</v>
      </c>
      <c r="Y5" s="105">
        <f t="shared" si="9"/>
        <v>1</v>
      </c>
      <c r="Z5" s="105">
        <f t="shared" si="10"/>
        <v>1.99</v>
      </c>
    </row>
    <row r="6" spans="1:26" x14ac:dyDescent="0.25">
      <c r="A6" s="3" t="e">
        <f>PLANTILLA!#REF!</f>
        <v>#REF!</v>
      </c>
      <c r="B6" t="e">
        <f>PLANTILLA!#REF!</f>
        <v>#REF!</v>
      </c>
      <c r="C6" t="e">
        <f>PLANTILLA!#REF!</f>
        <v>#REF!</v>
      </c>
      <c r="D6" s="71" t="e">
        <f>PLANTILLA!#REF!</f>
        <v>#REF!</v>
      </c>
      <c r="E6" s="103" t="e">
        <f t="shared" si="11"/>
        <v>#REF!</v>
      </c>
      <c r="F6" s="103" t="e">
        <f t="shared" si="12"/>
        <v>#REF!</v>
      </c>
      <c r="G6" s="103" t="e">
        <f t="shared" si="13"/>
        <v>#REF!</v>
      </c>
      <c r="H6" s="103" t="e">
        <f t="shared" si="14"/>
        <v>#REF!</v>
      </c>
      <c r="I6" s="107" t="e">
        <f t="shared" si="15"/>
        <v>#REF!</v>
      </c>
      <c r="J6" s="107" t="e">
        <f t="shared" si="16"/>
        <v>#REF!</v>
      </c>
      <c r="K6" s="104"/>
      <c r="O6" t="str">
        <f>A5</f>
        <v>V. Gardner</v>
      </c>
      <c r="P6" s="105">
        <f t="shared" ref="P6:S7" si="17">E5</f>
        <v>8</v>
      </c>
      <c r="Q6" s="105">
        <f t="shared" si="17"/>
        <v>8.1</v>
      </c>
      <c r="R6" s="105">
        <f t="shared" si="17"/>
        <v>3</v>
      </c>
      <c r="S6" s="105">
        <f t="shared" si="17"/>
        <v>3.99</v>
      </c>
      <c r="V6" s="52" t="str">
        <f t="shared" si="6"/>
        <v>V. Gardner</v>
      </c>
      <c r="W6" s="105">
        <f t="shared" si="7"/>
        <v>8</v>
      </c>
      <c r="X6" s="105">
        <f t="shared" si="8"/>
        <v>8.1</v>
      </c>
      <c r="Y6" s="105">
        <f t="shared" si="9"/>
        <v>3</v>
      </c>
      <c r="Z6" s="105">
        <f t="shared" si="10"/>
        <v>3.99</v>
      </c>
    </row>
    <row r="7" spans="1:26" x14ac:dyDescent="0.25">
      <c r="A7" s="3" t="str">
        <f>PLANTILLA!D7</f>
        <v>S. Swärdborn</v>
      </c>
      <c r="B7">
        <f>PLANTILLA!E7</f>
        <v>28</v>
      </c>
      <c r="C7">
        <f>PLANTILLA!H7</f>
        <v>2</v>
      </c>
      <c r="D7" s="71">
        <f>PLANTILLA!I7</f>
        <v>8</v>
      </c>
      <c r="E7" s="103">
        <f t="shared" si="11"/>
        <v>8</v>
      </c>
      <c r="F7" s="103">
        <f t="shared" si="12"/>
        <v>8.1</v>
      </c>
      <c r="G7" s="103">
        <f t="shared" si="13"/>
        <v>2</v>
      </c>
      <c r="H7" s="103">
        <f t="shared" si="14"/>
        <v>2.99</v>
      </c>
      <c r="I7" s="107">
        <f t="shared" si="15"/>
        <v>32</v>
      </c>
      <c r="J7" s="107">
        <f t="shared" si="16"/>
        <v>72.414810000000003</v>
      </c>
      <c r="K7" s="104"/>
      <c r="O7" t="e">
        <f>A6</f>
        <v>#REF!</v>
      </c>
      <c r="P7" s="105" t="e">
        <f t="shared" si="17"/>
        <v>#REF!</v>
      </c>
      <c r="Q7" s="105" t="e">
        <f t="shared" si="17"/>
        <v>#REF!</v>
      </c>
      <c r="R7" s="105" t="e">
        <f t="shared" si="17"/>
        <v>#REF!</v>
      </c>
      <c r="S7" s="105" t="e">
        <f t="shared" si="17"/>
        <v>#REF!</v>
      </c>
      <c r="V7" s="52" t="e">
        <f t="shared" si="6"/>
        <v>#REF!</v>
      </c>
      <c r="W7" s="105" t="e">
        <f t="shared" si="7"/>
        <v>#REF!</v>
      </c>
      <c r="X7" s="105" t="e">
        <f t="shared" si="8"/>
        <v>#REF!</v>
      </c>
      <c r="Y7" s="105" t="e">
        <f t="shared" si="9"/>
        <v>#REF!</v>
      </c>
      <c r="Z7" s="105" t="e">
        <f t="shared" si="10"/>
        <v>#REF!</v>
      </c>
    </row>
    <row r="8" spans="1:26" x14ac:dyDescent="0.25">
      <c r="A8" s="3" t="str">
        <f>PLANTILLA!D8</f>
        <v>A. Grimaud</v>
      </c>
      <c r="B8">
        <f>PLANTILLA!E8</f>
        <v>28</v>
      </c>
      <c r="C8">
        <f>PLANTILLA!H8</f>
        <v>2</v>
      </c>
      <c r="D8" s="71">
        <f>PLANTILLA!I8</f>
        <v>8</v>
      </c>
      <c r="E8" s="103">
        <f t="shared" si="11"/>
        <v>8</v>
      </c>
      <c r="F8" s="103">
        <f t="shared" si="12"/>
        <v>8.1</v>
      </c>
      <c r="G8" s="103">
        <f t="shared" si="13"/>
        <v>2</v>
      </c>
      <c r="H8" s="103">
        <f t="shared" si="14"/>
        <v>2.99</v>
      </c>
      <c r="I8" s="107">
        <f t="shared" si="15"/>
        <v>32</v>
      </c>
      <c r="J8" s="107">
        <f t="shared" si="16"/>
        <v>72.414810000000003</v>
      </c>
      <c r="K8" s="104"/>
      <c r="O8" t="str">
        <f>A12</f>
        <v>R. Forsyth</v>
      </c>
      <c r="P8" s="105">
        <f>E12</f>
        <v>8</v>
      </c>
      <c r="Q8" s="105">
        <f>F12</f>
        <v>8.1</v>
      </c>
      <c r="R8" s="105">
        <f>G12</f>
        <v>4</v>
      </c>
      <c r="S8" s="105">
        <f>H12</f>
        <v>4.99</v>
      </c>
      <c r="V8" s="52" t="str">
        <f t="shared" si="6"/>
        <v>R. Forsyth</v>
      </c>
      <c r="W8" s="105">
        <f t="shared" si="7"/>
        <v>8</v>
      </c>
      <c r="X8" s="105">
        <f t="shared" si="8"/>
        <v>8.1</v>
      </c>
      <c r="Y8" s="105">
        <f t="shared" si="9"/>
        <v>4</v>
      </c>
      <c r="Z8" s="105">
        <f t="shared" si="10"/>
        <v>4.99</v>
      </c>
    </row>
    <row r="9" spans="1:26" x14ac:dyDescent="0.25">
      <c r="A9" s="3" t="str">
        <f>PLANTILLA!D9</f>
        <v>E. Deus</v>
      </c>
      <c r="B9">
        <f>PLANTILLA!E9</f>
        <v>28</v>
      </c>
      <c r="C9">
        <f>PLANTILLA!H9</f>
        <v>3</v>
      </c>
      <c r="D9" s="71">
        <f>PLANTILLA!I9</f>
        <v>7</v>
      </c>
      <c r="E9" s="103">
        <f t="shared" si="11"/>
        <v>7</v>
      </c>
      <c r="F9" s="103">
        <f t="shared" si="12"/>
        <v>7.1</v>
      </c>
      <c r="G9" s="103">
        <f t="shared" si="13"/>
        <v>3</v>
      </c>
      <c r="H9" s="103">
        <f t="shared" si="14"/>
        <v>3.99</v>
      </c>
      <c r="I9" s="107">
        <f t="shared" si="15"/>
        <v>63</v>
      </c>
      <c r="J9" s="107">
        <f t="shared" si="16"/>
        <v>113.03271000000001</v>
      </c>
      <c r="K9" s="104"/>
      <c r="O9" t="str">
        <f>A15</f>
        <v>K. Polyukhov</v>
      </c>
      <c r="P9" s="105">
        <f>E15</f>
        <v>9</v>
      </c>
      <c r="Q9" s="105">
        <f>F15</f>
        <v>9.1</v>
      </c>
      <c r="R9" s="105">
        <f>G15</f>
        <v>5</v>
      </c>
      <c r="S9" s="105">
        <f>H15</f>
        <v>5.99</v>
      </c>
      <c r="V9" s="52" t="str">
        <f t="shared" si="6"/>
        <v>K. Polyukhov</v>
      </c>
      <c r="W9" s="105">
        <f t="shared" si="7"/>
        <v>9</v>
      </c>
      <c r="X9" s="105">
        <f t="shared" si="8"/>
        <v>9.1</v>
      </c>
      <c r="Y9" s="105">
        <f t="shared" si="9"/>
        <v>5</v>
      </c>
      <c r="Z9" s="105">
        <f t="shared" si="10"/>
        <v>5.99</v>
      </c>
    </row>
    <row r="10" spans="1:26" x14ac:dyDescent="0.25">
      <c r="A10" s="3" t="str">
        <f>PLANTILLA!D12</f>
        <v>T. McPhail</v>
      </c>
      <c r="B10">
        <f>PLANTILLA!E12</f>
        <v>28</v>
      </c>
      <c r="C10">
        <f>PLANTILLA!H12</f>
        <v>2</v>
      </c>
      <c r="D10" s="71">
        <f>PLANTILLA!I12</f>
        <v>8</v>
      </c>
      <c r="E10" s="103">
        <f t="shared" si="11"/>
        <v>8</v>
      </c>
      <c r="F10" s="103">
        <f t="shared" si="12"/>
        <v>8.1</v>
      </c>
      <c r="G10" s="103">
        <f t="shared" si="13"/>
        <v>2</v>
      </c>
      <c r="H10" s="103">
        <f t="shared" si="14"/>
        <v>2.99</v>
      </c>
      <c r="I10" s="107">
        <f t="shared" si="15"/>
        <v>32</v>
      </c>
      <c r="J10" s="107">
        <f t="shared" si="16"/>
        <v>72.414810000000003</v>
      </c>
      <c r="K10" s="104"/>
      <c r="O10" t="str">
        <f>A13</f>
        <v>Dusty Ware</v>
      </c>
      <c r="P10" s="105">
        <f>E13</f>
        <v>9</v>
      </c>
      <c r="Q10" s="105">
        <f>F13</f>
        <v>9.1</v>
      </c>
      <c r="R10" s="105">
        <f>G13</f>
        <v>4</v>
      </c>
      <c r="S10" s="105">
        <f>H13</f>
        <v>4.99</v>
      </c>
      <c r="V10" s="52" t="str">
        <f t="shared" si="6"/>
        <v>Dusty Ware</v>
      </c>
      <c r="W10" s="105">
        <f t="shared" si="7"/>
        <v>9</v>
      </c>
      <c r="X10" s="105">
        <f t="shared" si="8"/>
        <v>9.1</v>
      </c>
      <c r="Y10" s="105">
        <f t="shared" si="9"/>
        <v>4</v>
      </c>
      <c r="Z10" s="105">
        <f t="shared" si="10"/>
        <v>4.99</v>
      </c>
    </row>
    <row r="11" spans="1:26" x14ac:dyDescent="0.25">
      <c r="A11" s="3" t="str">
        <f>PLANTILLA!D15</f>
        <v>P. Tuderek</v>
      </c>
      <c r="B11">
        <f>PLANTILLA!E15</f>
        <v>28</v>
      </c>
      <c r="C11">
        <f>PLANTILLA!H15</f>
        <v>4</v>
      </c>
      <c r="D11" s="71">
        <f>PLANTILLA!I15</f>
        <v>7</v>
      </c>
      <c r="E11" s="103">
        <f t="shared" si="11"/>
        <v>7</v>
      </c>
      <c r="F11" s="103">
        <f t="shared" si="12"/>
        <v>7.1</v>
      </c>
      <c r="G11" s="103">
        <f t="shared" si="13"/>
        <v>4</v>
      </c>
      <c r="H11" s="103">
        <f t="shared" si="14"/>
        <v>4.99</v>
      </c>
      <c r="I11" s="107">
        <f t="shared" si="15"/>
        <v>112</v>
      </c>
      <c r="J11" s="107">
        <f t="shared" si="16"/>
        <v>176.79071000000002</v>
      </c>
      <c r="K11" s="104"/>
      <c r="O11" t="str">
        <f>A10</f>
        <v>T. McPhail</v>
      </c>
      <c r="P11" s="105">
        <f>E10</f>
        <v>8</v>
      </c>
      <c r="Q11" s="105">
        <f>F10</f>
        <v>8.1</v>
      </c>
      <c r="R11" s="105">
        <f>G10</f>
        <v>2</v>
      </c>
      <c r="S11" s="105">
        <f>H10</f>
        <v>2.99</v>
      </c>
      <c r="V11" s="52" t="str">
        <f t="shared" si="6"/>
        <v>T. McPhail</v>
      </c>
      <c r="W11" s="105">
        <f t="shared" si="7"/>
        <v>8</v>
      </c>
      <c r="X11" s="105">
        <f t="shared" si="8"/>
        <v>8.1</v>
      </c>
      <c r="Y11" s="105">
        <f t="shared" si="9"/>
        <v>2</v>
      </c>
      <c r="Z11" s="105">
        <f t="shared" si="10"/>
        <v>2.99</v>
      </c>
    </row>
    <row r="12" spans="1:26" x14ac:dyDescent="0.25">
      <c r="A12" s="3" t="str">
        <f>PLANTILLA!D13</f>
        <v>R. Forsyth</v>
      </c>
      <c r="B12">
        <f>PLANTILLA!E13</f>
        <v>29</v>
      </c>
      <c r="C12">
        <f>PLANTILLA!H13</f>
        <v>4</v>
      </c>
      <c r="D12" s="71">
        <f>PLANTILLA!I13</f>
        <v>8</v>
      </c>
      <c r="E12" s="103">
        <f t="shared" si="11"/>
        <v>8</v>
      </c>
      <c r="F12" s="103">
        <f t="shared" si="12"/>
        <v>8.1</v>
      </c>
      <c r="G12" s="103">
        <f t="shared" si="13"/>
        <v>4</v>
      </c>
      <c r="H12" s="103">
        <f t="shared" si="14"/>
        <v>4.99</v>
      </c>
      <c r="I12" s="107">
        <f t="shared" si="15"/>
        <v>128</v>
      </c>
      <c r="J12" s="107">
        <f t="shared" si="16"/>
        <v>201.69081</v>
      </c>
      <c r="K12" s="104"/>
      <c r="O12">
        <f>A20</f>
        <v>0</v>
      </c>
      <c r="P12" s="105">
        <f>E20</f>
        <v>0</v>
      </c>
      <c r="Q12" s="105">
        <f>F20</f>
        <v>0.1</v>
      </c>
      <c r="R12" s="105">
        <f>G20</f>
        <v>0</v>
      </c>
      <c r="S12" s="105">
        <f>H20</f>
        <v>0.99</v>
      </c>
      <c r="V12" s="52">
        <f t="shared" si="6"/>
        <v>0</v>
      </c>
      <c r="W12" s="105">
        <f t="shared" si="7"/>
        <v>0</v>
      </c>
      <c r="X12" s="105">
        <f t="shared" si="8"/>
        <v>0.1</v>
      </c>
      <c r="Y12" s="105">
        <f t="shared" si="9"/>
        <v>0</v>
      </c>
      <c r="Z12" s="105">
        <f t="shared" si="10"/>
        <v>0.99</v>
      </c>
    </row>
    <row r="13" spans="1:26" x14ac:dyDescent="0.25">
      <c r="A13" s="3" t="str">
        <f>PLANTILLA!D14</f>
        <v>Dusty Ware</v>
      </c>
      <c r="B13">
        <f>PLANTILLA!E14</f>
        <v>30</v>
      </c>
      <c r="C13">
        <f>PLANTILLA!H14</f>
        <v>4</v>
      </c>
      <c r="D13" s="71">
        <f>PLANTILLA!I14</f>
        <v>9</v>
      </c>
      <c r="E13" s="103">
        <f t="shared" si="11"/>
        <v>9</v>
      </c>
      <c r="F13" s="103">
        <f t="shared" si="12"/>
        <v>9.1</v>
      </c>
      <c r="G13" s="103">
        <f t="shared" si="13"/>
        <v>4</v>
      </c>
      <c r="H13" s="103">
        <f t="shared" si="14"/>
        <v>4.99</v>
      </c>
      <c r="I13" s="107">
        <f t="shared" si="15"/>
        <v>144</v>
      </c>
      <c r="J13" s="107">
        <f t="shared" si="16"/>
        <v>226.59091000000001</v>
      </c>
      <c r="K13" s="104"/>
      <c r="O13" t="str">
        <f>A19</f>
        <v>M. Bondarewski</v>
      </c>
      <c r="P13" s="105">
        <f>E19</f>
        <v>9</v>
      </c>
      <c r="Q13" s="105">
        <f>F19</f>
        <v>9.1</v>
      </c>
      <c r="R13" s="105">
        <f>G19</f>
        <v>1</v>
      </c>
      <c r="S13" s="105">
        <f>H19</f>
        <v>1.99</v>
      </c>
      <c r="V13" s="52" t="str">
        <f t="shared" si="6"/>
        <v>M. Bondarewski</v>
      </c>
      <c r="W13" s="105">
        <f t="shared" si="7"/>
        <v>9</v>
      </c>
      <c r="X13" s="105">
        <f t="shared" si="8"/>
        <v>9.1</v>
      </c>
      <c r="Y13" s="105">
        <f t="shared" si="9"/>
        <v>1</v>
      </c>
      <c r="Z13" s="105">
        <f t="shared" si="10"/>
        <v>1.99</v>
      </c>
    </row>
    <row r="14" spans="1:26" x14ac:dyDescent="0.25">
      <c r="A14" s="3" t="str">
        <f>PLANTILLA!D11</f>
        <v>S. Kariuki</v>
      </c>
      <c r="B14">
        <f>PLANTILLA!E11</f>
        <v>29</v>
      </c>
      <c r="C14">
        <f>PLANTILLA!H11</f>
        <v>1</v>
      </c>
      <c r="D14" s="71">
        <f>PLANTILLA!I11</f>
        <v>9</v>
      </c>
      <c r="E14" s="103">
        <f t="shared" si="11"/>
        <v>9</v>
      </c>
      <c r="F14" s="103">
        <f t="shared" si="12"/>
        <v>9.1</v>
      </c>
      <c r="G14" s="103">
        <f t="shared" si="13"/>
        <v>1</v>
      </c>
      <c r="H14" s="103">
        <f t="shared" si="14"/>
        <v>1.99</v>
      </c>
      <c r="I14" s="107">
        <f t="shared" si="15"/>
        <v>9</v>
      </c>
      <c r="J14" s="107">
        <f t="shared" si="16"/>
        <v>36.036909999999999</v>
      </c>
      <c r="K14" s="104"/>
      <c r="P14" s="47" t="e">
        <f>SUM(P4:P13)/10</f>
        <v>#REF!</v>
      </c>
      <c r="Q14" s="47" t="e">
        <f>SUM(Q4:Q13)/10</f>
        <v>#REF!</v>
      </c>
      <c r="R14" s="47"/>
      <c r="S14" s="47"/>
      <c r="W14" s="47" t="e">
        <f>SUM(W4:W13)/10</f>
        <v>#REF!</v>
      </c>
      <c r="X14" s="47" t="e">
        <f>SUM(X4:X13)/10</f>
        <v>#REF!</v>
      </c>
      <c r="Y14" s="47"/>
      <c r="Z14" s="47"/>
    </row>
    <row r="15" spans="1:26" x14ac:dyDescent="0.25">
      <c r="A15" s="3" t="str">
        <f>PLANTILLA!D10</f>
        <v>K. Polyukhov</v>
      </c>
      <c r="B15">
        <f>PLANTILLA!E10</f>
        <v>30</v>
      </c>
      <c r="C15">
        <f>PLANTILLA!H10</f>
        <v>5</v>
      </c>
      <c r="D15" s="71">
        <f>PLANTILLA!I10</f>
        <v>9</v>
      </c>
      <c r="E15" s="103">
        <f t="shared" si="11"/>
        <v>9</v>
      </c>
      <c r="F15" s="103">
        <f t="shared" si="12"/>
        <v>9.1</v>
      </c>
      <c r="G15" s="103">
        <f t="shared" si="13"/>
        <v>5</v>
      </c>
      <c r="H15" s="103">
        <f t="shared" si="14"/>
        <v>5.99</v>
      </c>
      <c r="I15" s="107">
        <f t="shared" si="15"/>
        <v>225</v>
      </c>
      <c r="J15" s="107">
        <f t="shared" si="16"/>
        <v>326.50891000000001</v>
      </c>
      <c r="K15" s="104"/>
    </row>
    <row r="16" spans="1:26" x14ac:dyDescent="0.25">
      <c r="A16" s="3" t="str">
        <f>PLANTILLA!D16</f>
        <v>I. Vanags</v>
      </c>
      <c r="B16">
        <f>PLANTILLA!E16</f>
        <v>28</v>
      </c>
      <c r="C16">
        <f>PLANTILLA!H16</f>
        <v>4</v>
      </c>
      <c r="D16" s="71">
        <f>PLANTILLA!I16</f>
        <v>8</v>
      </c>
      <c r="E16" s="103">
        <f t="shared" si="11"/>
        <v>8</v>
      </c>
      <c r="F16" s="103">
        <f t="shared" si="12"/>
        <v>8.1</v>
      </c>
      <c r="G16" s="103">
        <f t="shared" si="13"/>
        <v>4</v>
      </c>
      <c r="H16" s="103">
        <f t="shared" si="14"/>
        <v>4.99</v>
      </c>
      <c r="I16" s="107">
        <f t="shared" si="15"/>
        <v>128</v>
      </c>
      <c r="J16" s="107">
        <f t="shared" si="16"/>
        <v>201.69081</v>
      </c>
      <c r="K16" s="104"/>
      <c r="L16" s="53" t="s">
        <v>281</v>
      </c>
      <c r="O16" t="s">
        <v>282</v>
      </c>
      <c r="P16" s="71" t="e">
        <f>SUM(P3:P13)</f>
        <v>#REF!</v>
      </c>
      <c r="Q16" s="71" t="e">
        <f>SUM(Q3:Q13)</f>
        <v>#REF!</v>
      </c>
      <c r="R16" s="71"/>
      <c r="V16" s="52" t="s">
        <v>282</v>
      </c>
      <c r="W16" s="71" t="e">
        <f>SUM(W3:W13)</f>
        <v>#REF!</v>
      </c>
      <c r="X16" s="71" t="e">
        <f>SUM(X3:X13)</f>
        <v>#REF!</v>
      </c>
      <c r="Y16" s="71"/>
    </row>
    <row r="17" spans="1:25" x14ac:dyDescent="0.25">
      <c r="A17" s="3" t="str">
        <f>PLANTILLA!D17</f>
        <v>I. Stone</v>
      </c>
      <c r="B17">
        <f>PLANTILLA!E17</f>
        <v>28</v>
      </c>
      <c r="C17">
        <f>PLANTILLA!H17</f>
        <v>6</v>
      </c>
      <c r="D17" s="71">
        <f>PLANTILLA!I17</f>
        <v>8</v>
      </c>
      <c r="E17" s="103">
        <f t="shared" si="11"/>
        <v>8</v>
      </c>
      <c r="F17" s="103">
        <f t="shared" si="12"/>
        <v>8.1</v>
      </c>
      <c r="G17" s="103">
        <f t="shared" si="13"/>
        <v>6</v>
      </c>
      <c r="H17" s="103">
        <f t="shared" si="14"/>
        <v>6.99</v>
      </c>
      <c r="I17" s="107">
        <f t="shared" si="15"/>
        <v>288</v>
      </c>
      <c r="J17" s="107">
        <f t="shared" si="16"/>
        <v>395.76681000000002</v>
      </c>
      <c r="K17" s="104"/>
      <c r="O17" s="90" t="s">
        <v>283</v>
      </c>
      <c r="P17" s="47" t="e">
        <f>P16/16.5</f>
        <v>#REF!</v>
      </c>
      <c r="Q17" s="47" t="e">
        <f>Q16/16.5</f>
        <v>#REF!</v>
      </c>
      <c r="R17" s="47"/>
      <c r="V17" s="52" t="s">
        <v>284</v>
      </c>
      <c r="W17" s="47" t="e">
        <f>W16/17</f>
        <v>#REF!</v>
      </c>
      <c r="X17" s="47" t="e">
        <f>X16/17</f>
        <v>#REF!</v>
      </c>
      <c r="Y17" s="47"/>
    </row>
    <row r="18" spans="1:25" x14ac:dyDescent="0.25">
      <c r="A18" s="3" t="str">
        <f>PLANTILLA!D18</f>
        <v>G. Piscaer</v>
      </c>
      <c r="B18">
        <f>PLANTILLA!E18</f>
        <v>28</v>
      </c>
      <c r="C18">
        <f>PLANTILLA!H18</f>
        <v>1</v>
      </c>
      <c r="D18" s="71">
        <f>PLANTILLA!I18</f>
        <v>9</v>
      </c>
      <c r="E18" s="103">
        <f t="shared" si="11"/>
        <v>9</v>
      </c>
      <c r="F18" s="103">
        <f t="shared" si="12"/>
        <v>9.1</v>
      </c>
      <c r="G18" s="103">
        <f t="shared" si="13"/>
        <v>1</v>
      </c>
      <c r="H18" s="103">
        <f t="shared" si="14"/>
        <v>1.99</v>
      </c>
      <c r="I18" s="107">
        <f t="shared" si="15"/>
        <v>9</v>
      </c>
      <c r="J18" s="107">
        <f t="shared" si="16"/>
        <v>36.036909999999999</v>
      </c>
      <c r="K18" s="104"/>
      <c r="L18" s="53" t="s">
        <v>285</v>
      </c>
      <c r="O18" t="s">
        <v>286</v>
      </c>
      <c r="P18" s="71">
        <f>R3^2</f>
        <v>9</v>
      </c>
      <c r="Q18" s="71">
        <f>S3^2</f>
        <v>15.920100000000001</v>
      </c>
      <c r="R18" s="71"/>
      <c r="V18" s="52" t="s">
        <v>286</v>
      </c>
      <c r="W18" s="71">
        <f>Y3^2</f>
        <v>9</v>
      </c>
      <c r="X18" s="71">
        <f>Z3^2</f>
        <v>15.920100000000001</v>
      </c>
      <c r="Y18" s="71"/>
    </row>
    <row r="19" spans="1:25" x14ac:dyDescent="0.25">
      <c r="A19" s="3" t="str">
        <f>PLANTILLA!D19</f>
        <v>M. Bondarewski</v>
      </c>
      <c r="B19">
        <f>PLANTILLA!E19</f>
        <v>28</v>
      </c>
      <c r="C19">
        <f>PLANTILLA!H19</f>
        <v>1</v>
      </c>
      <c r="D19" s="71">
        <f>PLANTILLA!I19</f>
        <v>9</v>
      </c>
      <c r="E19" s="103">
        <f t="shared" si="11"/>
        <v>9</v>
      </c>
      <c r="F19" s="103">
        <f t="shared" si="12"/>
        <v>9.1</v>
      </c>
      <c r="G19" s="103">
        <f t="shared" si="13"/>
        <v>1</v>
      </c>
      <c r="H19" s="103">
        <f t="shared" si="14"/>
        <v>1.99</v>
      </c>
      <c r="I19" s="107">
        <f t="shared" si="15"/>
        <v>9</v>
      </c>
      <c r="J19" s="107">
        <f t="shared" si="16"/>
        <v>36.036909999999999</v>
      </c>
      <c r="K19" s="104"/>
      <c r="L19" s="53" t="s">
        <v>287</v>
      </c>
      <c r="O19" t="s">
        <v>288</v>
      </c>
      <c r="P19" s="71">
        <f>P18*P3</f>
        <v>4.5</v>
      </c>
      <c r="Q19" s="71">
        <f>Q18*Q3</f>
        <v>9.5520600000000009</v>
      </c>
      <c r="R19" s="71"/>
      <c r="V19" s="52" t="s">
        <v>288</v>
      </c>
      <c r="W19" s="71">
        <f>W18*W3</f>
        <v>4.5</v>
      </c>
      <c r="X19" s="71">
        <f>X18*X3</f>
        <v>9.5520600000000009</v>
      </c>
      <c r="Y19" s="71"/>
    </row>
    <row r="20" spans="1:25" x14ac:dyDescent="0.25">
      <c r="A20" s="3">
        <f>PLANTILLA!D20</f>
        <v>0</v>
      </c>
      <c r="B20">
        <f>PLANTILLA!E20</f>
        <v>0</v>
      </c>
      <c r="C20">
        <f>PLANTILLA!H20</f>
        <v>0</v>
      </c>
      <c r="D20" s="71">
        <f>PLANTILLA!I20</f>
        <v>0</v>
      </c>
      <c r="E20" s="103">
        <f t="shared" si="11"/>
        <v>0</v>
      </c>
      <c r="F20" s="103">
        <f t="shared" si="12"/>
        <v>0.1</v>
      </c>
      <c r="G20" s="103">
        <f t="shared" si="13"/>
        <v>0</v>
      </c>
      <c r="H20" s="103">
        <f t="shared" si="14"/>
        <v>0.99</v>
      </c>
      <c r="I20" s="107">
        <f t="shared" si="15"/>
        <v>0</v>
      </c>
      <c r="J20" s="107">
        <f t="shared" si="16"/>
        <v>9.801E-2</v>
      </c>
      <c r="K20" s="104"/>
      <c r="L20" s="53" t="s">
        <v>289</v>
      </c>
      <c r="O20" s="90" t="s">
        <v>290</v>
      </c>
      <c r="P20" s="47">
        <f>(P19^(2/3))/27</f>
        <v>0.10095114404623</v>
      </c>
      <c r="Q20" s="47">
        <f>(Q19^(2/3))/27</f>
        <v>0.16673787552701191</v>
      </c>
      <c r="R20" s="47"/>
      <c r="V20" s="52" t="s">
        <v>291</v>
      </c>
      <c r="W20" s="47">
        <f>(W19^(2/3))/30</f>
        <v>9.0856029641606995E-2</v>
      </c>
      <c r="X20" s="47">
        <f>(X19^(2/3))/30</f>
        <v>0.15006408797431073</v>
      </c>
      <c r="Y20" s="47"/>
    </row>
    <row r="21" spans="1:25" x14ac:dyDescent="0.25">
      <c r="A21" s="3">
        <f>PLANTILLA!D21</f>
        <v>0</v>
      </c>
      <c r="B21">
        <f>PLANTILLA!E21</f>
        <v>0</v>
      </c>
      <c r="C21">
        <f>PLANTILLA!H21</f>
        <v>0</v>
      </c>
      <c r="D21" s="71">
        <f>PLANTILLA!I21</f>
        <v>0</v>
      </c>
      <c r="E21" s="103">
        <f t="shared" si="11"/>
        <v>0</v>
      </c>
      <c r="F21" s="103">
        <f t="shared" si="12"/>
        <v>0.1</v>
      </c>
      <c r="G21" s="103">
        <f t="shared" si="13"/>
        <v>0</v>
      </c>
      <c r="H21" s="103">
        <f t="shared" si="14"/>
        <v>0.99</v>
      </c>
      <c r="I21" s="107">
        <f t="shared" si="15"/>
        <v>0</v>
      </c>
      <c r="J21" s="107">
        <f t="shared" si="16"/>
        <v>9.801E-2</v>
      </c>
      <c r="K21" s="104"/>
      <c r="L21" s="53" t="s">
        <v>292</v>
      </c>
      <c r="O21" s="52" t="s">
        <v>190</v>
      </c>
      <c r="P21" s="227" t="e">
        <f>P17+P20</f>
        <v>#REF!</v>
      </c>
      <c r="Q21" s="227" t="e">
        <f>Q17+Q20</f>
        <v>#REF!</v>
      </c>
      <c r="V21" s="52" t="s">
        <v>190</v>
      </c>
      <c r="W21" s="227" t="e">
        <f>W17+W20</f>
        <v>#REF!</v>
      </c>
      <c r="X21" s="227" t="e">
        <f>X17+X20</f>
        <v>#REF!</v>
      </c>
    </row>
    <row r="22" spans="1:25" x14ac:dyDescent="0.25">
      <c r="A22" s="3">
        <f>PLANTILLA!D22</f>
        <v>0</v>
      </c>
      <c r="B22">
        <f>PLANTILLA!E22</f>
        <v>0</v>
      </c>
      <c r="C22">
        <f>PLANTILLA!H22</f>
        <v>0</v>
      </c>
      <c r="D22" s="71">
        <f>PLANTILLA!I22</f>
        <v>0</v>
      </c>
      <c r="E22" s="103">
        <f t="shared" si="11"/>
        <v>0</v>
      </c>
      <c r="F22" s="103">
        <f t="shared" si="12"/>
        <v>0.1</v>
      </c>
      <c r="G22" s="103">
        <f t="shared" si="13"/>
        <v>0</v>
      </c>
      <c r="H22" s="103">
        <f t="shared" si="14"/>
        <v>0.99</v>
      </c>
      <c r="I22" s="107">
        <f t="shared" si="15"/>
        <v>0</v>
      </c>
      <c r="J22" s="107">
        <f t="shared" si="16"/>
        <v>9.801E-2</v>
      </c>
      <c r="K22" s="104"/>
      <c r="L22" t="s">
        <v>293</v>
      </c>
    </row>
    <row r="23" spans="1:25" x14ac:dyDescent="0.25">
      <c r="A23" s="3">
        <f>PLANTILLA!D23</f>
        <v>0</v>
      </c>
      <c r="B23">
        <f>PLANTILLA!E23</f>
        <v>0</v>
      </c>
      <c r="C23">
        <f>PLANTILLA!H23</f>
        <v>0</v>
      </c>
      <c r="D23" s="71">
        <f>PLANTILLA!I23</f>
        <v>0</v>
      </c>
      <c r="E23" s="103">
        <f t="shared" si="11"/>
        <v>0</v>
      </c>
      <c r="F23" s="103">
        <f t="shared" si="12"/>
        <v>0.1</v>
      </c>
      <c r="G23" s="103">
        <f t="shared" si="13"/>
        <v>0</v>
      </c>
      <c r="H23" s="103">
        <f t="shared" si="14"/>
        <v>0.99</v>
      </c>
      <c r="I23" s="107">
        <f t="shared" si="15"/>
        <v>0</v>
      </c>
      <c r="J23" s="107">
        <f t="shared" si="16"/>
        <v>9.801E-2</v>
      </c>
      <c r="K23" s="104"/>
      <c r="O23" s="73">
        <v>42576</v>
      </c>
      <c r="P23">
        <v>6.76</v>
      </c>
      <c r="Q23">
        <v>6.99</v>
      </c>
      <c r="R23" t="s">
        <v>294</v>
      </c>
      <c r="W23" s="47"/>
    </row>
    <row r="24" spans="1:25" x14ac:dyDescent="0.25">
      <c r="A24" s="3">
        <f>PLANTILLA!D24</f>
        <v>0</v>
      </c>
      <c r="B24">
        <f>PLANTILLA!E24</f>
        <v>0</v>
      </c>
      <c r="C24">
        <f>PLANTILLA!H24</f>
        <v>0</v>
      </c>
      <c r="D24" s="71">
        <f>PLANTILLA!I24</f>
        <v>0</v>
      </c>
      <c r="E24" s="103">
        <f t="shared" si="11"/>
        <v>0</v>
      </c>
      <c r="F24" s="103">
        <f t="shared" si="12"/>
        <v>0.1</v>
      </c>
      <c r="G24" s="103">
        <f t="shared" si="13"/>
        <v>0</v>
      </c>
      <c r="H24" s="103">
        <f t="shared" si="14"/>
        <v>0.99</v>
      </c>
      <c r="I24" s="107">
        <f t="shared" si="15"/>
        <v>0</v>
      </c>
      <c r="J24" s="107">
        <f t="shared" si="16"/>
        <v>9.801E-2</v>
      </c>
    </row>
    <row r="25" spans="1:25" x14ac:dyDescent="0.25">
      <c r="A25" s="3">
        <f>PLANTILLA!D25</f>
        <v>0</v>
      </c>
      <c r="B25">
        <f>PLANTILLA!E25</f>
        <v>0</v>
      </c>
      <c r="C25">
        <f>PLANTILLA!H25</f>
        <v>0</v>
      </c>
      <c r="D25" s="71">
        <f>PLANTILLA!I25</f>
        <v>0</v>
      </c>
      <c r="E25" s="103">
        <f t="shared" si="11"/>
        <v>0</v>
      </c>
      <c r="F25" s="103">
        <f t="shared" si="12"/>
        <v>0.1</v>
      </c>
      <c r="G25" s="103">
        <f t="shared" si="13"/>
        <v>0</v>
      </c>
      <c r="H25" s="103">
        <f t="shared" si="14"/>
        <v>0.99</v>
      </c>
      <c r="I25" s="107">
        <f t="shared" si="15"/>
        <v>0</v>
      </c>
      <c r="J25" s="107">
        <f t="shared" si="16"/>
        <v>9.801E-2</v>
      </c>
      <c r="V25"/>
    </row>
    <row r="26" spans="1:25" x14ac:dyDescent="0.25">
      <c r="A26" s="3">
        <f>PLANTILLA!D26</f>
        <v>0</v>
      </c>
      <c r="B26">
        <f>PLANTILLA!E26</f>
        <v>0</v>
      </c>
      <c r="C26">
        <f>PLANTILLA!H26</f>
        <v>0</v>
      </c>
      <c r="D26" s="71">
        <f>PLANTILLA!I26</f>
        <v>0</v>
      </c>
      <c r="E26" s="103">
        <f t="shared" si="11"/>
        <v>0</v>
      </c>
      <c r="F26" s="103">
        <f t="shared" si="12"/>
        <v>0.1</v>
      </c>
      <c r="G26" s="103">
        <f t="shared" si="13"/>
        <v>0</v>
      </c>
      <c r="H26" s="103">
        <f t="shared" si="14"/>
        <v>0.99</v>
      </c>
      <c r="I26" s="107">
        <f t="shared" si="15"/>
        <v>0</v>
      </c>
      <c r="J26" s="107">
        <f t="shared" si="16"/>
        <v>9.801E-2</v>
      </c>
      <c r="V26"/>
    </row>
    <row r="27" spans="1:25" x14ac:dyDescent="0.25">
      <c r="A27" s="3">
        <f>PLANTILLA!D27</f>
        <v>0</v>
      </c>
      <c r="B27">
        <f>PLANTILLA!E27</f>
        <v>0</v>
      </c>
      <c r="C27">
        <f>PLANTILLA!H27</f>
        <v>0</v>
      </c>
      <c r="D27" s="71">
        <f>PLANTILLA!I27</f>
        <v>0</v>
      </c>
      <c r="E27" s="103">
        <f t="shared" si="11"/>
        <v>0</v>
      </c>
      <c r="F27" s="103">
        <f t="shared" si="12"/>
        <v>0.1</v>
      </c>
      <c r="G27" s="103">
        <f t="shared" si="13"/>
        <v>0</v>
      </c>
      <c r="H27" s="103">
        <f t="shared" si="14"/>
        <v>0.99</v>
      </c>
      <c r="I27" s="107">
        <f t="shared" si="15"/>
        <v>0</v>
      </c>
      <c r="J27" s="107">
        <f t="shared" si="16"/>
        <v>9.801E-2</v>
      </c>
      <c r="V27"/>
    </row>
    <row r="28" spans="1:25" x14ac:dyDescent="0.25">
      <c r="A28" s="3">
        <f>PLANTILLA!D28</f>
        <v>0</v>
      </c>
      <c r="B28">
        <f>PLANTILLA!E28</f>
        <v>0</v>
      </c>
      <c r="C28">
        <f>PLANTILLA!H28</f>
        <v>0</v>
      </c>
      <c r="D28" s="71">
        <f>PLANTILLA!I28</f>
        <v>0</v>
      </c>
      <c r="E28" s="103">
        <f t="shared" si="11"/>
        <v>0</v>
      </c>
      <c r="F28" s="103">
        <f t="shared" si="12"/>
        <v>0.1</v>
      </c>
      <c r="G28" s="103">
        <f t="shared" si="13"/>
        <v>0</v>
      </c>
      <c r="H28" s="103">
        <f t="shared" si="14"/>
        <v>0.99</v>
      </c>
      <c r="I28" s="107">
        <f t="shared" si="15"/>
        <v>0</v>
      </c>
      <c r="J28" s="107">
        <f t="shared" si="16"/>
        <v>9.801E-2</v>
      </c>
    </row>
  </sheetData>
  <conditionalFormatting sqref="I3:J28">
    <cfRule type="cellIs" dxfId="40" priority="1" operator="between">
      <formula>70</formula>
      <formula>100</formula>
    </cfRule>
  </conditionalFormatting>
  <conditionalFormatting sqref="I3:J28">
    <cfRule type="cellIs" dxfId="3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7" customWidth="1"/>
    <col min="14" max="14" width="21.5703125" style="57" customWidth="1"/>
    <col min="15" max="15" width="14" style="57" customWidth="1"/>
    <col min="16" max="16" width="13" style="57" customWidth="1"/>
    <col min="17" max="17" width="10.42578125" style="57" customWidth="1"/>
    <col min="18" max="18" width="10.28515625" style="57" customWidth="1"/>
    <col min="19" max="19" width="21" style="57" customWidth="1"/>
    <col min="20" max="20" width="12" style="57" customWidth="1"/>
    <col min="21" max="21" width="16.85546875" style="57" customWidth="1"/>
    <col min="22" max="22" width="16.7109375" customWidth="1"/>
  </cols>
  <sheetData>
    <row r="1" spans="1:22" x14ac:dyDescent="0.25">
      <c r="A1" s="79" t="s">
        <v>82</v>
      </c>
      <c r="B1" s="79" t="s">
        <v>83</v>
      </c>
      <c r="C1" s="80" t="s">
        <v>295</v>
      </c>
      <c r="D1" s="81" t="s">
        <v>84</v>
      </c>
      <c r="E1" s="79" t="s">
        <v>85</v>
      </c>
      <c r="F1" s="79" t="s">
        <v>87</v>
      </c>
      <c r="G1" s="79" t="s">
        <v>88</v>
      </c>
      <c r="H1" s="79" t="s">
        <v>89</v>
      </c>
      <c r="I1" s="82" t="s">
        <v>296</v>
      </c>
      <c r="J1" s="82" t="s">
        <v>297</v>
      </c>
      <c r="K1" s="79" t="s">
        <v>100</v>
      </c>
      <c r="L1" s="79" t="s">
        <v>102</v>
      </c>
      <c r="M1" s="121" t="s">
        <v>298</v>
      </c>
      <c r="N1" s="121" t="s">
        <v>299</v>
      </c>
      <c r="O1" s="121" t="s">
        <v>300</v>
      </c>
      <c r="P1" s="121" t="s">
        <v>301</v>
      </c>
      <c r="Q1" s="121" t="s">
        <v>302</v>
      </c>
      <c r="R1" s="121" t="s">
        <v>303</v>
      </c>
      <c r="S1" s="121" t="s">
        <v>304</v>
      </c>
      <c r="T1" s="121" t="s">
        <v>305</v>
      </c>
      <c r="U1" s="121" t="s">
        <v>306</v>
      </c>
      <c r="V1" s="121" t="s">
        <v>307</v>
      </c>
    </row>
    <row r="2" spans="1:22" x14ac:dyDescent="0.25">
      <c r="A2" s="78"/>
      <c r="B2" s="78" t="s">
        <v>308</v>
      </c>
      <c r="C2" s="78"/>
      <c r="D2" s="75" t="s">
        <v>309</v>
      </c>
      <c r="E2" s="54">
        <v>42</v>
      </c>
      <c r="F2" s="70" t="s">
        <v>133</v>
      </c>
      <c r="G2" s="108">
        <v>3</v>
      </c>
      <c r="H2" s="56">
        <v>16.004000000000001</v>
      </c>
      <c r="I2" s="83">
        <f>(G2)*(G2)*(H2)</f>
        <v>144.036</v>
      </c>
      <c r="J2" s="83">
        <f>(G2+1)*(G2+1)*H2</f>
        <v>256.06400000000002</v>
      </c>
      <c r="K2" s="76">
        <v>0</v>
      </c>
      <c r="L2" s="76">
        <v>300</v>
      </c>
      <c r="M2" s="122">
        <v>41576</v>
      </c>
      <c r="N2" s="122">
        <v>41731</v>
      </c>
      <c r="O2" s="122">
        <v>42305</v>
      </c>
      <c r="P2" s="59">
        <v>772000</v>
      </c>
      <c r="Q2" s="59">
        <f>((N2-M2)/7)*L2</f>
        <v>6642.8571428571431</v>
      </c>
      <c r="R2" s="59">
        <f ca="1">((TODAY()-N2)/7)*L2</f>
        <v>130585.71428571429</v>
      </c>
      <c r="S2" s="59">
        <v>2068800</v>
      </c>
      <c r="T2" s="59">
        <f ca="1">S2+Q2+P2+R2</f>
        <v>2978028.5714285714</v>
      </c>
      <c r="U2" s="63">
        <f ca="1">T2/((O2-N2)/112)</f>
        <v>581078.74564459932</v>
      </c>
      <c r="V2" s="48">
        <f>(O2-N2)/112</f>
        <v>5.125</v>
      </c>
    </row>
    <row r="3" spans="1:22" x14ac:dyDescent="0.25">
      <c r="A3" s="79" t="s">
        <v>82</v>
      </c>
      <c r="B3" s="79" t="s">
        <v>83</v>
      </c>
      <c r="C3" s="80" t="s">
        <v>295</v>
      </c>
      <c r="D3" s="81" t="s">
        <v>84</v>
      </c>
      <c r="E3" s="79" t="s">
        <v>85</v>
      </c>
      <c r="F3" s="79" t="s">
        <v>87</v>
      </c>
      <c r="G3" s="79" t="s">
        <v>88</v>
      </c>
      <c r="H3" s="79" t="s">
        <v>89</v>
      </c>
      <c r="I3" s="82" t="s">
        <v>296</v>
      </c>
      <c r="J3" s="82" t="s">
        <v>297</v>
      </c>
      <c r="K3" s="79" t="s">
        <v>100</v>
      </c>
      <c r="L3" s="79" t="s">
        <v>102</v>
      </c>
      <c r="M3" s="121" t="s">
        <v>298</v>
      </c>
      <c r="N3" s="121" t="s">
        <v>299</v>
      </c>
      <c r="O3" s="121" t="s">
        <v>300</v>
      </c>
      <c r="P3" s="121" t="s">
        <v>301</v>
      </c>
      <c r="Q3" s="121" t="s">
        <v>302</v>
      </c>
      <c r="R3" s="121" t="s">
        <v>303</v>
      </c>
      <c r="S3" s="121" t="s">
        <v>304</v>
      </c>
      <c r="T3" s="121" t="s">
        <v>305</v>
      </c>
      <c r="U3" s="121" t="s">
        <v>306</v>
      </c>
      <c r="V3" s="121" t="s">
        <v>307</v>
      </c>
    </row>
    <row r="4" spans="1:22" x14ac:dyDescent="0.25">
      <c r="A4" s="78"/>
      <c r="B4" s="78" t="s">
        <v>308</v>
      </c>
      <c r="C4" s="78"/>
      <c r="D4" s="75" t="s">
        <v>310</v>
      </c>
      <c r="E4" s="54">
        <v>44</v>
      </c>
      <c r="F4" s="70" t="s">
        <v>133</v>
      </c>
      <c r="G4" s="108">
        <v>5</v>
      </c>
      <c r="H4" s="56">
        <v>16.109000000000002</v>
      </c>
      <c r="I4" s="83">
        <f>(G4)*(G4)*(H4)</f>
        <v>402.72500000000002</v>
      </c>
      <c r="J4" s="83">
        <f>(G4+1)*(G4+1)*H4</f>
        <v>579.92400000000009</v>
      </c>
      <c r="K4" s="76">
        <v>0</v>
      </c>
      <c r="L4" s="76">
        <v>300</v>
      </c>
      <c r="M4" s="122">
        <v>41976</v>
      </c>
      <c r="N4" s="122">
        <v>42305</v>
      </c>
      <c r="O4" s="122">
        <v>42908</v>
      </c>
      <c r="P4" s="59">
        <v>1052640</v>
      </c>
      <c r="Q4" s="59">
        <f>((N4-M4)/7)*L4</f>
        <v>14100</v>
      </c>
      <c r="R4" s="59">
        <f ca="1">((TODAY()-N4)/7)*L4</f>
        <v>105985.71428571429</v>
      </c>
      <c r="S4" s="59">
        <v>2059800</v>
      </c>
      <c r="T4" s="59">
        <f>S4+Q4+P4</f>
        <v>3126540</v>
      </c>
      <c r="U4" s="63">
        <f>T4/((O4-N4)/112)</f>
        <v>580717.21393034828</v>
      </c>
      <c r="V4" s="48">
        <f ca="1">(A7-N4)/112</f>
        <v>22.080357142857142</v>
      </c>
    </row>
    <row r="5" spans="1:22" x14ac:dyDescent="0.25">
      <c r="O5" s="201"/>
    </row>
    <row r="7" spans="1:22" x14ac:dyDescent="0.25">
      <c r="A7" s="51">
        <f ca="1">TODAY()</f>
        <v>44778</v>
      </c>
    </row>
    <row r="8" spans="1:22" x14ac:dyDescent="0.25">
      <c r="A8" s="51">
        <v>41757</v>
      </c>
    </row>
    <row r="9" spans="1:22" x14ac:dyDescent="0.25">
      <c r="A9" s="52">
        <f ca="1">A7-A8</f>
        <v>3021</v>
      </c>
    </row>
    <row r="10" spans="1:22" x14ac:dyDescent="0.25">
      <c r="A10" s="120">
        <f ca="1">A9/112</f>
        <v>26.973214285714285</v>
      </c>
    </row>
    <row r="12" spans="1:22" x14ac:dyDescent="0.25">
      <c r="A12" s="79" t="s">
        <v>82</v>
      </c>
      <c r="B12" s="79" t="s">
        <v>83</v>
      </c>
      <c r="C12" s="80" t="s">
        <v>295</v>
      </c>
      <c r="D12" s="81" t="s">
        <v>84</v>
      </c>
      <c r="E12" s="79" t="s">
        <v>85</v>
      </c>
      <c r="F12" s="79" t="s">
        <v>87</v>
      </c>
      <c r="G12" s="79" t="s">
        <v>88</v>
      </c>
      <c r="H12" s="79" t="s">
        <v>89</v>
      </c>
      <c r="I12" s="82" t="s">
        <v>296</v>
      </c>
      <c r="J12" s="82" t="s">
        <v>297</v>
      </c>
      <c r="K12" s="79" t="s">
        <v>100</v>
      </c>
      <c r="L12" s="79" t="s">
        <v>102</v>
      </c>
      <c r="M12" s="121" t="s">
        <v>298</v>
      </c>
      <c r="N12" s="121" t="s">
        <v>299</v>
      </c>
      <c r="O12" s="121" t="s">
        <v>300</v>
      </c>
      <c r="P12" s="121" t="s">
        <v>301</v>
      </c>
      <c r="Q12" s="121" t="s">
        <v>302</v>
      </c>
      <c r="R12" s="121" t="s">
        <v>303</v>
      </c>
      <c r="S12" s="121" t="s">
        <v>304</v>
      </c>
      <c r="T12" s="121" t="s">
        <v>305</v>
      </c>
      <c r="U12" s="121" t="s">
        <v>306</v>
      </c>
      <c r="V12" s="121" t="s">
        <v>307</v>
      </c>
    </row>
    <row r="13" spans="1:22" x14ac:dyDescent="0.25">
      <c r="D13" s="75" t="s">
        <v>311</v>
      </c>
      <c r="E13" s="54">
        <v>39</v>
      </c>
      <c r="F13" s="70"/>
      <c r="G13" s="108">
        <v>6</v>
      </c>
      <c r="H13" s="56">
        <v>13</v>
      </c>
      <c r="I13" s="83">
        <f>(G13)*(G13)*(H13)</f>
        <v>468</v>
      </c>
      <c r="J13" s="83">
        <f>(G13+1)*(G13+1)*H13</f>
        <v>637</v>
      </c>
      <c r="K13" s="76">
        <v>1130</v>
      </c>
      <c r="L13" s="76">
        <v>864</v>
      </c>
      <c r="M13" s="122">
        <v>42628</v>
      </c>
      <c r="N13" s="122">
        <f>O4</f>
        <v>42908</v>
      </c>
      <c r="O13" s="122">
        <f ca="1">TODAY()</f>
        <v>44778</v>
      </c>
      <c r="P13" s="203">
        <v>1800000</v>
      </c>
      <c r="Q13" s="59">
        <v>372</v>
      </c>
      <c r="R13" s="59">
        <f ca="1">((TODAY()-N13)/7)*L13</f>
        <v>230811.42857142858</v>
      </c>
      <c r="S13" s="203">
        <v>2553000</v>
      </c>
      <c r="T13" s="59">
        <f>S13+Q13+P13</f>
        <v>4353372</v>
      </c>
      <c r="U13" s="63">
        <f ca="1">T13/((O13-N13)/112)</f>
        <v>260736.71871657751</v>
      </c>
      <c r="V13" s="48">
        <v>7</v>
      </c>
    </row>
    <row r="17" spans="1:22" ht="18" x14ac:dyDescent="0.25">
      <c r="A17" s="192">
        <v>42908</v>
      </c>
      <c r="B17" s="73"/>
      <c r="C17">
        <v>112</v>
      </c>
      <c r="D17">
        <v>0</v>
      </c>
    </row>
    <row r="18" spans="1:22" x14ac:dyDescent="0.25">
      <c r="A18" s="73">
        <f ca="1">TODAY()</f>
        <v>44778</v>
      </c>
      <c r="B18" s="73"/>
      <c r="C18">
        <v>400</v>
      </c>
      <c r="D18">
        <v>1</v>
      </c>
    </row>
    <row r="19" spans="1:22" x14ac:dyDescent="0.25">
      <c r="A19">
        <f ca="1">A18-A17</f>
        <v>1870</v>
      </c>
      <c r="C19">
        <f>C18-C17</f>
        <v>288</v>
      </c>
      <c r="D19" s="193">
        <f ca="1">(A19-C17)/C19</f>
        <v>6.104166666666667</v>
      </c>
    </row>
    <row r="20" spans="1:22" x14ac:dyDescent="0.25">
      <c r="D20" t="s">
        <v>312</v>
      </c>
    </row>
    <row r="24" spans="1:22" x14ac:dyDescent="0.25">
      <c r="A24" s="79" t="s">
        <v>82</v>
      </c>
      <c r="B24" s="79" t="s">
        <v>83</v>
      </c>
      <c r="C24" s="80" t="s">
        <v>295</v>
      </c>
      <c r="D24" s="81" t="s">
        <v>84</v>
      </c>
      <c r="E24" s="79" t="s">
        <v>85</v>
      </c>
      <c r="F24" s="79" t="s">
        <v>87</v>
      </c>
      <c r="G24" s="79" t="s">
        <v>88</v>
      </c>
      <c r="H24" s="79" t="s">
        <v>89</v>
      </c>
      <c r="I24" s="82" t="s">
        <v>296</v>
      </c>
      <c r="J24" s="82" t="s">
        <v>297</v>
      </c>
      <c r="K24" s="79" t="s">
        <v>100</v>
      </c>
      <c r="L24" s="79" t="s">
        <v>102</v>
      </c>
      <c r="M24" s="121" t="s">
        <v>298</v>
      </c>
      <c r="N24" s="121" t="s">
        <v>299</v>
      </c>
      <c r="O24" s="121" t="s">
        <v>300</v>
      </c>
      <c r="P24" s="121" t="s">
        <v>301</v>
      </c>
      <c r="Q24" s="121" t="s">
        <v>302</v>
      </c>
      <c r="R24" s="121" t="s">
        <v>303</v>
      </c>
      <c r="S24" s="121" t="s">
        <v>304</v>
      </c>
      <c r="T24" s="121" t="s">
        <v>305</v>
      </c>
      <c r="U24" s="121" t="s">
        <v>306</v>
      </c>
      <c r="V24" s="121" t="s">
        <v>307</v>
      </c>
    </row>
    <row r="28" spans="1:22" ht="19.5" x14ac:dyDescent="0.25">
      <c r="A28" s="553" t="s">
        <v>313</v>
      </c>
      <c r="B28" s="553"/>
      <c r="C28" s="553"/>
      <c r="D28" s="553"/>
    </row>
    <row r="29" spans="1:22" x14ac:dyDescent="0.25">
      <c r="A29" s="554" t="s">
        <v>314</v>
      </c>
      <c r="B29" s="555" t="s">
        <v>315</v>
      </c>
      <c r="C29" s="555" t="s">
        <v>316</v>
      </c>
      <c r="D29" s="555" t="s">
        <v>317</v>
      </c>
    </row>
    <row r="30" spans="1:22" x14ac:dyDescent="0.25">
      <c r="A30" s="554"/>
      <c r="B30" s="555"/>
      <c r="C30" s="555"/>
      <c r="D30" s="555"/>
    </row>
    <row r="31" spans="1:22" x14ac:dyDescent="0.25">
      <c r="A31" s="60" t="s">
        <v>315</v>
      </c>
      <c r="B31" s="61" t="s">
        <v>318</v>
      </c>
      <c r="C31" s="61" t="s">
        <v>319</v>
      </c>
      <c r="D31" s="61" t="s">
        <v>319</v>
      </c>
    </row>
    <row r="32" spans="1:22" x14ac:dyDescent="0.25">
      <c r="A32" s="202" t="s">
        <v>316</v>
      </c>
      <c r="B32" s="62" t="s">
        <v>320</v>
      </c>
      <c r="C32" s="62" t="s">
        <v>321</v>
      </c>
      <c r="D32" s="62" t="s">
        <v>319</v>
      </c>
    </row>
    <row r="33" spans="1:4" x14ac:dyDescent="0.25">
      <c r="A33" s="60" t="s">
        <v>317</v>
      </c>
      <c r="B33" s="61" t="s">
        <v>322</v>
      </c>
      <c r="C33" s="61" t="s">
        <v>323</v>
      </c>
      <c r="D33" s="61" t="s">
        <v>324</v>
      </c>
    </row>
    <row r="34" spans="1:4" x14ac:dyDescent="0.25">
      <c r="A34" s="202" t="s">
        <v>325</v>
      </c>
      <c r="B34" s="62" t="s">
        <v>326</v>
      </c>
      <c r="C34" s="62" t="s">
        <v>327</v>
      </c>
      <c r="D34" s="62" t="s">
        <v>328</v>
      </c>
    </row>
    <row r="35" spans="1:4" x14ac:dyDescent="0.25">
      <c r="A35" s="60" t="s">
        <v>329</v>
      </c>
      <c r="B35" s="61" t="s">
        <v>330</v>
      </c>
      <c r="C35" s="61" t="s">
        <v>331</v>
      </c>
      <c r="D35" s="61" t="s">
        <v>332</v>
      </c>
    </row>
    <row r="36" spans="1:4" x14ac:dyDescent="0.25">
      <c r="A36" s="202" t="s">
        <v>333</v>
      </c>
      <c r="B36" s="62" t="s">
        <v>334</v>
      </c>
      <c r="C36" s="62" t="s">
        <v>335</v>
      </c>
      <c r="D36" s="62" t="s">
        <v>336</v>
      </c>
    </row>
    <row r="37" spans="1:4" x14ac:dyDescent="0.25">
      <c r="A37" s="60" t="s">
        <v>337</v>
      </c>
      <c r="B37" s="61" t="s">
        <v>338</v>
      </c>
      <c r="C37" s="61" t="s">
        <v>339</v>
      </c>
      <c r="D37" s="61" t="s">
        <v>340</v>
      </c>
    </row>
    <row r="38" spans="1:4" x14ac:dyDescent="0.25">
      <c r="A38" s="202" t="s">
        <v>341</v>
      </c>
      <c r="B38" s="62" t="s">
        <v>342</v>
      </c>
      <c r="C38" s="62" t="s">
        <v>343</v>
      </c>
      <c r="D38" s="62" t="s">
        <v>344</v>
      </c>
    </row>
    <row r="39" spans="1:4" x14ac:dyDescent="0.25">
      <c r="A39" s="60" t="s">
        <v>345</v>
      </c>
      <c r="B39" s="61" t="s">
        <v>346</v>
      </c>
      <c r="C39" s="61" t="s">
        <v>347</v>
      </c>
      <c r="D39" s="61" t="s">
        <v>348</v>
      </c>
    </row>
    <row r="40" spans="1:4" x14ac:dyDescent="0.25">
      <c r="A40" s="202" t="s">
        <v>349</v>
      </c>
      <c r="B40" s="62" t="s">
        <v>350</v>
      </c>
      <c r="C40" s="62" t="s">
        <v>351</v>
      </c>
      <c r="D40" s="62" t="s">
        <v>352</v>
      </c>
    </row>
    <row r="41" spans="1:4" x14ac:dyDescent="0.25">
      <c r="A41" s="60" t="s">
        <v>353</v>
      </c>
      <c r="B41" s="61" t="s">
        <v>354</v>
      </c>
      <c r="C41" s="61" t="s">
        <v>355</v>
      </c>
      <c r="D41" s="61" t="s">
        <v>356</v>
      </c>
    </row>
    <row r="42" spans="1:4" x14ac:dyDescent="0.25">
      <c r="A42" s="202" t="s">
        <v>357</v>
      </c>
      <c r="B42" s="62" t="s">
        <v>358</v>
      </c>
      <c r="C42" s="62" t="s">
        <v>359</v>
      </c>
      <c r="D42" s="62" t="s">
        <v>360</v>
      </c>
    </row>
    <row r="43" spans="1:4" x14ac:dyDescent="0.25">
      <c r="A43" s="60" t="s">
        <v>361</v>
      </c>
      <c r="B43" s="61" t="s">
        <v>362</v>
      </c>
      <c r="C43" s="61" t="s">
        <v>363</v>
      </c>
      <c r="D43" s="61" t="s">
        <v>364</v>
      </c>
    </row>
    <row r="44" spans="1:4" x14ac:dyDescent="0.25">
      <c r="A44" s="202" t="s">
        <v>365</v>
      </c>
      <c r="B44" s="62" t="s">
        <v>366</v>
      </c>
      <c r="C44" s="62" t="s">
        <v>367</v>
      </c>
      <c r="D44" s="62" t="s">
        <v>368</v>
      </c>
    </row>
    <row r="45" spans="1:4" x14ac:dyDescent="0.25">
      <c r="A45" s="60" t="s">
        <v>369</v>
      </c>
      <c r="B45" s="61" t="s">
        <v>370</v>
      </c>
      <c r="C45" s="61" t="s">
        <v>371</v>
      </c>
      <c r="D45" s="61" t="s">
        <v>372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AX32"/>
  <sheetViews>
    <sheetView workbookViewId="0">
      <pane xSplit="6" ySplit="3" topLeftCell="X4" activePane="bottomRight" state="frozen"/>
      <selection pane="topRight"/>
      <selection pane="bottomLeft"/>
      <selection pane="bottomRight" activeCell="AQ4" sqref="AQ4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7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6.140625" bestFit="1" customWidth="1"/>
    <col min="15" max="15" width="6.140625" customWidth="1"/>
    <col min="16" max="16" width="5.5703125" style="57" customWidth="1"/>
    <col min="17" max="17" width="5" style="57" customWidth="1"/>
    <col min="18" max="18" width="4.42578125" style="57" customWidth="1"/>
    <col min="19" max="25" width="5.5703125" style="57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5703125" customWidth="1"/>
    <col min="45" max="45" width="11" customWidth="1"/>
    <col min="46" max="46" width="5.85546875" customWidth="1"/>
    <col min="47" max="47" width="12.42578125" customWidth="1"/>
    <col min="48" max="48" width="15.140625" customWidth="1"/>
    <col min="49" max="50" width="9.5703125" customWidth="1"/>
  </cols>
  <sheetData>
    <row r="1" spans="1:50" ht="18.75" x14ac:dyDescent="0.3">
      <c r="P1"/>
      <c r="Q1"/>
      <c r="AH1" s="556" t="s">
        <v>373</v>
      </c>
      <c r="AI1" s="556"/>
      <c r="AJ1" s="556"/>
      <c r="AK1" s="556"/>
      <c r="AL1" s="556"/>
      <c r="AM1" s="556"/>
      <c r="AN1" s="556"/>
      <c r="AO1" s="556"/>
      <c r="AP1" s="556"/>
      <c r="AQ1" s="556"/>
      <c r="AS1" s="133" t="s">
        <v>265</v>
      </c>
      <c r="AT1" s="133" t="s">
        <v>266</v>
      </c>
      <c r="AU1" s="133" t="s">
        <v>374</v>
      </c>
      <c r="AV1" s="134" t="s">
        <v>375</v>
      </c>
      <c r="AW1" s="57" t="s">
        <v>376</v>
      </c>
      <c r="AX1" s="57" t="s">
        <v>377</v>
      </c>
    </row>
    <row r="2" spans="1:50" s="65" customFormat="1" ht="18.75" x14ac:dyDescent="0.3">
      <c r="C2" s="97">
        <f ca="1">TODAY()</f>
        <v>44778</v>
      </c>
      <c r="D2" s="546">
        <v>41471</v>
      </c>
      <c r="E2" s="546"/>
      <c r="F2" s="546"/>
      <c r="G2" s="66"/>
      <c r="H2" s="66"/>
      <c r="I2" s="86"/>
      <c r="J2" s="66"/>
      <c r="K2" s="66"/>
      <c r="L2" s="66"/>
      <c r="M2" s="66"/>
      <c r="N2" s="66"/>
      <c r="O2" s="66"/>
      <c r="P2" s="116"/>
      <c r="Q2" s="72"/>
      <c r="R2" s="72"/>
      <c r="S2" s="72">
        <v>0</v>
      </c>
      <c r="T2" s="72">
        <v>0</v>
      </c>
      <c r="U2" s="72">
        <v>0</v>
      </c>
      <c r="V2" s="72">
        <v>0</v>
      </c>
      <c r="W2" s="72">
        <v>0</v>
      </c>
      <c r="X2" s="72">
        <v>0</v>
      </c>
      <c r="Y2" s="72">
        <v>0</v>
      </c>
      <c r="AJ2" s="131">
        <f>SUM(AJ4:AJ14)*$AV$3</f>
        <v>0</v>
      </c>
      <c r="AK2" s="131">
        <f>SUM(AK4:AK14)*$AV$3</f>
        <v>0</v>
      </c>
      <c r="AL2" s="131">
        <f>SUM(AL4:AL14)*$AV$2</f>
        <v>0</v>
      </c>
      <c r="AM2" s="131">
        <f>SUM(AM4:AM14)*$AV$4</f>
        <v>0</v>
      </c>
      <c r="AN2" s="131">
        <f>SUM(AN4:AN14)*$AV$5</f>
        <v>0</v>
      </c>
      <c r="AO2" s="131">
        <f>SUM(AO4:AO14)*$AV$5</f>
        <v>0</v>
      </c>
      <c r="AP2" s="131">
        <f>SUM(AP4:AP14)*$AV$6</f>
        <v>0</v>
      </c>
      <c r="AQ2" s="132">
        <f>SUM(AQ4:AQ14)</f>
        <v>0</v>
      </c>
      <c r="AS2" s="69" t="s">
        <v>267</v>
      </c>
      <c r="AT2" s="135">
        <v>1</v>
      </c>
      <c r="AU2" s="136">
        <v>0.624</v>
      </c>
      <c r="AV2" s="137">
        <v>0.24500000000000002</v>
      </c>
      <c r="AW2" s="94">
        <f>AV2*10</f>
        <v>2.4500000000000002</v>
      </c>
      <c r="AX2" s="94">
        <f>AV2*15</f>
        <v>3.6750000000000003</v>
      </c>
    </row>
    <row r="3" spans="1:50" ht="19.5" customHeight="1" x14ac:dyDescent="0.3">
      <c r="A3" s="79" t="s">
        <v>82</v>
      </c>
      <c r="B3" s="79" t="s">
        <v>83</v>
      </c>
      <c r="C3" s="81" t="s">
        <v>84</v>
      </c>
      <c r="D3" s="79" t="s">
        <v>85</v>
      </c>
      <c r="E3" s="79" t="s">
        <v>86</v>
      </c>
      <c r="F3" s="79" t="s">
        <v>87</v>
      </c>
      <c r="G3" s="79" t="s">
        <v>88</v>
      </c>
      <c r="H3" s="79" t="s">
        <v>89</v>
      </c>
      <c r="I3" s="79" t="s">
        <v>104</v>
      </c>
      <c r="J3" s="79" t="s">
        <v>105</v>
      </c>
      <c r="K3" s="79" t="s">
        <v>106</v>
      </c>
      <c r="L3" s="79" t="s">
        <v>107</v>
      </c>
      <c r="M3" s="79" t="s">
        <v>108</v>
      </c>
      <c r="N3" s="79" t="s">
        <v>109</v>
      </c>
      <c r="O3" s="79" t="s">
        <v>87</v>
      </c>
      <c r="P3" s="118" t="s">
        <v>85</v>
      </c>
      <c r="Q3" s="118" t="s">
        <v>86</v>
      </c>
      <c r="R3" s="117" t="s">
        <v>89</v>
      </c>
      <c r="S3" s="117" t="s">
        <v>104</v>
      </c>
      <c r="T3" s="117" t="s">
        <v>105</v>
      </c>
      <c r="U3" s="117" t="s">
        <v>106</v>
      </c>
      <c r="V3" s="117" t="s">
        <v>107</v>
      </c>
      <c r="W3" s="117" t="s">
        <v>108</v>
      </c>
      <c r="X3" s="117" t="s">
        <v>109</v>
      </c>
      <c r="Y3" s="117" t="s">
        <v>87</v>
      </c>
      <c r="Z3" s="117" t="s">
        <v>104</v>
      </c>
      <c r="AA3" s="117" t="s">
        <v>105</v>
      </c>
      <c r="AB3" s="117" t="s">
        <v>106</v>
      </c>
      <c r="AC3" s="117" t="s">
        <v>107</v>
      </c>
      <c r="AD3" s="117" t="s">
        <v>108</v>
      </c>
      <c r="AE3" s="117" t="s">
        <v>109</v>
      </c>
      <c r="AF3" s="117" t="s">
        <v>87</v>
      </c>
      <c r="AH3" s="557">
        <v>451</v>
      </c>
      <c r="AI3" s="558"/>
      <c r="AJ3" s="92" t="s">
        <v>378</v>
      </c>
      <c r="AK3" s="92" t="s">
        <v>379</v>
      </c>
      <c r="AL3" s="92" t="s">
        <v>380</v>
      </c>
      <c r="AM3" s="92" t="s">
        <v>381</v>
      </c>
      <c r="AN3" s="92" t="s">
        <v>382</v>
      </c>
      <c r="AO3" s="92" t="s">
        <v>383</v>
      </c>
      <c r="AP3" s="92" t="s">
        <v>384</v>
      </c>
      <c r="AQ3" s="92" t="s">
        <v>690</v>
      </c>
      <c r="AS3" s="69" t="s">
        <v>268</v>
      </c>
      <c r="AT3" s="135">
        <v>1</v>
      </c>
      <c r="AU3" s="136">
        <v>1.002</v>
      </c>
      <c r="AV3" s="137">
        <v>0.34000000000000008</v>
      </c>
      <c r="AW3" s="94">
        <f>AV3*10</f>
        <v>3.4000000000000008</v>
      </c>
      <c r="AX3" s="94">
        <f>AV3*15</f>
        <v>5.1000000000000014</v>
      </c>
    </row>
    <row r="4" spans="1:50" s="65" customFormat="1" ht="19.5" customHeight="1" x14ac:dyDescent="0.3">
      <c r="A4" s="4" t="str">
        <f>PLANTILLA!A5</f>
        <v>#15</v>
      </c>
      <c r="B4" s="4" t="str">
        <f>PLANTILLA!B5</f>
        <v>POR</v>
      </c>
      <c r="C4" s="75" t="str">
        <f>PLANTILLA!D5</f>
        <v>I. Shirazi</v>
      </c>
      <c r="D4" s="54">
        <f>PLANTILLA!E5</f>
        <v>20</v>
      </c>
      <c r="E4" s="55">
        <f ca="1">PLANTILLA!F5</f>
        <v>88</v>
      </c>
      <c r="F4" s="70"/>
      <c r="G4" s="236">
        <f>PLANTILLA!H5</f>
        <v>3</v>
      </c>
      <c r="H4" s="56">
        <f>PLANTILLA!I5</f>
        <v>0.5</v>
      </c>
      <c r="I4" s="140">
        <f>PLANTILLA!X5</f>
        <v>7</v>
      </c>
      <c r="J4" s="140">
        <f>PLANTILLA!Y5</f>
        <v>5</v>
      </c>
      <c r="K4" s="140">
        <f>PLANTILLA!Z5</f>
        <v>0</v>
      </c>
      <c r="L4" s="140">
        <f>PLANTILLA!AA5</f>
        <v>0</v>
      </c>
      <c r="M4" s="140">
        <f>PLANTILLA!AB5</f>
        <v>0</v>
      </c>
      <c r="N4" s="140">
        <f>PLANTILLA!AC5</f>
        <v>0</v>
      </c>
      <c r="O4" s="140">
        <f>PLANTILLA!AD5</f>
        <v>12</v>
      </c>
      <c r="P4" s="69">
        <f t="shared" ref="P4:P5" si="0">D4</f>
        <v>20</v>
      </c>
      <c r="Q4" s="119">
        <f t="shared" ref="Q4:Q5" ca="1" si="1">E4+7</f>
        <v>95</v>
      </c>
      <c r="R4" s="77">
        <f t="shared" ref="R4:R5" si="2">H4+$R$2</f>
        <v>0.5</v>
      </c>
      <c r="S4" s="155">
        <f t="shared" ref="S4:S5" si="3">I4</f>
        <v>7</v>
      </c>
      <c r="T4" s="155">
        <f t="shared" ref="T4:T5" si="4">J4</f>
        <v>5</v>
      </c>
      <c r="U4" s="155">
        <f t="shared" ref="U4:U5" si="5">K4</f>
        <v>0</v>
      </c>
      <c r="V4" s="155">
        <f t="shared" ref="V4:V5" si="6">L4</f>
        <v>0</v>
      </c>
      <c r="W4" s="155">
        <f t="shared" ref="W4:W5" si="7">M4</f>
        <v>0</v>
      </c>
      <c r="X4" s="155">
        <f t="shared" ref="X4:X5" si="8">N4</f>
        <v>0</v>
      </c>
      <c r="Y4" s="155">
        <f t="shared" ref="Y4:Y5" si="9">O4</f>
        <v>12</v>
      </c>
      <c r="Z4" s="124">
        <f t="shared" ref="Z4:Z5" si="10">S4-I4</f>
        <v>0</v>
      </c>
      <c r="AA4" s="124">
        <f t="shared" ref="AA4:AA5" si="11">T4-J4</f>
        <v>0</v>
      </c>
      <c r="AB4" s="124">
        <f t="shared" ref="AB4:AB5" si="12">U4-K4</f>
        <v>0</v>
      </c>
      <c r="AC4" s="124">
        <f t="shared" ref="AC4:AC5" si="13">V4-L4</f>
        <v>0</v>
      </c>
      <c r="AD4" s="124">
        <f t="shared" ref="AD4:AD5" si="14">W4-M4</f>
        <v>0</v>
      </c>
      <c r="AE4" s="124">
        <f t="shared" ref="AE4:AE5" si="15">X4-N4</f>
        <v>0</v>
      </c>
      <c r="AF4" s="124">
        <f t="shared" ref="AF4:AF5" si="16">Y4-O4</f>
        <v>0</v>
      </c>
      <c r="AH4" s="125" t="s">
        <v>14</v>
      </c>
      <c r="AI4" s="84" t="str">
        <f>C5</f>
        <v>L. Guangwei</v>
      </c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29">
        <v>0</v>
      </c>
      <c r="AS4" s="69" t="s">
        <v>269</v>
      </c>
      <c r="AT4" s="135">
        <v>1</v>
      </c>
      <c r="AU4" s="136">
        <v>0.46800000000000008</v>
      </c>
      <c r="AV4" s="137">
        <v>0.125</v>
      </c>
      <c r="AW4" s="94">
        <f>AV4*10</f>
        <v>1.25</v>
      </c>
      <c r="AX4" s="94">
        <f>AV4*15</f>
        <v>1.875</v>
      </c>
    </row>
    <row r="5" spans="1:50" s="65" customFormat="1" ht="19.5" customHeight="1" x14ac:dyDescent="0.3">
      <c r="A5" s="4" t="str">
        <f>PLANTILLA!A4</f>
        <v>#1</v>
      </c>
      <c r="B5" s="4" t="str">
        <f>PLANTILLA!B4</f>
        <v>POR</v>
      </c>
      <c r="C5" s="564" t="str">
        <f>PLANTILLA!D4</f>
        <v>L. Guangwei</v>
      </c>
      <c r="D5" s="54">
        <f>PLANTILLA!E4</f>
        <v>29</v>
      </c>
      <c r="E5" s="55">
        <f ca="1">PLANTILLA!F4</f>
        <v>59</v>
      </c>
      <c r="F5" s="70" t="str">
        <f>PLANTILLA!G4</f>
        <v>IMP</v>
      </c>
      <c r="G5" s="236">
        <f>PLANTILLA!H4</f>
        <v>0</v>
      </c>
      <c r="H5" s="56">
        <f>PLANTILLA!I4</f>
        <v>9</v>
      </c>
      <c r="I5" s="140">
        <f>PLANTILLA!X4</f>
        <v>15</v>
      </c>
      <c r="J5" s="140">
        <f>PLANTILLA!Y4</f>
        <v>9.4444444444444446</v>
      </c>
      <c r="K5" s="140">
        <f>PLANTILLA!Z4</f>
        <v>3</v>
      </c>
      <c r="L5" s="140">
        <f>PLANTILLA!AA4</f>
        <v>1</v>
      </c>
      <c r="M5" s="140">
        <f>PLANTILLA!AB4</f>
        <v>5</v>
      </c>
      <c r="N5" s="140">
        <f>PLANTILLA!AC4</f>
        <v>5.6</v>
      </c>
      <c r="O5" s="140">
        <f>PLANTILLA!AD4</f>
        <v>22</v>
      </c>
      <c r="P5" s="69">
        <f t="shared" si="0"/>
        <v>29</v>
      </c>
      <c r="Q5" s="119">
        <f t="shared" ca="1" si="1"/>
        <v>66</v>
      </c>
      <c r="R5" s="77">
        <f t="shared" si="2"/>
        <v>9</v>
      </c>
      <c r="S5" s="155">
        <f t="shared" si="3"/>
        <v>15</v>
      </c>
      <c r="T5" s="155">
        <f t="shared" si="4"/>
        <v>9.4444444444444446</v>
      </c>
      <c r="U5" s="155">
        <f t="shared" si="5"/>
        <v>3</v>
      </c>
      <c r="V5" s="155">
        <f t="shared" si="6"/>
        <v>1</v>
      </c>
      <c r="W5" s="155">
        <f t="shared" si="7"/>
        <v>5</v>
      </c>
      <c r="X5" s="155">
        <f t="shared" si="8"/>
        <v>5.6</v>
      </c>
      <c r="Y5" s="155">
        <f t="shared" si="9"/>
        <v>22</v>
      </c>
      <c r="Z5" s="124">
        <f t="shared" si="10"/>
        <v>0</v>
      </c>
      <c r="AA5" s="124">
        <f t="shared" si="11"/>
        <v>0</v>
      </c>
      <c r="AB5" s="124">
        <f t="shared" si="12"/>
        <v>0</v>
      </c>
      <c r="AC5" s="124">
        <f t="shared" si="13"/>
        <v>0</v>
      </c>
      <c r="AD5" s="124">
        <f t="shared" si="14"/>
        <v>0</v>
      </c>
      <c r="AE5" s="124">
        <f t="shared" si="15"/>
        <v>0</v>
      </c>
      <c r="AF5" s="124">
        <f t="shared" si="16"/>
        <v>0</v>
      </c>
      <c r="AH5" s="125" t="s">
        <v>167</v>
      </c>
      <c r="AI5" s="84" t="str">
        <f>C6</f>
        <v>V. Gardner</v>
      </c>
      <c r="AJ5" s="127">
        <v>0</v>
      </c>
      <c r="AK5" s="127">
        <v>0</v>
      </c>
      <c r="AL5" s="127">
        <v>0</v>
      </c>
      <c r="AM5" s="127">
        <v>0</v>
      </c>
      <c r="AN5" s="127">
        <f>AC18*0.588</f>
        <v>0</v>
      </c>
      <c r="AO5" s="127">
        <v>0</v>
      </c>
      <c r="AP5" s="127">
        <v>0</v>
      </c>
      <c r="AQ5" s="129">
        <v>0</v>
      </c>
      <c r="AS5" s="69" t="s">
        <v>270</v>
      </c>
      <c r="AT5" s="135">
        <v>1</v>
      </c>
      <c r="AU5" s="136">
        <v>0.877</v>
      </c>
      <c r="AV5" s="137">
        <v>0.25</v>
      </c>
      <c r="AW5" s="94">
        <f>AV5*10</f>
        <v>2.5</v>
      </c>
      <c r="AX5" s="94">
        <f>AV5*15</f>
        <v>3.75</v>
      </c>
    </row>
    <row r="6" spans="1:50" ht="19.5" customHeight="1" x14ac:dyDescent="0.3">
      <c r="A6" s="4" t="str">
        <f>PLANTILLA!A6</f>
        <v>#22</v>
      </c>
      <c r="B6" s="4" t="str">
        <f>PLANTILLA!B6</f>
        <v>LAT</v>
      </c>
      <c r="C6" s="564" t="str">
        <f>PLANTILLA!D6</f>
        <v>V. Gardner</v>
      </c>
      <c r="D6" s="54">
        <f>PLANTILLA!E6</f>
        <v>28</v>
      </c>
      <c r="E6" s="55">
        <f ca="1">PLANTILLA!F6</f>
        <v>100</v>
      </c>
      <c r="F6" s="70"/>
      <c r="G6" s="236">
        <f>PLANTILLA!H6</f>
        <v>3</v>
      </c>
      <c r="H6" s="56">
        <f>PLANTILLA!I6</f>
        <v>8</v>
      </c>
      <c r="I6" s="140">
        <f>PLANTILLA!X6</f>
        <v>0</v>
      </c>
      <c r="J6" s="140">
        <f>PLANTILLA!Y6</f>
        <v>15</v>
      </c>
      <c r="K6" s="140">
        <f>PLANTILLA!Z6</f>
        <v>8.375</v>
      </c>
      <c r="L6" s="140">
        <f>PLANTILLA!AA6</f>
        <v>3</v>
      </c>
      <c r="M6" s="140">
        <f>PLANTILLA!AB6</f>
        <v>5</v>
      </c>
      <c r="N6" s="140">
        <f>PLANTILLA!AC6</f>
        <v>7.333333333333333</v>
      </c>
      <c r="O6" s="140">
        <f>PLANTILLA!AD6</f>
        <v>19</v>
      </c>
      <c r="P6" s="69">
        <f t="shared" ref="P6:P26" si="17">D6</f>
        <v>28</v>
      </c>
      <c r="Q6" s="119">
        <f t="shared" ref="Q6:Q26" ca="1" si="18">E6+7</f>
        <v>107</v>
      </c>
      <c r="R6" s="77">
        <f t="shared" ref="R6:R26" si="19">H6+$R$2</f>
        <v>8</v>
      </c>
      <c r="S6" s="155">
        <f t="shared" ref="S6:S26" si="20">I6</f>
        <v>0</v>
      </c>
      <c r="T6" s="155">
        <f t="shared" ref="T6:T26" si="21">J6</f>
        <v>15</v>
      </c>
      <c r="U6" s="155">
        <f t="shared" ref="U6:U26" si="22">K6</f>
        <v>8.375</v>
      </c>
      <c r="V6" s="155">
        <f t="shared" ref="V6:V26" si="23">L6</f>
        <v>3</v>
      </c>
      <c r="W6" s="155">
        <f t="shared" ref="W6:W26" si="24">M6</f>
        <v>5</v>
      </c>
      <c r="X6" s="155">
        <f t="shared" ref="X6:X26" si="25">N6</f>
        <v>7.333333333333333</v>
      </c>
      <c r="Y6" s="155">
        <f t="shared" ref="Y6:Y26" si="26">O6</f>
        <v>19</v>
      </c>
      <c r="Z6" s="124">
        <f t="shared" ref="Z6:Z26" si="27">S6-I6</f>
        <v>0</v>
      </c>
      <c r="AA6" s="124">
        <f t="shared" ref="AA6:AA26" si="28">T6-J6</f>
        <v>0</v>
      </c>
      <c r="AB6" s="124">
        <f t="shared" ref="AB6:AB26" si="29">U6-K6</f>
        <v>0</v>
      </c>
      <c r="AC6" s="124">
        <f t="shared" ref="AC6:AC26" si="30">V6-L6</f>
        <v>0</v>
      </c>
      <c r="AD6" s="124">
        <f t="shared" ref="AD6:AD26" si="31">W6-M6</f>
        <v>0</v>
      </c>
      <c r="AE6" s="124">
        <f t="shared" ref="AE6:AE26" si="32">X6-N6</f>
        <v>0</v>
      </c>
      <c r="AF6" s="124">
        <f t="shared" ref="AF6:AF26" si="33">Y6-O6</f>
        <v>0</v>
      </c>
      <c r="AH6" s="126" t="s">
        <v>387</v>
      </c>
      <c r="AI6" s="84" t="str">
        <f>C10</f>
        <v>T. McPhail</v>
      </c>
      <c r="AJ6" s="127">
        <v>0</v>
      </c>
      <c r="AK6" s="127">
        <v>0</v>
      </c>
      <c r="AL6" s="127">
        <v>0</v>
      </c>
      <c r="AM6" s="128">
        <v>0</v>
      </c>
      <c r="AN6" s="128">
        <v>0</v>
      </c>
      <c r="AO6" s="128">
        <v>0</v>
      </c>
      <c r="AP6" s="128">
        <v>0</v>
      </c>
      <c r="AQ6" s="129">
        <v>0</v>
      </c>
      <c r="AS6" s="69" t="s">
        <v>271</v>
      </c>
      <c r="AT6" s="135">
        <v>1</v>
      </c>
      <c r="AU6" s="136">
        <v>0.59299999999999997</v>
      </c>
      <c r="AV6" s="137">
        <v>0.19</v>
      </c>
      <c r="AW6" s="94">
        <f>AV6*10</f>
        <v>1.9</v>
      </c>
      <c r="AX6" s="94">
        <f>AV6*15</f>
        <v>2.85</v>
      </c>
    </row>
    <row r="7" spans="1:50" ht="19.5" customHeight="1" x14ac:dyDescent="0.25">
      <c r="A7" s="4" t="str">
        <f>PLANTILLA!A7</f>
        <v>#2</v>
      </c>
      <c r="B7" s="4" t="str">
        <f>PLANTILLA!B7</f>
        <v>DEF</v>
      </c>
      <c r="C7" s="75" t="str">
        <f>PLANTILLA!D7</f>
        <v>S. Swärdborn</v>
      </c>
      <c r="D7" s="54">
        <f>PLANTILLA!E7</f>
        <v>28</v>
      </c>
      <c r="E7" s="55">
        <f ca="1">PLANTILLA!F7</f>
        <v>88</v>
      </c>
      <c r="F7" s="70"/>
      <c r="G7" s="236">
        <f>PLANTILLA!H7</f>
        <v>2</v>
      </c>
      <c r="H7" s="56">
        <f>PLANTILLA!I7</f>
        <v>8</v>
      </c>
      <c r="I7" s="140">
        <f>PLANTILLA!X7</f>
        <v>0</v>
      </c>
      <c r="J7" s="140">
        <f>PLANTILLA!Y7</f>
        <v>14.85</v>
      </c>
      <c r="K7" s="140">
        <f>PLANTILLA!Z7</f>
        <v>10</v>
      </c>
      <c r="L7" s="140">
        <f>PLANTILLA!AA7</f>
        <v>1</v>
      </c>
      <c r="M7" s="140">
        <f>PLANTILLA!AB7</f>
        <v>3</v>
      </c>
      <c r="N7" s="140">
        <f>PLANTILLA!AC7</f>
        <v>7.916666666666667</v>
      </c>
      <c r="O7" s="140">
        <f>PLANTILLA!AD7</f>
        <v>18.75</v>
      </c>
      <c r="P7" s="69">
        <f t="shared" si="17"/>
        <v>28</v>
      </c>
      <c r="Q7" s="119">
        <f t="shared" ca="1" si="18"/>
        <v>95</v>
      </c>
      <c r="R7" s="77">
        <f t="shared" si="19"/>
        <v>8</v>
      </c>
      <c r="S7" s="155">
        <f t="shared" si="20"/>
        <v>0</v>
      </c>
      <c r="T7" s="155">
        <f t="shared" si="21"/>
        <v>14.85</v>
      </c>
      <c r="U7" s="155">
        <f t="shared" si="22"/>
        <v>10</v>
      </c>
      <c r="V7" s="155">
        <f t="shared" si="23"/>
        <v>1</v>
      </c>
      <c r="W7" s="155">
        <f t="shared" si="24"/>
        <v>3</v>
      </c>
      <c r="X7" s="155">
        <f t="shared" si="25"/>
        <v>7.916666666666667</v>
      </c>
      <c r="Y7" s="155">
        <f t="shared" si="26"/>
        <v>18.75</v>
      </c>
      <c r="Z7" s="124">
        <f t="shared" si="27"/>
        <v>0</v>
      </c>
      <c r="AA7" s="124">
        <f t="shared" si="28"/>
        <v>0</v>
      </c>
      <c r="AB7" s="124">
        <f t="shared" si="29"/>
        <v>0</v>
      </c>
      <c r="AC7" s="124">
        <f t="shared" si="30"/>
        <v>0</v>
      </c>
      <c r="AD7" s="124">
        <f t="shared" si="31"/>
        <v>0</v>
      </c>
      <c r="AE7" s="124">
        <f t="shared" si="32"/>
        <v>0</v>
      </c>
      <c r="AF7" s="124">
        <f t="shared" si="33"/>
        <v>0</v>
      </c>
      <c r="AH7" s="126" t="s">
        <v>387</v>
      </c>
      <c r="AI7" s="84" t="str">
        <f>C15</f>
        <v>K. Polyukhov</v>
      </c>
      <c r="AJ7" s="127">
        <v>0</v>
      </c>
      <c r="AK7" s="127">
        <v>0</v>
      </c>
      <c r="AL7" s="127">
        <v>0</v>
      </c>
      <c r="AM7" s="128">
        <v>0</v>
      </c>
      <c r="AN7" s="128">
        <v>0</v>
      </c>
      <c r="AO7" s="128">
        <f>AC7*0.588</f>
        <v>0</v>
      </c>
      <c r="AP7" s="128">
        <v>0</v>
      </c>
      <c r="AQ7" s="129">
        <v>0</v>
      </c>
    </row>
    <row r="8" spans="1:50" s="1" customFormat="1" ht="19.5" customHeight="1" x14ac:dyDescent="0.25">
      <c r="A8" s="4" t="str">
        <f>PLANTILLA!A8</f>
        <v>#19</v>
      </c>
      <c r="B8" s="4" t="str">
        <f>PLANTILLA!B8</f>
        <v>DEF</v>
      </c>
      <c r="C8" s="564" t="str">
        <f>PLANTILLA!D8</f>
        <v>A. Grimaud</v>
      </c>
      <c r="D8" s="54">
        <f>PLANTILLA!E8</f>
        <v>28</v>
      </c>
      <c r="E8" s="55">
        <f ca="1">PLANTILLA!F8</f>
        <v>111</v>
      </c>
      <c r="F8" s="70" t="str">
        <f>PLANTILLA!G8</f>
        <v>RAP</v>
      </c>
      <c r="G8" s="236">
        <f>PLANTILLA!H8</f>
        <v>2</v>
      </c>
      <c r="H8" s="56">
        <f>PLANTILLA!I8</f>
        <v>8</v>
      </c>
      <c r="I8" s="140">
        <f>PLANTILLA!X8</f>
        <v>0</v>
      </c>
      <c r="J8" s="140">
        <f>PLANTILLA!Y8</f>
        <v>14.9</v>
      </c>
      <c r="K8" s="140">
        <f>PLANTILLA!Z8</f>
        <v>10.222222222222221</v>
      </c>
      <c r="L8" s="140">
        <f>PLANTILLA!AA8</f>
        <v>3</v>
      </c>
      <c r="M8" s="140">
        <f>PLANTILLA!AB8</f>
        <v>3</v>
      </c>
      <c r="N8" s="140">
        <f>PLANTILLA!AC8</f>
        <v>7.25</v>
      </c>
      <c r="O8" s="140">
        <f>PLANTILLA!AD8</f>
        <v>18.2</v>
      </c>
      <c r="P8" s="69">
        <f t="shared" si="17"/>
        <v>28</v>
      </c>
      <c r="Q8" s="119">
        <f t="shared" ca="1" si="18"/>
        <v>118</v>
      </c>
      <c r="R8" s="77">
        <f t="shared" si="19"/>
        <v>8</v>
      </c>
      <c r="S8" s="155">
        <f t="shared" si="20"/>
        <v>0</v>
      </c>
      <c r="T8" s="155">
        <f t="shared" si="21"/>
        <v>14.9</v>
      </c>
      <c r="U8" s="155">
        <f t="shared" si="22"/>
        <v>10.222222222222221</v>
      </c>
      <c r="V8" s="155">
        <f t="shared" si="23"/>
        <v>3</v>
      </c>
      <c r="W8" s="155">
        <f t="shared" si="24"/>
        <v>3</v>
      </c>
      <c r="X8" s="155">
        <f t="shared" si="25"/>
        <v>7.25</v>
      </c>
      <c r="Y8" s="155">
        <f t="shared" si="26"/>
        <v>18.2</v>
      </c>
      <c r="Z8" s="124">
        <f t="shared" si="27"/>
        <v>0</v>
      </c>
      <c r="AA8" s="124">
        <f t="shared" si="28"/>
        <v>0</v>
      </c>
      <c r="AB8" s="124">
        <f t="shared" si="29"/>
        <v>0</v>
      </c>
      <c r="AC8" s="124">
        <f t="shared" si="30"/>
        <v>0</v>
      </c>
      <c r="AD8" s="124">
        <f t="shared" si="31"/>
        <v>0</v>
      </c>
      <c r="AE8" s="124">
        <f t="shared" si="32"/>
        <v>0</v>
      </c>
      <c r="AF8" s="124">
        <f t="shared" si="33"/>
        <v>0</v>
      </c>
      <c r="AH8" s="125" t="s">
        <v>167</v>
      </c>
      <c r="AI8" s="84" t="str">
        <f>C8</f>
        <v>A. Grimaud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0</v>
      </c>
      <c r="AP8" s="127">
        <v>0</v>
      </c>
      <c r="AQ8" s="129">
        <v>0</v>
      </c>
    </row>
    <row r="9" spans="1:50" ht="19.5" customHeight="1" x14ac:dyDescent="0.25">
      <c r="A9" s="4" t="str">
        <f>PLANTILLA!A9</f>
        <v>#4</v>
      </c>
      <c r="B9" s="4" t="str">
        <f>PLANTILLA!B9</f>
        <v>DEF</v>
      </c>
      <c r="C9" s="75" t="str">
        <f>PLANTILLA!D9</f>
        <v>E. Deus</v>
      </c>
      <c r="D9" s="54">
        <f>PLANTILLA!E9</f>
        <v>28</v>
      </c>
      <c r="E9" s="55">
        <f ca="1">PLANTILLA!F9</f>
        <v>27</v>
      </c>
      <c r="F9" s="70"/>
      <c r="G9" s="236">
        <f>PLANTILLA!H9</f>
        <v>3</v>
      </c>
      <c r="H9" s="56">
        <f>PLANTILLA!I9</f>
        <v>7</v>
      </c>
      <c r="I9" s="140">
        <f>PLANTILLA!X9</f>
        <v>0</v>
      </c>
      <c r="J9" s="140">
        <f>PLANTILLA!Y9</f>
        <v>14.1</v>
      </c>
      <c r="K9" s="140">
        <f>PLANTILLA!Z9</f>
        <v>9.375</v>
      </c>
      <c r="L9" s="140">
        <f>PLANTILLA!AA9</f>
        <v>1</v>
      </c>
      <c r="M9" s="140">
        <f>PLANTILLA!AB9</f>
        <v>6</v>
      </c>
      <c r="N9" s="140">
        <f>PLANTILLA!AC9</f>
        <v>6.4</v>
      </c>
      <c r="O9" s="140">
        <f>PLANTILLA!AD9</f>
        <v>19.2</v>
      </c>
      <c r="P9" s="69">
        <f t="shared" si="17"/>
        <v>28</v>
      </c>
      <c r="Q9" s="119">
        <f t="shared" ca="1" si="18"/>
        <v>34</v>
      </c>
      <c r="R9" s="77">
        <f t="shared" si="19"/>
        <v>7</v>
      </c>
      <c r="S9" s="155">
        <f t="shared" si="20"/>
        <v>0</v>
      </c>
      <c r="T9" s="155">
        <f t="shared" si="21"/>
        <v>14.1</v>
      </c>
      <c r="U9" s="155">
        <f t="shared" si="22"/>
        <v>9.375</v>
      </c>
      <c r="V9" s="155">
        <f t="shared" si="23"/>
        <v>1</v>
      </c>
      <c r="W9" s="155">
        <f t="shared" si="24"/>
        <v>6</v>
      </c>
      <c r="X9" s="155">
        <f t="shared" si="25"/>
        <v>6.4</v>
      </c>
      <c r="Y9" s="155">
        <f t="shared" si="26"/>
        <v>19.2</v>
      </c>
      <c r="Z9" s="124">
        <f t="shared" si="27"/>
        <v>0</v>
      </c>
      <c r="AA9" s="124">
        <f t="shared" si="28"/>
        <v>0</v>
      </c>
      <c r="AB9" s="124">
        <f t="shared" si="29"/>
        <v>0</v>
      </c>
      <c r="AC9" s="124">
        <f t="shared" si="30"/>
        <v>0</v>
      </c>
      <c r="AD9" s="124">
        <f t="shared" si="31"/>
        <v>0</v>
      </c>
      <c r="AE9" s="124">
        <f t="shared" si="32"/>
        <v>0</v>
      </c>
      <c r="AF9" s="124">
        <f t="shared" si="33"/>
        <v>0</v>
      </c>
      <c r="AH9" s="126" t="s">
        <v>121</v>
      </c>
      <c r="AI9" s="4" t="str">
        <f>C16</f>
        <v>I. Vanags</v>
      </c>
      <c r="AJ9" s="128">
        <f>AA14*0.189</f>
        <v>0</v>
      </c>
      <c r="AK9" s="128">
        <v>0</v>
      </c>
      <c r="AL9" s="128">
        <f>AA14*0.4</f>
        <v>0</v>
      </c>
      <c r="AM9" s="128">
        <f>AB14*1</f>
        <v>0</v>
      </c>
      <c r="AN9" s="128">
        <f>(AC12*0.574)+(AD12*0.315)</f>
        <v>0</v>
      </c>
      <c r="AO9" s="128">
        <v>0</v>
      </c>
      <c r="AP9" s="128">
        <f>AD12*0.241</f>
        <v>0</v>
      </c>
      <c r="AQ9" s="130">
        <v>0</v>
      </c>
    </row>
    <row r="10" spans="1:50" s="3" customFormat="1" ht="19.5" customHeight="1" x14ac:dyDescent="0.25">
      <c r="A10" s="4" t="str">
        <f>PLANTILLA!A12</f>
        <v>#2</v>
      </c>
      <c r="B10" s="4" t="str">
        <f>PLANTILLA!B12</f>
        <v>MED</v>
      </c>
      <c r="C10" s="564" t="str">
        <f>PLANTILLA!D12</f>
        <v>T. McPhail</v>
      </c>
      <c r="D10" s="54">
        <f>PLANTILLA!E12</f>
        <v>28</v>
      </c>
      <c r="E10" s="55">
        <f ca="1">PLANTILLA!F12</f>
        <v>8</v>
      </c>
      <c r="F10" s="70" t="str">
        <f>PLANTILLA!G12</f>
        <v>IMP</v>
      </c>
      <c r="G10" s="236">
        <f>PLANTILLA!H12</f>
        <v>2</v>
      </c>
      <c r="H10" s="56">
        <f>PLANTILLA!I12</f>
        <v>8</v>
      </c>
      <c r="I10" s="140">
        <f>PLANTILLA!X12</f>
        <v>0</v>
      </c>
      <c r="J10" s="140">
        <f>PLANTILLA!Y12</f>
        <v>13</v>
      </c>
      <c r="K10" s="140">
        <f>PLANTILLA!Z12</f>
        <v>14</v>
      </c>
      <c r="L10" s="140">
        <f>PLANTILLA!AA12</f>
        <v>4</v>
      </c>
      <c r="M10" s="140">
        <f>PLANTILLA!AB12</f>
        <v>5</v>
      </c>
      <c r="N10" s="140">
        <f>PLANTILLA!AC12</f>
        <v>9</v>
      </c>
      <c r="O10" s="140">
        <f>PLANTILLA!AD12</f>
        <v>16</v>
      </c>
      <c r="P10" s="69">
        <f t="shared" si="17"/>
        <v>28</v>
      </c>
      <c r="Q10" s="119">
        <f t="shared" ca="1" si="18"/>
        <v>15</v>
      </c>
      <c r="R10" s="77">
        <f t="shared" si="19"/>
        <v>8</v>
      </c>
      <c r="S10" s="155">
        <f t="shared" si="20"/>
        <v>0</v>
      </c>
      <c r="T10" s="155">
        <f t="shared" si="21"/>
        <v>13</v>
      </c>
      <c r="U10" s="155">
        <f t="shared" si="22"/>
        <v>14</v>
      </c>
      <c r="V10" s="155">
        <f t="shared" si="23"/>
        <v>4</v>
      </c>
      <c r="W10" s="155">
        <f t="shared" si="24"/>
        <v>5</v>
      </c>
      <c r="X10" s="155">
        <f t="shared" si="25"/>
        <v>9</v>
      </c>
      <c r="Y10" s="155">
        <f t="shared" si="26"/>
        <v>16</v>
      </c>
      <c r="Z10" s="124">
        <f t="shared" si="27"/>
        <v>0</v>
      </c>
      <c r="AA10" s="124">
        <f t="shared" si="28"/>
        <v>0</v>
      </c>
      <c r="AB10" s="124">
        <f t="shared" si="29"/>
        <v>0</v>
      </c>
      <c r="AC10" s="124">
        <f t="shared" si="30"/>
        <v>0</v>
      </c>
      <c r="AD10" s="124">
        <f t="shared" si="31"/>
        <v>0</v>
      </c>
      <c r="AE10" s="124">
        <f t="shared" si="32"/>
        <v>0</v>
      </c>
      <c r="AF10" s="124">
        <f t="shared" si="33"/>
        <v>0</v>
      </c>
      <c r="AH10" s="126" t="s">
        <v>388</v>
      </c>
      <c r="AI10" s="4" t="str">
        <f>C13</f>
        <v>Dusty Ware</v>
      </c>
      <c r="AJ10" s="128">
        <f>AA17*((0.27+0.135)/2)</f>
        <v>0</v>
      </c>
      <c r="AK10" s="128">
        <f>AJ10</f>
        <v>0</v>
      </c>
      <c r="AL10" s="128">
        <f>AA17*0.594</f>
        <v>0</v>
      </c>
      <c r="AM10" s="128">
        <f>AB17*0.944</f>
        <v>0</v>
      </c>
      <c r="AN10" s="128">
        <f>AD15*0.188</f>
        <v>0</v>
      </c>
      <c r="AO10" s="128">
        <f>AN10</f>
        <v>0</v>
      </c>
      <c r="AP10" s="128">
        <f>AD15*0.507+AE15*0.31</f>
        <v>0</v>
      </c>
      <c r="AQ10" s="130">
        <v>0</v>
      </c>
    </row>
    <row r="11" spans="1:50" ht="19.5" customHeight="1" x14ac:dyDescent="0.25">
      <c r="A11" s="4" t="str">
        <f>PLANTILLA!A15</f>
        <v>#12</v>
      </c>
      <c r="B11" s="4" t="str">
        <f>PLANTILLA!B15</f>
        <v>MED</v>
      </c>
      <c r="C11" s="564" t="str">
        <f>PLANTILLA!D15</f>
        <v>P. Tuderek</v>
      </c>
      <c r="D11" s="54">
        <f>PLANTILLA!E15</f>
        <v>28</v>
      </c>
      <c r="E11" s="55">
        <f ca="1">PLANTILLA!F15</f>
        <v>89</v>
      </c>
      <c r="F11" s="70"/>
      <c r="G11" s="236">
        <f>PLANTILLA!H15</f>
        <v>4</v>
      </c>
      <c r="H11" s="56">
        <f>PLANTILLA!I15</f>
        <v>7</v>
      </c>
      <c r="I11" s="140">
        <f>PLANTILLA!X15</f>
        <v>0</v>
      </c>
      <c r="J11" s="140">
        <f>PLANTILLA!Y15</f>
        <v>11.307692307692308</v>
      </c>
      <c r="K11" s="140">
        <f>PLANTILLA!Z15</f>
        <v>14.333333333333334</v>
      </c>
      <c r="L11" s="140">
        <f>PLANTILLA!AA15</f>
        <v>2</v>
      </c>
      <c r="M11" s="140">
        <f>PLANTILLA!AB15</f>
        <v>3</v>
      </c>
      <c r="N11" s="140">
        <f>PLANTILLA!AC15</f>
        <v>8</v>
      </c>
      <c r="O11" s="140">
        <f>PLANTILLA!AD15</f>
        <v>20.166666666666668</v>
      </c>
      <c r="P11" s="69">
        <f t="shared" si="17"/>
        <v>28</v>
      </c>
      <c r="Q11" s="119">
        <f t="shared" ca="1" si="18"/>
        <v>96</v>
      </c>
      <c r="R11" s="77">
        <f t="shared" si="19"/>
        <v>7</v>
      </c>
      <c r="S11" s="155">
        <f t="shared" si="20"/>
        <v>0</v>
      </c>
      <c r="T11" s="155">
        <f t="shared" si="21"/>
        <v>11.307692307692308</v>
      </c>
      <c r="U11" s="155">
        <f t="shared" si="22"/>
        <v>14.333333333333334</v>
      </c>
      <c r="V11" s="155">
        <f t="shared" si="23"/>
        <v>2</v>
      </c>
      <c r="W11" s="155">
        <f t="shared" si="24"/>
        <v>3</v>
      </c>
      <c r="X11" s="155">
        <f t="shared" si="25"/>
        <v>8</v>
      </c>
      <c r="Y11" s="155">
        <f t="shared" si="26"/>
        <v>20.166666666666668</v>
      </c>
      <c r="Z11" s="124">
        <f t="shared" si="27"/>
        <v>0</v>
      </c>
      <c r="AA11" s="124">
        <f t="shared" si="28"/>
        <v>0</v>
      </c>
      <c r="AB11" s="124">
        <f t="shared" si="29"/>
        <v>0</v>
      </c>
      <c r="AC11" s="124">
        <f t="shared" si="30"/>
        <v>0</v>
      </c>
      <c r="AD11" s="124">
        <f t="shared" si="31"/>
        <v>0</v>
      </c>
      <c r="AE11" s="124">
        <f t="shared" si="32"/>
        <v>0</v>
      </c>
      <c r="AF11" s="124">
        <f t="shared" si="33"/>
        <v>0</v>
      </c>
      <c r="AH11" s="126" t="s">
        <v>121</v>
      </c>
      <c r="AI11" s="4" t="str">
        <f>C18</f>
        <v>G. Piscaer</v>
      </c>
      <c r="AJ11" s="128">
        <v>0</v>
      </c>
      <c r="AK11" s="128">
        <f>AA12*0.189</f>
        <v>0</v>
      </c>
      <c r="AL11" s="128">
        <f>AA12*0.4</f>
        <v>0</v>
      </c>
      <c r="AM11" s="128">
        <f>AB12*1</f>
        <v>0</v>
      </c>
      <c r="AN11" s="128">
        <v>0</v>
      </c>
      <c r="AO11" s="128">
        <f>(AC13*0.574)+(AD13*0.314)</f>
        <v>0</v>
      </c>
      <c r="AP11" s="128">
        <f>AD13*0.241</f>
        <v>0</v>
      </c>
      <c r="AQ11" s="130">
        <v>0</v>
      </c>
    </row>
    <row r="12" spans="1:50" ht="19.5" customHeight="1" x14ac:dyDescent="0.25">
      <c r="A12" s="4" t="str">
        <f>PLANTILLA!A13</f>
        <v>#10</v>
      </c>
      <c r="B12" s="4" t="str">
        <f>PLANTILLA!B13</f>
        <v>MED</v>
      </c>
      <c r="C12" s="75" t="str">
        <f>PLANTILLA!D13</f>
        <v>R. Forsyth</v>
      </c>
      <c r="D12" s="54">
        <f>PLANTILLA!E13</f>
        <v>29</v>
      </c>
      <c r="E12" s="55">
        <f ca="1">PLANTILLA!F13</f>
        <v>32</v>
      </c>
      <c r="F12" s="70" t="str">
        <f>PLANTILLA!G13</f>
        <v>POT</v>
      </c>
      <c r="G12" s="236">
        <f>PLANTILLA!H13</f>
        <v>4</v>
      </c>
      <c r="H12" s="56">
        <f>PLANTILLA!I13</f>
        <v>8</v>
      </c>
      <c r="I12" s="140">
        <f>PLANTILLA!X13</f>
        <v>0</v>
      </c>
      <c r="J12" s="140">
        <f>PLANTILLA!Y13</f>
        <v>11.76923076923077</v>
      </c>
      <c r="K12" s="140">
        <f>PLANTILLA!Z13</f>
        <v>15</v>
      </c>
      <c r="L12" s="140">
        <f>PLANTILLA!AA13</f>
        <v>3</v>
      </c>
      <c r="M12" s="140">
        <f>PLANTILLA!AB13</f>
        <v>4</v>
      </c>
      <c r="N12" s="140">
        <f>PLANTILLA!AC13</f>
        <v>7.5</v>
      </c>
      <c r="O12" s="140">
        <f>PLANTILLA!AD13</f>
        <v>19</v>
      </c>
      <c r="P12" s="69">
        <f t="shared" si="17"/>
        <v>29</v>
      </c>
      <c r="Q12" s="119">
        <f t="shared" ca="1" si="18"/>
        <v>39</v>
      </c>
      <c r="R12" s="77">
        <f t="shared" si="19"/>
        <v>8</v>
      </c>
      <c r="S12" s="155">
        <f t="shared" si="20"/>
        <v>0</v>
      </c>
      <c r="T12" s="155">
        <f t="shared" si="21"/>
        <v>11.76923076923077</v>
      </c>
      <c r="U12" s="155">
        <f t="shared" si="22"/>
        <v>15</v>
      </c>
      <c r="V12" s="155">
        <f t="shared" si="23"/>
        <v>3</v>
      </c>
      <c r="W12" s="155">
        <f t="shared" si="24"/>
        <v>4</v>
      </c>
      <c r="X12" s="155">
        <f t="shared" si="25"/>
        <v>7.5</v>
      </c>
      <c r="Y12" s="155">
        <f t="shared" si="26"/>
        <v>19</v>
      </c>
      <c r="Z12" s="124">
        <f t="shared" si="27"/>
        <v>0</v>
      </c>
      <c r="AA12" s="124">
        <f t="shared" si="28"/>
        <v>0</v>
      </c>
      <c r="AB12" s="124">
        <f t="shared" si="29"/>
        <v>0</v>
      </c>
      <c r="AC12" s="124">
        <f t="shared" si="30"/>
        <v>0</v>
      </c>
      <c r="AD12" s="124">
        <f t="shared" si="31"/>
        <v>0</v>
      </c>
      <c r="AE12" s="124">
        <f t="shared" si="32"/>
        <v>0</v>
      </c>
      <c r="AF12" s="124">
        <f t="shared" si="33"/>
        <v>0</v>
      </c>
      <c r="AH12" s="126" t="s">
        <v>389</v>
      </c>
      <c r="AI12" s="4" t="str">
        <f>C19</f>
        <v>M. Bondarewski</v>
      </c>
      <c r="AJ12" s="128">
        <f>AA13*0.284</f>
        <v>0</v>
      </c>
      <c r="AK12" s="128">
        <v>0</v>
      </c>
      <c r="AL12" s="128">
        <f>AA13*0.244</f>
        <v>0</v>
      </c>
      <c r="AM12" s="128">
        <f>AB13*0.631</f>
        <v>0</v>
      </c>
      <c r="AN12" s="128">
        <v>0</v>
      </c>
      <c r="AO12" s="128">
        <f>(AC10*1)+(AD10*0.286)</f>
        <v>0</v>
      </c>
      <c r="AP12" s="128">
        <f>AD10*0.135</f>
        <v>0</v>
      </c>
      <c r="AQ12" s="130">
        <v>0</v>
      </c>
    </row>
    <row r="13" spans="1:50" s="1" customFormat="1" ht="19.5" customHeight="1" x14ac:dyDescent="0.25">
      <c r="A13" s="4" t="str">
        <f>PLANTILLA!A14</f>
        <v>#11</v>
      </c>
      <c r="B13" s="4" t="str">
        <f>PLANTILLA!B14</f>
        <v>MED</v>
      </c>
      <c r="C13" s="564" t="str">
        <f>PLANTILLA!D14</f>
        <v>Dusty Ware</v>
      </c>
      <c r="D13" s="54">
        <f>PLANTILLA!E14</f>
        <v>30</v>
      </c>
      <c r="E13" s="55">
        <f ca="1">PLANTILLA!F14</f>
        <v>14</v>
      </c>
      <c r="F13" s="70"/>
      <c r="G13" s="236">
        <f>PLANTILLA!H14</f>
        <v>4</v>
      </c>
      <c r="H13" s="56">
        <f>PLANTILLA!I14</f>
        <v>9</v>
      </c>
      <c r="I13" s="140">
        <f>PLANTILLA!X14</f>
        <v>0</v>
      </c>
      <c r="J13" s="140">
        <f>PLANTILLA!Y14</f>
        <v>11.384615384615385</v>
      </c>
      <c r="K13" s="140">
        <f>PLANTILLA!Z14</f>
        <v>15.095238095238095</v>
      </c>
      <c r="L13" s="140">
        <f>PLANTILLA!AA14</f>
        <v>4</v>
      </c>
      <c r="M13" s="140">
        <f>PLANTILLA!AB14</f>
        <v>3</v>
      </c>
      <c r="N13" s="140">
        <f>PLANTILLA!AC14</f>
        <v>9</v>
      </c>
      <c r="O13" s="140">
        <f>PLANTILLA!AD14</f>
        <v>18.25</v>
      </c>
      <c r="P13" s="69">
        <f t="shared" si="17"/>
        <v>30</v>
      </c>
      <c r="Q13" s="119">
        <f t="shared" ca="1" si="18"/>
        <v>21</v>
      </c>
      <c r="R13" s="77">
        <f t="shared" si="19"/>
        <v>9</v>
      </c>
      <c r="S13" s="155">
        <f t="shared" si="20"/>
        <v>0</v>
      </c>
      <c r="T13" s="155">
        <f t="shared" si="21"/>
        <v>11.384615384615385</v>
      </c>
      <c r="U13" s="155">
        <f t="shared" si="22"/>
        <v>15.095238095238095</v>
      </c>
      <c r="V13" s="155">
        <f t="shared" si="23"/>
        <v>4</v>
      </c>
      <c r="W13" s="155">
        <f t="shared" si="24"/>
        <v>3</v>
      </c>
      <c r="X13" s="155">
        <f t="shared" si="25"/>
        <v>9</v>
      </c>
      <c r="Y13" s="155">
        <f t="shared" si="26"/>
        <v>18.25</v>
      </c>
      <c r="Z13" s="124">
        <f t="shared" si="27"/>
        <v>0</v>
      </c>
      <c r="AA13" s="124">
        <f t="shared" si="28"/>
        <v>0</v>
      </c>
      <c r="AB13" s="124">
        <f t="shared" si="29"/>
        <v>0</v>
      </c>
      <c r="AC13" s="124">
        <f t="shared" si="30"/>
        <v>0</v>
      </c>
      <c r="AD13" s="124">
        <f t="shared" si="31"/>
        <v>0</v>
      </c>
      <c r="AE13" s="124">
        <f t="shared" si="32"/>
        <v>0</v>
      </c>
      <c r="AF13" s="124">
        <f t="shared" si="33"/>
        <v>0</v>
      </c>
      <c r="AH13" s="126" t="s">
        <v>389</v>
      </c>
      <c r="AI13" s="84" t="str">
        <f>C17</f>
        <v>I. Stone</v>
      </c>
      <c r="AJ13" s="127">
        <v>0</v>
      </c>
      <c r="AK13" s="127">
        <f>AA15*0.284</f>
        <v>0</v>
      </c>
      <c r="AL13" s="128">
        <f>AA15*0.244</f>
        <v>0</v>
      </c>
      <c r="AM13" s="127">
        <f>AB15*0.631</f>
        <v>0</v>
      </c>
      <c r="AN13" s="127">
        <f>(AD19*0.142)+(AC19*0.221)+(AE19*0.26)</f>
        <v>0</v>
      </c>
      <c r="AO13" s="127">
        <f>AN13</f>
        <v>0</v>
      </c>
      <c r="AP13" s="127">
        <f>(AD19*0.369)+(AE19*1)</f>
        <v>0</v>
      </c>
      <c r="AQ13" s="129">
        <v>0</v>
      </c>
    </row>
    <row r="14" spans="1:50" ht="19.5" customHeight="1" x14ac:dyDescent="0.25">
      <c r="A14" s="4" t="str">
        <f>PLANTILLA!A11</f>
        <v>#15</v>
      </c>
      <c r="B14" s="4" t="str">
        <f>PLANTILLA!B11</f>
        <v>MED</v>
      </c>
      <c r="C14" s="564" t="str">
        <f>PLANTILLA!D11</f>
        <v>S. Kariuki</v>
      </c>
      <c r="D14" s="54">
        <f>PLANTILLA!E11</f>
        <v>29</v>
      </c>
      <c r="E14" s="55">
        <f ca="1">PLANTILLA!F11</f>
        <v>90</v>
      </c>
      <c r="F14" s="70" t="str">
        <f>PLANTILLA!G11</f>
        <v>CAB</v>
      </c>
      <c r="G14" s="236">
        <f>PLANTILLA!H11</f>
        <v>1</v>
      </c>
      <c r="H14" s="56">
        <f>PLANTILLA!I11</f>
        <v>9</v>
      </c>
      <c r="I14" s="140">
        <f>PLANTILLA!X11</f>
        <v>0</v>
      </c>
      <c r="J14" s="140">
        <f>PLANTILLA!Y11</f>
        <v>13</v>
      </c>
      <c r="K14" s="140">
        <f>PLANTILLA!Z11</f>
        <v>14</v>
      </c>
      <c r="L14" s="140">
        <f>PLANTILLA!AA11</f>
        <v>2</v>
      </c>
      <c r="M14" s="140">
        <f>PLANTILLA!AB11</f>
        <v>2</v>
      </c>
      <c r="N14" s="140">
        <f>PLANTILLA!AC11</f>
        <v>7</v>
      </c>
      <c r="O14" s="140">
        <f>PLANTILLA!AD11</f>
        <v>19</v>
      </c>
      <c r="P14" s="69">
        <f t="shared" si="17"/>
        <v>29</v>
      </c>
      <c r="Q14" s="119">
        <f t="shared" ca="1" si="18"/>
        <v>97</v>
      </c>
      <c r="R14" s="77">
        <f t="shared" si="19"/>
        <v>9</v>
      </c>
      <c r="S14" s="155">
        <f t="shared" si="20"/>
        <v>0</v>
      </c>
      <c r="T14" s="155">
        <f t="shared" si="21"/>
        <v>13</v>
      </c>
      <c r="U14" s="155">
        <f t="shared" si="22"/>
        <v>14</v>
      </c>
      <c r="V14" s="155">
        <f t="shared" si="23"/>
        <v>2</v>
      </c>
      <c r="W14" s="155">
        <f t="shared" si="24"/>
        <v>2</v>
      </c>
      <c r="X14" s="155">
        <f t="shared" si="25"/>
        <v>7</v>
      </c>
      <c r="Y14" s="155">
        <f t="shared" si="26"/>
        <v>19</v>
      </c>
      <c r="Z14" s="124">
        <f t="shared" si="27"/>
        <v>0</v>
      </c>
      <c r="AA14" s="124">
        <f t="shared" si="28"/>
        <v>0</v>
      </c>
      <c r="AB14" s="124">
        <f t="shared" si="29"/>
        <v>0</v>
      </c>
      <c r="AC14" s="124">
        <f t="shared" si="30"/>
        <v>0</v>
      </c>
      <c r="AD14" s="124">
        <f t="shared" si="31"/>
        <v>0</v>
      </c>
      <c r="AE14" s="124">
        <f t="shared" si="32"/>
        <v>0</v>
      </c>
      <c r="AF14" s="124">
        <f t="shared" si="33"/>
        <v>0</v>
      </c>
      <c r="AH14" s="126" t="s">
        <v>122</v>
      </c>
      <c r="AI14" s="4" t="str">
        <f>C11</f>
        <v>P. Tuderek</v>
      </c>
      <c r="AJ14" s="128">
        <v>0</v>
      </c>
      <c r="AK14" s="128">
        <v>0</v>
      </c>
      <c r="AL14" s="128">
        <v>0</v>
      </c>
      <c r="AM14" s="127">
        <v>0</v>
      </c>
      <c r="AN14" s="127">
        <f>(AD11*0.142)+(AC11*0.221)+(AE11*0.26)</f>
        <v>0</v>
      </c>
      <c r="AO14" s="127">
        <f>AN14</f>
        <v>0</v>
      </c>
      <c r="AP14" s="127">
        <f>(AD11*0.369)+(AE11*1)</f>
        <v>0</v>
      </c>
      <c r="AQ14" s="129">
        <v>0</v>
      </c>
    </row>
    <row r="15" spans="1:50" s="65" customFormat="1" ht="19.5" customHeight="1" x14ac:dyDescent="0.25">
      <c r="A15" s="4" t="str">
        <f>PLANTILLA!A10</f>
        <v>#3</v>
      </c>
      <c r="B15" s="4" t="str">
        <f>PLANTILLA!B10</f>
        <v>MED</v>
      </c>
      <c r="C15" s="564" t="str">
        <f>PLANTILLA!D10</f>
        <v>K. Polyukhov</v>
      </c>
      <c r="D15" s="54">
        <f>PLANTILLA!E10</f>
        <v>30</v>
      </c>
      <c r="E15" s="55">
        <f ca="1">PLANTILLA!F10</f>
        <v>98</v>
      </c>
      <c r="F15" s="70"/>
      <c r="G15" s="236">
        <f>PLANTILLA!H10</f>
        <v>5</v>
      </c>
      <c r="H15" s="56">
        <f>PLANTILLA!I10</f>
        <v>9</v>
      </c>
      <c r="I15" s="140">
        <f>PLANTILLA!X10</f>
        <v>0</v>
      </c>
      <c r="J15" s="140">
        <f>PLANTILLA!Y10</f>
        <v>14.590909090909092</v>
      </c>
      <c r="K15" s="140">
        <f>PLANTILLA!Z10</f>
        <v>13</v>
      </c>
      <c r="L15" s="140">
        <f>PLANTILLA!AA10</f>
        <v>1</v>
      </c>
      <c r="M15" s="140">
        <f>PLANTILLA!AB10</f>
        <v>9</v>
      </c>
      <c r="N15" s="140">
        <f>PLANTILLA!AC10</f>
        <v>9</v>
      </c>
      <c r="O15" s="140">
        <f>PLANTILLA!AD10</f>
        <v>16</v>
      </c>
      <c r="P15" s="69">
        <f t="shared" si="17"/>
        <v>30</v>
      </c>
      <c r="Q15" s="119">
        <f t="shared" ca="1" si="18"/>
        <v>105</v>
      </c>
      <c r="R15" s="77">
        <f t="shared" si="19"/>
        <v>9</v>
      </c>
      <c r="S15" s="155">
        <f t="shared" si="20"/>
        <v>0</v>
      </c>
      <c r="T15" s="155">
        <f t="shared" si="21"/>
        <v>14.590909090909092</v>
      </c>
      <c r="U15" s="155">
        <f t="shared" si="22"/>
        <v>13</v>
      </c>
      <c r="V15" s="155">
        <f t="shared" si="23"/>
        <v>1</v>
      </c>
      <c r="W15" s="155">
        <f t="shared" si="24"/>
        <v>9</v>
      </c>
      <c r="X15" s="155">
        <f t="shared" si="25"/>
        <v>9</v>
      </c>
      <c r="Y15" s="155">
        <f t="shared" si="26"/>
        <v>16</v>
      </c>
      <c r="Z15" s="124">
        <f t="shared" si="27"/>
        <v>0</v>
      </c>
      <c r="AA15" s="124">
        <f t="shared" si="28"/>
        <v>0</v>
      </c>
      <c r="AB15" s="124">
        <f t="shared" si="29"/>
        <v>0</v>
      </c>
      <c r="AC15" s="124">
        <f t="shared" si="30"/>
        <v>0</v>
      </c>
      <c r="AD15" s="124">
        <f t="shared" si="31"/>
        <v>0</v>
      </c>
      <c r="AE15" s="124">
        <f t="shared" si="32"/>
        <v>0</v>
      </c>
      <c r="AF15" s="124">
        <f t="shared" si="33"/>
        <v>0</v>
      </c>
      <c r="AH15" s="2"/>
      <c r="AI15"/>
      <c r="AJ15"/>
      <c r="AK15"/>
      <c r="AL15"/>
      <c r="AM15"/>
      <c r="AN15"/>
      <c r="AO15"/>
      <c r="AP15"/>
      <c r="AQ15"/>
    </row>
    <row r="16" spans="1:50" s="1" customFormat="1" ht="19.5" customHeight="1" x14ac:dyDescent="0.25">
      <c r="A16" s="4" t="str">
        <f>PLANTILLA!A16</f>
        <v>#16</v>
      </c>
      <c r="B16" s="4" t="str">
        <f>PLANTILLA!B16</f>
        <v>EXT</v>
      </c>
      <c r="C16" s="564" t="str">
        <f>PLANTILLA!D16</f>
        <v>I. Vanags</v>
      </c>
      <c r="D16" s="54">
        <f>PLANTILLA!E16</f>
        <v>28</v>
      </c>
      <c r="E16" s="55">
        <f ca="1">PLANTILLA!F16</f>
        <v>87</v>
      </c>
      <c r="F16" s="70" t="str">
        <f>PLANTILLA!G16</f>
        <v>CAB</v>
      </c>
      <c r="G16" s="236">
        <f>PLANTILLA!H16</f>
        <v>4</v>
      </c>
      <c r="H16" s="56">
        <f>PLANTILLA!I16</f>
        <v>8</v>
      </c>
      <c r="I16" s="140">
        <f>PLANTILLA!X16</f>
        <v>0</v>
      </c>
      <c r="J16" s="140">
        <f>PLANTILLA!Y16</f>
        <v>10</v>
      </c>
      <c r="K16" s="140">
        <f>PLANTILLA!Z16</f>
        <v>15</v>
      </c>
      <c r="L16" s="140">
        <f>PLANTILLA!AA16</f>
        <v>3</v>
      </c>
      <c r="M16" s="140">
        <f>PLANTILLA!AB16</f>
        <v>4</v>
      </c>
      <c r="N16" s="140">
        <f>PLANTILLA!AC16</f>
        <v>8.375</v>
      </c>
      <c r="O16" s="140">
        <f>PLANTILLA!AD16</f>
        <v>19.399999999999999</v>
      </c>
      <c r="P16" s="69">
        <f t="shared" si="17"/>
        <v>28</v>
      </c>
      <c r="Q16" s="119">
        <f t="shared" ca="1" si="18"/>
        <v>94</v>
      </c>
      <c r="R16" s="77">
        <f t="shared" si="19"/>
        <v>8</v>
      </c>
      <c r="S16" s="155">
        <f t="shared" si="20"/>
        <v>0</v>
      </c>
      <c r="T16" s="155">
        <f t="shared" si="21"/>
        <v>10</v>
      </c>
      <c r="U16" s="155">
        <f t="shared" si="22"/>
        <v>15</v>
      </c>
      <c r="V16" s="155">
        <f t="shared" si="23"/>
        <v>3</v>
      </c>
      <c r="W16" s="155">
        <f t="shared" si="24"/>
        <v>4</v>
      </c>
      <c r="X16" s="155">
        <f t="shared" si="25"/>
        <v>8.375</v>
      </c>
      <c r="Y16" s="155">
        <f t="shared" si="26"/>
        <v>19.399999999999999</v>
      </c>
      <c r="Z16" s="124">
        <f t="shared" si="27"/>
        <v>0</v>
      </c>
      <c r="AA16" s="124">
        <f t="shared" si="28"/>
        <v>0</v>
      </c>
      <c r="AB16" s="124">
        <f t="shared" si="29"/>
        <v>0</v>
      </c>
      <c r="AC16" s="124">
        <f t="shared" si="30"/>
        <v>0</v>
      </c>
      <c r="AD16" s="124">
        <f t="shared" si="31"/>
        <v>0</v>
      </c>
      <c r="AE16" s="124">
        <f t="shared" si="32"/>
        <v>0</v>
      </c>
      <c r="AF16" s="124">
        <f t="shared" si="33"/>
        <v>0</v>
      </c>
      <c r="AH16" s="65"/>
      <c r="AI16" s="65"/>
      <c r="AJ16" s="131">
        <f>SUM(AJ18:AJ28)*$AV$3</f>
        <v>0</v>
      </c>
      <c r="AK16" s="131">
        <f>SUM(AK18:AK28)*$AV$3</f>
        <v>0</v>
      </c>
      <c r="AL16" s="131">
        <f>SUM(AL18:AL28)*$AV$2</f>
        <v>0</v>
      </c>
      <c r="AM16" s="131">
        <f>SUM(AM18:AM28)*$AV$4</f>
        <v>0</v>
      </c>
      <c r="AN16" s="131">
        <f>SUM(AN18:AN28)*$AV$5</f>
        <v>0</v>
      </c>
      <c r="AO16" s="131">
        <f>SUM(AO18:AO28)*$AV$5</f>
        <v>0</v>
      </c>
      <c r="AP16" s="131">
        <f>SUM(AP18:AP28)*$AV$6</f>
        <v>0</v>
      </c>
      <c r="AQ16" s="132">
        <f>SUM(AQ18:AQ28)</f>
        <v>0</v>
      </c>
    </row>
    <row r="17" spans="1:43" s="65" customFormat="1" ht="19.5" customHeight="1" x14ac:dyDescent="0.25">
      <c r="A17" s="4" t="str">
        <f>PLANTILLA!A17</f>
        <v>#8</v>
      </c>
      <c r="B17" s="4" t="str">
        <f>PLANTILLA!B17</f>
        <v>EXT</v>
      </c>
      <c r="C17" s="564" t="str">
        <f>PLANTILLA!D17</f>
        <v>I. Stone</v>
      </c>
      <c r="D17" s="54">
        <f>PLANTILLA!E17</f>
        <v>28</v>
      </c>
      <c r="E17" s="55">
        <f ca="1">PLANTILLA!F17</f>
        <v>30</v>
      </c>
      <c r="F17" s="70"/>
      <c r="G17" s="236">
        <f>PLANTILLA!H17</f>
        <v>6</v>
      </c>
      <c r="H17" s="56">
        <f>PLANTILLA!I17</f>
        <v>8</v>
      </c>
      <c r="I17" s="140">
        <f>PLANTILLA!X17</f>
        <v>0</v>
      </c>
      <c r="J17" s="140">
        <f>PLANTILLA!Y17</f>
        <v>8.3333333333333339</v>
      </c>
      <c r="K17" s="140">
        <f>PLANTILLA!Z17</f>
        <v>14</v>
      </c>
      <c r="L17" s="140">
        <f>PLANTILLA!AA17</f>
        <v>2</v>
      </c>
      <c r="M17" s="140">
        <f>PLANTILLA!AB17</f>
        <v>6</v>
      </c>
      <c r="N17" s="140">
        <f>PLANTILLA!AC17</f>
        <v>10.199999999999999</v>
      </c>
      <c r="O17" s="140">
        <f>PLANTILLA!AD17</f>
        <v>19</v>
      </c>
      <c r="P17" s="69">
        <f t="shared" si="17"/>
        <v>28</v>
      </c>
      <c r="Q17" s="119">
        <f t="shared" ca="1" si="18"/>
        <v>37</v>
      </c>
      <c r="R17" s="77">
        <f t="shared" si="19"/>
        <v>8</v>
      </c>
      <c r="S17" s="155">
        <f t="shared" si="20"/>
        <v>0</v>
      </c>
      <c r="T17" s="155">
        <f t="shared" si="21"/>
        <v>8.3333333333333339</v>
      </c>
      <c r="U17" s="155">
        <f t="shared" si="22"/>
        <v>14</v>
      </c>
      <c r="V17" s="155">
        <f t="shared" si="23"/>
        <v>2</v>
      </c>
      <c r="W17" s="155">
        <f t="shared" si="24"/>
        <v>6</v>
      </c>
      <c r="X17" s="155">
        <f t="shared" si="25"/>
        <v>10.199999999999999</v>
      </c>
      <c r="Y17" s="155">
        <f t="shared" si="26"/>
        <v>19</v>
      </c>
      <c r="Z17" s="124">
        <f t="shared" si="27"/>
        <v>0</v>
      </c>
      <c r="AA17" s="124">
        <f t="shared" si="28"/>
        <v>0</v>
      </c>
      <c r="AB17" s="124">
        <f t="shared" si="29"/>
        <v>0</v>
      </c>
      <c r="AC17" s="124">
        <f t="shared" si="30"/>
        <v>0</v>
      </c>
      <c r="AD17" s="124">
        <f t="shared" si="31"/>
        <v>0</v>
      </c>
      <c r="AE17" s="124">
        <f t="shared" si="32"/>
        <v>0</v>
      </c>
      <c r="AF17" s="124">
        <f t="shared" si="33"/>
        <v>0</v>
      </c>
      <c r="AH17" s="557">
        <v>550</v>
      </c>
      <c r="AI17" s="558"/>
      <c r="AJ17" s="92" t="s">
        <v>378</v>
      </c>
      <c r="AK17" s="92" t="s">
        <v>379</v>
      </c>
      <c r="AL17" s="92" t="s">
        <v>380</v>
      </c>
      <c r="AM17" s="92" t="s">
        <v>381</v>
      </c>
      <c r="AN17" s="92" t="s">
        <v>382</v>
      </c>
      <c r="AO17" s="92" t="s">
        <v>383</v>
      </c>
      <c r="AP17" s="92" t="s">
        <v>384</v>
      </c>
      <c r="AQ17" s="92" t="s">
        <v>690</v>
      </c>
    </row>
    <row r="18" spans="1:43" s="1" customFormat="1" ht="19.5" customHeight="1" x14ac:dyDescent="0.25">
      <c r="A18" s="4" t="str">
        <f>PLANTILLA!A18</f>
        <v>#14</v>
      </c>
      <c r="B18" s="4" t="str">
        <f>PLANTILLA!B18</f>
        <v>EXT</v>
      </c>
      <c r="C18" s="564" t="str">
        <f>PLANTILLA!D18</f>
        <v>G. Piscaer</v>
      </c>
      <c r="D18" s="54">
        <f>PLANTILLA!E18</f>
        <v>28</v>
      </c>
      <c r="E18" s="55">
        <f ca="1">PLANTILLA!F18</f>
        <v>103</v>
      </c>
      <c r="F18" s="70" t="str">
        <f>PLANTILLA!G18</f>
        <v>IMP</v>
      </c>
      <c r="G18" s="236">
        <f>PLANTILLA!H18</f>
        <v>1</v>
      </c>
      <c r="H18" s="56">
        <f>PLANTILLA!I18</f>
        <v>9</v>
      </c>
      <c r="I18" s="140">
        <f>PLANTILLA!X18</f>
        <v>0</v>
      </c>
      <c r="J18" s="140">
        <f>PLANTILLA!Y18</f>
        <v>9.5</v>
      </c>
      <c r="K18" s="140">
        <f>PLANTILLA!Z18</f>
        <v>15.19047619047619</v>
      </c>
      <c r="L18" s="140">
        <f>PLANTILLA!AA18</f>
        <v>3</v>
      </c>
      <c r="M18" s="140">
        <f>PLANTILLA!AB18</f>
        <v>2</v>
      </c>
      <c r="N18" s="140">
        <f>PLANTILLA!AC18</f>
        <v>9.25</v>
      </c>
      <c r="O18" s="140">
        <f>PLANTILLA!AD18</f>
        <v>18.666666666666668</v>
      </c>
      <c r="P18" s="69">
        <f t="shared" si="17"/>
        <v>28</v>
      </c>
      <c r="Q18" s="119">
        <f t="shared" ca="1" si="18"/>
        <v>110</v>
      </c>
      <c r="R18" s="77">
        <f t="shared" si="19"/>
        <v>9</v>
      </c>
      <c r="S18" s="155">
        <f t="shared" si="20"/>
        <v>0</v>
      </c>
      <c r="T18" s="155">
        <f t="shared" si="21"/>
        <v>9.5</v>
      </c>
      <c r="U18" s="155">
        <f t="shared" si="22"/>
        <v>15.19047619047619</v>
      </c>
      <c r="V18" s="155">
        <f t="shared" si="23"/>
        <v>3</v>
      </c>
      <c r="W18" s="155">
        <f t="shared" si="24"/>
        <v>2</v>
      </c>
      <c r="X18" s="155">
        <f t="shared" si="25"/>
        <v>9.25</v>
      </c>
      <c r="Y18" s="155">
        <f t="shared" si="26"/>
        <v>18.666666666666668</v>
      </c>
      <c r="Z18" s="124">
        <f t="shared" si="27"/>
        <v>0</v>
      </c>
      <c r="AA18" s="124">
        <f t="shared" si="28"/>
        <v>0</v>
      </c>
      <c r="AB18" s="124">
        <f t="shared" si="29"/>
        <v>0</v>
      </c>
      <c r="AC18" s="124">
        <f t="shared" si="30"/>
        <v>0</v>
      </c>
      <c r="AD18" s="124">
        <f t="shared" si="31"/>
        <v>0</v>
      </c>
      <c r="AE18" s="124">
        <f t="shared" si="32"/>
        <v>0</v>
      </c>
      <c r="AF18" s="124">
        <f t="shared" si="33"/>
        <v>0</v>
      </c>
      <c r="AH18" s="125" t="s">
        <v>14</v>
      </c>
      <c r="AI18" s="84" t="str">
        <f>C5</f>
        <v>L. Guangwei</v>
      </c>
      <c r="AJ18" s="127">
        <v>0</v>
      </c>
      <c r="AK18" s="127">
        <v>0</v>
      </c>
      <c r="AL18" s="127">
        <v>0</v>
      </c>
      <c r="AM18" s="127">
        <v>0</v>
      </c>
      <c r="AN18" s="127">
        <f t="shared" ref="AN18:AQ18" si="34">AN4</f>
        <v>0</v>
      </c>
      <c r="AO18" s="127">
        <f t="shared" si="34"/>
        <v>0</v>
      </c>
      <c r="AP18" s="127">
        <f t="shared" si="34"/>
        <v>0</v>
      </c>
      <c r="AQ18" s="129">
        <f t="shared" si="34"/>
        <v>0</v>
      </c>
    </row>
    <row r="19" spans="1:43" s="1" customFormat="1" ht="19.5" customHeight="1" x14ac:dyDescent="0.25">
      <c r="A19" s="4" t="str">
        <f>PLANTILLA!A19</f>
        <v>#9</v>
      </c>
      <c r="B19" s="4" t="str">
        <f>PLANTILLA!B19</f>
        <v>EXT</v>
      </c>
      <c r="C19" s="564" t="str">
        <f>PLANTILLA!D19</f>
        <v>M. Bondarewski</v>
      </c>
      <c r="D19" s="54">
        <f>PLANTILLA!E19</f>
        <v>28</v>
      </c>
      <c r="E19" s="55">
        <f ca="1">PLANTILLA!F19</f>
        <v>103</v>
      </c>
      <c r="F19" s="70"/>
      <c r="G19" s="236">
        <f>PLANTILLA!H19</f>
        <v>1</v>
      </c>
      <c r="H19" s="56">
        <f>PLANTILLA!I19</f>
        <v>9</v>
      </c>
      <c r="I19" s="140">
        <f>PLANTILLA!X19</f>
        <v>0</v>
      </c>
      <c r="J19" s="140">
        <f>PLANTILLA!Y19</f>
        <v>8.3333333333333339</v>
      </c>
      <c r="K19" s="140">
        <f>PLANTILLA!Z19</f>
        <v>15</v>
      </c>
      <c r="L19" s="140">
        <f>PLANTILLA!AA19</f>
        <v>5</v>
      </c>
      <c r="M19" s="140">
        <f>PLANTILLA!AB19</f>
        <v>4</v>
      </c>
      <c r="N19" s="140">
        <f>PLANTILLA!AC19</f>
        <v>9.125</v>
      </c>
      <c r="O19" s="140">
        <f>PLANTILLA!AD19</f>
        <v>20.166666666666668</v>
      </c>
      <c r="P19" s="69">
        <f t="shared" si="17"/>
        <v>28</v>
      </c>
      <c r="Q19" s="119">
        <f t="shared" ca="1" si="18"/>
        <v>110</v>
      </c>
      <c r="R19" s="77">
        <f t="shared" si="19"/>
        <v>9</v>
      </c>
      <c r="S19" s="155">
        <f t="shared" si="20"/>
        <v>0</v>
      </c>
      <c r="T19" s="155">
        <f t="shared" si="21"/>
        <v>8.3333333333333339</v>
      </c>
      <c r="U19" s="155">
        <f t="shared" si="22"/>
        <v>15</v>
      </c>
      <c r="V19" s="155">
        <f t="shared" si="23"/>
        <v>5</v>
      </c>
      <c r="W19" s="155">
        <f t="shared" si="24"/>
        <v>4</v>
      </c>
      <c r="X19" s="155">
        <f t="shared" si="25"/>
        <v>9.125</v>
      </c>
      <c r="Y19" s="155">
        <f t="shared" si="26"/>
        <v>20.166666666666668</v>
      </c>
      <c r="Z19" s="124">
        <f t="shared" si="27"/>
        <v>0</v>
      </c>
      <c r="AA19" s="124">
        <f t="shared" si="28"/>
        <v>0</v>
      </c>
      <c r="AB19" s="124">
        <f t="shared" si="29"/>
        <v>0</v>
      </c>
      <c r="AC19" s="124">
        <f t="shared" si="30"/>
        <v>0</v>
      </c>
      <c r="AD19" s="124">
        <f t="shared" si="31"/>
        <v>0</v>
      </c>
      <c r="AE19" s="124">
        <f t="shared" si="32"/>
        <v>0</v>
      </c>
      <c r="AF19" s="124">
        <f t="shared" si="33"/>
        <v>0</v>
      </c>
      <c r="AH19" s="125" t="s">
        <v>167</v>
      </c>
      <c r="AI19" s="84" t="str">
        <f>AI5</f>
        <v>V. Gardner</v>
      </c>
      <c r="AJ19" s="127">
        <v>0</v>
      </c>
      <c r="AK19" s="127">
        <v>0</v>
      </c>
      <c r="AL19" s="127">
        <v>0</v>
      </c>
      <c r="AM19" s="127">
        <v>0</v>
      </c>
      <c r="AN19" s="127">
        <f>AC18*0.588</f>
        <v>0</v>
      </c>
      <c r="AO19" s="127">
        <v>0</v>
      </c>
      <c r="AP19" s="127">
        <v>0</v>
      </c>
      <c r="AQ19" s="129">
        <v>0</v>
      </c>
    </row>
    <row r="20" spans="1:43" ht="19.5" customHeight="1" x14ac:dyDescent="0.25">
      <c r="A20" s="4">
        <f>PLANTILLA!A20</f>
        <v>0</v>
      </c>
      <c r="B20" s="4">
        <f>PLANTILLA!B20</f>
        <v>0</v>
      </c>
      <c r="C20" s="75">
        <f>PLANTILLA!D20</f>
        <v>0</v>
      </c>
      <c r="D20" s="54">
        <f>PLANTILLA!E20</f>
        <v>0</v>
      </c>
      <c r="E20" s="55">
        <f>PLANTILLA!F20</f>
        <v>0</v>
      </c>
      <c r="F20" s="70">
        <f>PLANTILLA!G20</f>
        <v>0</v>
      </c>
      <c r="G20" s="236">
        <f>PLANTILLA!H20</f>
        <v>0</v>
      </c>
      <c r="H20" s="56">
        <f>PLANTILLA!I20</f>
        <v>0</v>
      </c>
      <c r="I20" s="140">
        <f>PLANTILLA!X20</f>
        <v>0</v>
      </c>
      <c r="J20" s="140">
        <f>PLANTILLA!Y20</f>
        <v>0</v>
      </c>
      <c r="K20" s="140">
        <f>PLANTILLA!Z20</f>
        <v>0</v>
      </c>
      <c r="L20" s="140">
        <f>PLANTILLA!AA20</f>
        <v>0</v>
      </c>
      <c r="M20" s="140">
        <f>PLANTILLA!AB20</f>
        <v>0</v>
      </c>
      <c r="N20" s="140">
        <f>PLANTILLA!AC20</f>
        <v>0</v>
      </c>
      <c r="O20" s="140">
        <f>PLANTILLA!AD20</f>
        <v>0</v>
      </c>
      <c r="P20" s="69">
        <f t="shared" si="17"/>
        <v>0</v>
      </c>
      <c r="Q20" s="119">
        <f t="shared" si="18"/>
        <v>7</v>
      </c>
      <c r="R20" s="77">
        <f t="shared" si="19"/>
        <v>0</v>
      </c>
      <c r="S20" s="155">
        <f t="shared" si="20"/>
        <v>0</v>
      </c>
      <c r="T20" s="155">
        <f t="shared" si="21"/>
        <v>0</v>
      </c>
      <c r="U20" s="155">
        <f t="shared" si="22"/>
        <v>0</v>
      </c>
      <c r="V20" s="155">
        <f t="shared" si="23"/>
        <v>0</v>
      </c>
      <c r="W20" s="155">
        <f t="shared" si="24"/>
        <v>0</v>
      </c>
      <c r="X20" s="155">
        <f t="shared" si="25"/>
        <v>0</v>
      </c>
      <c r="Y20" s="155">
        <f t="shared" si="26"/>
        <v>0</v>
      </c>
      <c r="Z20" s="124">
        <f t="shared" si="27"/>
        <v>0</v>
      </c>
      <c r="AA20" s="124">
        <f t="shared" si="28"/>
        <v>0</v>
      </c>
      <c r="AB20" s="124">
        <f t="shared" si="29"/>
        <v>0</v>
      </c>
      <c r="AC20" s="124">
        <f t="shared" si="30"/>
        <v>0</v>
      </c>
      <c r="AD20" s="124">
        <f t="shared" si="31"/>
        <v>0</v>
      </c>
      <c r="AE20" s="124">
        <f t="shared" si="32"/>
        <v>0</v>
      </c>
      <c r="AF20" s="124">
        <f t="shared" si="33"/>
        <v>0</v>
      </c>
      <c r="AH20" s="126" t="s">
        <v>387</v>
      </c>
      <c r="AI20" s="4" t="str">
        <f>AI6</f>
        <v>T. McPhail</v>
      </c>
      <c r="AJ20" s="127">
        <v>0</v>
      </c>
      <c r="AK20" s="127">
        <v>0</v>
      </c>
      <c r="AL20" s="127">
        <v>0</v>
      </c>
      <c r="AM20" s="128">
        <v>0</v>
      </c>
      <c r="AN20" s="128">
        <f>(AD21*0.142)+(AC21*0.221)+(AE21*0.26)</f>
        <v>0</v>
      </c>
      <c r="AO20" s="127">
        <f>AN20</f>
        <v>0</v>
      </c>
      <c r="AP20" s="128">
        <f>(AD21*0.369)+(AE21*1)</f>
        <v>0</v>
      </c>
      <c r="AQ20" s="129">
        <v>0</v>
      </c>
    </row>
    <row r="21" spans="1:43" s="65" customFormat="1" ht="19.5" customHeight="1" x14ac:dyDescent="0.25">
      <c r="A21" s="4">
        <f>PLANTILLA!A21</f>
        <v>0</v>
      </c>
      <c r="B21" s="4">
        <f>PLANTILLA!B21</f>
        <v>0</v>
      </c>
      <c r="C21" s="75">
        <f>PLANTILLA!D21</f>
        <v>0</v>
      </c>
      <c r="D21" s="54">
        <f>PLANTILLA!E21</f>
        <v>0</v>
      </c>
      <c r="E21" s="55">
        <f>PLANTILLA!F21</f>
        <v>0</v>
      </c>
      <c r="F21" s="70"/>
      <c r="G21" s="236">
        <f>PLANTILLA!H21</f>
        <v>0</v>
      </c>
      <c r="H21" s="56">
        <f>PLANTILLA!I21</f>
        <v>0</v>
      </c>
      <c r="I21" s="140">
        <f>PLANTILLA!X21</f>
        <v>0</v>
      </c>
      <c r="J21" s="140">
        <f>PLANTILLA!Y21</f>
        <v>0</v>
      </c>
      <c r="K21" s="140">
        <f>PLANTILLA!Z21</f>
        <v>0</v>
      </c>
      <c r="L21" s="140">
        <f>PLANTILLA!AA21</f>
        <v>0</v>
      </c>
      <c r="M21" s="140">
        <f>PLANTILLA!AB21</f>
        <v>0</v>
      </c>
      <c r="N21" s="140">
        <f>PLANTILLA!AC21</f>
        <v>0</v>
      </c>
      <c r="O21" s="140">
        <f>PLANTILLA!AD21</f>
        <v>0</v>
      </c>
      <c r="P21" s="69">
        <f t="shared" si="17"/>
        <v>0</v>
      </c>
      <c r="Q21" s="119">
        <f t="shared" si="18"/>
        <v>7</v>
      </c>
      <c r="R21" s="77">
        <f t="shared" si="19"/>
        <v>0</v>
      </c>
      <c r="S21" s="155">
        <f t="shared" si="20"/>
        <v>0</v>
      </c>
      <c r="T21" s="155">
        <f t="shared" si="21"/>
        <v>0</v>
      </c>
      <c r="U21" s="155">
        <f t="shared" si="22"/>
        <v>0</v>
      </c>
      <c r="V21" s="155">
        <f t="shared" si="23"/>
        <v>0</v>
      </c>
      <c r="W21" s="155">
        <f t="shared" si="24"/>
        <v>0</v>
      </c>
      <c r="X21" s="155">
        <f t="shared" si="25"/>
        <v>0</v>
      </c>
      <c r="Y21" s="155">
        <f t="shared" si="26"/>
        <v>0</v>
      </c>
      <c r="Z21" s="124">
        <f t="shared" si="27"/>
        <v>0</v>
      </c>
      <c r="AA21" s="124">
        <f t="shared" si="28"/>
        <v>0</v>
      </c>
      <c r="AB21" s="124">
        <f t="shared" si="29"/>
        <v>0</v>
      </c>
      <c r="AC21" s="124">
        <f t="shared" si="30"/>
        <v>0</v>
      </c>
      <c r="AD21" s="124">
        <f t="shared" si="31"/>
        <v>0</v>
      </c>
      <c r="AE21" s="124">
        <f t="shared" si="32"/>
        <v>0</v>
      </c>
      <c r="AF21" s="124">
        <f t="shared" si="33"/>
        <v>0</v>
      </c>
      <c r="AH21" s="126" t="s">
        <v>387</v>
      </c>
      <c r="AI21" s="4" t="str">
        <f>C14</f>
        <v>S. Kariuki</v>
      </c>
      <c r="AJ21" s="127">
        <v>0</v>
      </c>
      <c r="AK21" s="127">
        <v>0</v>
      </c>
      <c r="AL21" s="127">
        <v>0</v>
      </c>
      <c r="AM21" s="128">
        <v>0</v>
      </c>
      <c r="AN21" s="128">
        <v>0</v>
      </c>
      <c r="AO21" s="128">
        <f>AC7*0.588</f>
        <v>0</v>
      </c>
      <c r="AP21" s="128">
        <v>0</v>
      </c>
      <c r="AQ21" s="130">
        <v>0</v>
      </c>
    </row>
    <row r="22" spans="1:43" s="65" customFormat="1" ht="19.5" customHeight="1" x14ac:dyDescent="0.25">
      <c r="A22" s="4">
        <f>PLANTILLA!A22</f>
        <v>0</v>
      </c>
      <c r="B22" s="4">
        <f>PLANTILLA!B22</f>
        <v>0</v>
      </c>
      <c r="C22" s="75">
        <f>PLANTILLA!D22</f>
        <v>0</v>
      </c>
      <c r="D22" s="54">
        <f>PLANTILLA!E22</f>
        <v>0</v>
      </c>
      <c r="E22" s="55">
        <f>PLANTILLA!F22</f>
        <v>0</v>
      </c>
      <c r="F22" s="70">
        <f>PLANTILLA!G22</f>
        <v>0</v>
      </c>
      <c r="G22" s="236">
        <f>PLANTILLA!H22</f>
        <v>0</v>
      </c>
      <c r="H22" s="56">
        <f>PLANTILLA!I22</f>
        <v>0</v>
      </c>
      <c r="I22" s="140">
        <f>PLANTILLA!X22</f>
        <v>0</v>
      </c>
      <c r="J22" s="140">
        <f>PLANTILLA!Y22</f>
        <v>0</v>
      </c>
      <c r="K22" s="140">
        <f>PLANTILLA!Z22</f>
        <v>0</v>
      </c>
      <c r="L22" s="140">
        <f>PLANTILLA!AA22</f>
        <v>0</v>
      </c>
      <c r="M22" s="140">
        <f>PLANTILLA!AB22</f>
        <v>0</v>
      </c>
      <c r="N22" s="140">
        <f>PLANTILLA!AC22</f>
        <v>0</v>
      </c>
      <c r="O22" s="140">
        <f>PLANTILLA!AD22</f>
        <v>0</v>
      </c>
      <c r="P22" s="69">
        <f t="shared" si="17"/>
        <v>0</v>
      </c>
      <c r="Q22" s="119">
        <f t="shared" si="18"/>
        <v>7</v>
      </c>
      <c r="R22" s="77">
        <f t="shared" si="19"/>
        <v>0</v>
      </c>
      <c r="S22" s="155">
        <f t="shared" si="20"/>
        <v>0</v>
      </c>
      <c r="T22" s="155">
        <f t="shared" si="21"/>
        <v>0</v>
      </c>
      <c r="U22" s="155">
        <f t="shared" si="22"/>
        <v>0</v>
      </c>
      <c r="V22" s="155">
        <f t="shared" si="23"/>
        <v>0</v>
      </c>
      <c r="W22" s="155">
        <f t="shared" si="24"/>
        <v>0</v>
      </c>
      <c r="X22" s="155">
        <f t="shared" si="25"/>
        <v>0</v>
      </c>
      <c r="Y22" s="155">
        <f t="shared" si="26"/>
        <v>0</v>
      </c>
      <c r="Z22" s="124">
        <f t="shared" si="27"/>
        <v>0</v>
      </c>
      <c r="AA22" s="124">
        <f t="shared" si="28"/>
        <v>0</v>
      </c>
      <c r="AB22" s="124">
        <f t="shared" si="29"/>
        <v>0</v>
      </c>
      <c r="AC22" s="124">
        <f t="shared" si="30"/>
        <v>0</v>
      </c>
      <c r="AD22" s="124">
        <f t="shared" si="31"/>
        <v>0</v>
      </c>
      <c r="AE22" s="124">
        <f t="shared" si="32"/>
        <v>0</v>
      </c>
      <c r="AF22" s="124">
        <f t="shared" si="33"/>
        <v>0</v>
      </c>
      <c r="AH22" s="126" t="s">
        <v>387</v>
      </c>
      <c r="AI22" s="84" t="str">
        <f>AI7</f>
        <v>K. Polyukhov</v>
      </c>
      <c r="AJ22" s="127">
        <v>0</v>
      </c>
      <c r="AK22" s="127">
        <v>0</v>
      </c>
      <c r="AL22" s="127">
        <v>0</v>
      </c>
      <c r="AM22" s="127">
        <v>0</v>
      </c>
      <c r="AN22" s="127">
        <f t="shared" ref="AN22:AQ28" si="35">AN8</f>
        <v>0</v>
      </c>
      <c r="AO22" s="127">
        <f t="shared" si="35"/>
        <v>0</v>
      </c>
      <c r="AP22" s="127">
        <f t="shared" si="35"/>
        <v>0</v>
      </c>
      <c r="AQ22" s="129">
        <f t="shared" si="35"/>
        <v>0</v>
      </c>
    </row>
    <row r="23" spans="1:43" s="1" customFormat="1" ht="19.5" customHeight="1" x14ac:dyDescent="0.25">
      <c r="A23" s="4">
        <f>PLANTILLA!A23</f>
        <v>0</v>
      </c>
      <c r="B23" s="4">
        <f>PLANTILLA!B23</f>
        <v>0</v>
      </c>
      <c r="C23" s="75">
        <f>PLANTILLA!D23</f>
        <v>0</v>
      </c>
      <c r="D23" s="54">
        <f>PLANTILLA!E23</f>
        <v>0</v>
      </c>
      <c r="E23" s="55">
        <f>PLANTILLA!F23</f>
        <v>0</v>
      </c>
      <c r="F23" s="70"/>
      <c r="G23" s="236">
        <f>PLANTILLA!H23</f>
        <v>0</v>
      </c>
      <c r="H23" s="56">
        <f>PLANTILLA!I23</f>
        <v>0</v>
      </c>
      <c r="I23" s="140">
        <f>PLANTILLA!X23</f>
        <v>0</v>
      </c>
      <c r="J23" s="140">
        <f>PLANTILLA!Y23</f>
        <v>0</v>
      </c>
      <c r="K23" s="140">
        <f>PLANTILLA!Z23</f>
        <v>0</v>
      </c>
      <c r="L23" s="140">
        <f>PLANTILLA!AA23</f>
        <v>0</v>
      </c>
      <c r="M23" s="140">
        <f>PLANTILLA!AB23</f>
        <v>0</v>
      </c>
      <c r="N23" s="140">
        <f>PLANTILLA!AC23</f>
        <v>0</v>
      </c>
      <c r="O23" s="140">
        <f>PLANTILLA!AD23</f>
        <v>0</v>
      </c>
      <c r="P23" s="69">
        <f t="shared" si="17"/>
        <v>0</v>
      </c>
      <c r="Q23" s="119">
        <f t="shared" si="18"/>
        <v>7</v>
      </c>
      <c r="R23" s="77">
        <f t="shared" si="19"/>
        <v>0</v>
      </c>
      <c r="S23" s="155">
        <f t="shared" si="20"/>
        <v>0</v>
      </c>
      <c r="T23" s="155">
        <f t="shared" si="21"/>
        <v>0</v>
      </c>
      <c r="U23" s="155">
        <f t="shared" si="22"/>
        <v>0</v>
      </c>
      <c r="V23" s="155">
        <f t="shared" si="23"/>
        <v>0</v>
      </c>
      <c r="W23" s="155">
        <f t="shared" si="24"/>
        <v>0</v>
      </c>
      <c r="X23" s="155">
        <f t="shared" si="25"/>
        <v>0</v>
      </c>
      <c r="Y23" s="155">
        <f t="shared" si="26"/>
        <v>0</v>
      </c>
      <c r="Z23" s="124">
        <f t="shared" si="27"/>
        <v>0</v>
      </c>
      <c r="AA23" s="124">
        <f t="shared" si="28"/>
        <v>0</v>
      </c>
      <c r="AB23" s="124">
        <f t="shared" si="29"/>
        <v>0</v>
      </c>
      <c r="AC23" s="124">
        <f t="shared" si="30"/>
        <v>0</v>
      </c>
      <c r="AD23" s="124">
        <f t="shared" si="31"/>
        <v>0</v>
      </c>
      <c r="AE23" s="124">
        <f t="shared" si="32"/>
        <v>0</v>
      </c>
      <c r="AF23" s="124">
        <f t="shared" si="33"/>
        <v>0</v>
      </c>
      <c r="AH23" s="125" t="s">
        <v>167</v>
      </c>
      <c r="AI23" s="4" t="str">
        <f>AI8</f>
        <v>A. Grimaud</v>
      </c>
      <c r="AJ23" s="127">
        <v>0</v>
      </c>
      <c r="AK23" s="127">
        <v>0</v>
      </c>
      <c r="AL23" s="127">
        <v>0</v>
      </c>
      <c r="AM23" s="128">
        <v>0</v>
      </c>
      <c r="AN23" s="128">
        <f t="shared" si="35"/>
        <v>0</v>
      </c>
      <c r="AO23" s="128">
        <f t="shared" si="35"/>
        <v>0</v>
      </c>
      <c r="AP23" s="128">
        <f t="shared" si="35"/>
        <v>0</v>
      </c>
      <c r="AQ23" s="130">
        <f t="shared" si="35"/>
        <v>0</v>
      </c>
    </row>
    <row r="24" spans="1:43" s="1" customFormat="1" ht="19.5" customHeight="1" x14ac:dyDescent="0.25">
      <c r="A24" s="4">
        <f>PLANTILLA!A24</f>
        <v>0</v>
      </c>
      <c r="B24" s="4">
        <f>PLANTILLA!B24</f>
        <v>0</v>
      </c>
      <c r="C24" s="75">
        <f>PLANTILLA!D24</f>
        <v>0</v>
      </c>
      <c r="D24" s="54">
        <f>PLANTILLA!E24</f>
        <v>0</v>
      </c>
      <c r="E24" s="55">
        <f>PLANTILLA!F24</f>
        <v>0</v>
      </c>
      <c r="F24" s="70">
        <f>PLANTILLA!G24</f>
        <v>0</v>
      </c>
      <c r="G24" s="236">
        <f>PLANTILLA!H24</f>
        <v>0</v>
      </c>
      <c r="H24" s="56">
        <f>PLANTILLA!I24</f>
        <v>0</v>
      </c>
      <c r="I24" s="140">
        <f>PLANTILLA!X24</f>
        <v>0</v>
      </c>
      <c r="J24" s="140">
        <f>PLANTILLA!Y24</f>
        <v>0</v>
      </c>
      <c r="K24" s="140">
        <f>PLANTILLA!Z24</f>
        <v>0</v>
      </c>
      <c r="L24" s="140">
        <f>PLANTILLA!AA24</f>
        <v>0</v>
      </c>
      <c r="M24" s="140">
        <f>PLANTILLA!AB24</f>
        <v>0</v>
      </c>
      <c r="N24" s="140">
        <f>PLANTILLA!AC24</f>
        <v>0</v>
      </c>
      <c r="O24" s="140">
        <f>PLANTILLA!AD24</f>
        <v>0</v>
      </c>
      <c r="P24" s="69">
        <f t="shared" si="17"/>
        <v>0</v>
      </c>
      <c r="Q24" s="119">
        <f t="shared" si="18"/>
        <v>7</v>
      </c>
      <c r="R24" s="77">
        <f t="shared" si="19"/>
        <v>0</v>
      </c>
      <c r="S24" s="155">
        <f t="shared" si="20"/>
        <v>0</v>
      </c>
      <c r="T24" s="155">
        <f t="shared" si="21"/>
        <v>0</v>
      </c>
      <c r="U24" s="155">
        <f t="shared" si="22"/>
        <v>0</v>
      </c>
      <c r="V24" s="155">
        <f t="shared" si="23"/>
        <v>0</v>
      </c>
      <c r="W24" s="155">
        <f t="shared" si="24"/>
        <v>0</v>
      </c>
      <c r="X24" s="155">
        <f t="shared" si="25"/>
        <v>0</v>
      </c>
      <c r="Y24" s="155">
        <f t="shared" si="26"/>
        <v>0</v>
      </c>
      <c r="Z24" s="124">
        <f t="shared" si="27"/>
        <v>0</v>
      </c>
      <c r="AA24" s="124">
        <f t="shared" si="28"/>
        <v>0</v>
      </c>
      <c r="AB24" s="124">
        <f t="shared" si="29"/>
        <v>0</v>
      </c>
      <c r="AC24" s="124">
        <f t="shared" si="30"/>
        <v>0</v>
      </c>
      <c r="AD24" s="124">
        <f t="shared" si="31"/>
        <v>0</v>
      </c>
      <c r="AE24" s="124">
        <f t="shared" si="32"/>
        <v>0</v>
      </c>
      <c r="AF24" s="124">
        <f t="shared" si="33"/>
        <v>0</v>
      </c>
      <c r="AH24" s="126" t="s">
        <v>121</v>
      </c>
      <c r="AI24" s="4" t="str">
        <f t="shared" ref="AI24:AM28" si="36">AI9</f>
        <v>I. Vanags</v>
      </c>
      <c r="AJ24" s="128">
        <f t="shared" si="36"/>
        <v>0</v>
      </c>
      <c r="AK24" s="128">
        <f t="shared" si="36"/>
        <v>0</v>
      </c>
      <c r="AL24" s="128">
        <f t="shared" si="36"/>
        <v>0</v>
      </c>
      <c r="AM24" s="128">
        <f t="shared" si="36"/>
        <v>0</v>
      </c>
      <c r="AN24" s="128">
        <f t="shared" si="35"/>
        <v>0</v>
      </c>
      <c r="AO24" s="128">
        <f t="shared" si="35"/>
        <v>0</v>
      </c>
      <c r="AP24" s="128">
        <f t="shared" si="35"/>
        <v>0</v>
      </c>
      <c r="AQ24" s="130">
        <f t="shared" si="35"/>
        <v>0</v>
      </c>
    </row>
    <row r="25" spans="1:43" ht="19.5" customHeight="1" x14ac:dyDescent="0.25">
      <c r="A25" s="4">
        <f>PLANTILLA!A25</f>
        <v>0</v>
      </c>
      <c r="B25" s="4">
        <f>PLANTILLA!B25</f>
        <v>0</v>
      </c>
      <c r="C25" s="75">
        <f>PLANTILLA!D25</f>
        <v>0</v>
      </c>
      <c r="D25" s="54">
        <f>PLANTILLA!E25</f>
        <v>0</v>
      </c>
      <c r="E25" s="55">
        <f>PLANTILLA!F25</f>
        <v>0</v>
      </c>
      <c r="F25" s="70"/>
      <c r="G25" s="236">
        <f>PLANTILLA!H25</f>
        <v>0</v>
      </c>
      <c r="H25" s="56">
        <f>PLANTILLA!I25</f>
        <v>0</v>
      </c>
      <c r="I25" s="140">
        <f>PLANTILLA!X25</f>
        <v>0</v>
      </c>
      <c r="J25" s="140">
        <f>PLANTILLA!Y25</f>
        <v>0</v>
      </c>
      <c r="K25" s="140">
        <f>PLANTILLA!Z25</f>
        <v>0</v>
      </c>
      <c r="L25" s="140">
        <f>PLANTILLA!AA25</f>
        <v>0</v>
      </c>
      <c r="M25" s="140">
        <f>PLANTILLA!AB25</f>
        <v>0</v>
      </c>
      <c r="N25" s="140">
        <f>PLANTILLA!AC25</f>
        <v>0</v>
      </c>
      <c r="O25" s="140">
        <f>PLANTILLA!AD25</f>
        <v>0</v>
      </c>
      <c r="P25" s="69">
        <f t="shared" si="17"/>
        <v>0</v>
      </c>
      <c r="Q25" s="119">
        <f t="shared" si="18"/>
        <v>7</v>
      </c>
      <c r="R25" s="77">
        <f t="shared" si="19"/>
        <v>0</v>
      </c>
      <c r="S25" s="155">
        <f t="shared" si="20"/>
        <v>0</v>
      </c>
      <c r="T25" s="155">
        <f t="shared" si="21"/>
        <v>0</v>
      </c>
      <c r="U25" s="155">
        <f t="shared" si="22"/>
        <v>0</v>
      </c>
      <c r="V25" s="155">
        <f t="shared" si="23"/>
        <v>0</v>
      </c>
      <c r="W25" s="155">
        <f t="shared" si="24"/>
        <v>0</v>
      </c>
      <c r="X25" s="155">
        <f t="shared" si="25"/>
        <v>0</v>
      </c>
      <c r="Y25" s="155">
        <f t="shared" si="26"/>
        <v>0</v>
      </c>
      <c r="Z25" s="124">
        <f t="shared" si="27"/>
        <v>0</v>
      </c>
      <c r="AA25" s="124">
        <f t="shared" si="28"/>
        <v>0</v>
      </c>
      <c r="AB25" s="124">
        <f t="shared" si="29"/>
        <v>0</v>
      </c>
      <c r="AC25" s="124">
        <f t="shared" si="30"/>
        <v>0</v>
      </c>
      <c r="AD25" s="124">
        <f t="shared" si="31"/>
        <v>0</v>
      </c>
      <c r="AE25" s="124">
        <f t="shared" si="32"/>
        <v>0</v>
      </c>
      <c r="AF25" s="124">
        <f t="shared" si="33"/>
        <v>0</v>
      </c>
      <c r="AH25" s="126" t="s">
        <v>388</v>
      </c>
      <c r="AI25" s="4" t="str">
        <f t="shared" si="36"/>
        <v>Dusty Ware</v>
      </c>
      <c r="AJ25" s="128">
        <f t="shared" si="36"/>
        <v>0</v>
      </c>
      <c r="AK25" s="128">
        <f t="shared" si="36"/>
        <v>0</v>
      </c>
      <c r="AL25" s="128">
        <f t="shared" si="36"/>
        <v>0</v>
      </c>
      <c r="AM25" s="128">
        <f t="shared" si="36"/>
        <v>0</v>
      </c>
      <c r="AN25" s="128">
        <f t="shared" si="35"/>
        <v>0</v>
      </c>
      <c r="AO25" s="128">
        <f t="shared" si="35"/>
        <v>0</v>
      </c>
      <c r="AP25" s="128">
        <f t="shared" si="35"/>
        <v>0</v>
      </c>
      <c r="AQ25" s="130">
        <f t="shared" si="35"/>
        <v>0</v>
      </c>
    </row>
    <row r="26" spans="1:43" s="1" customFormat="1" ht="19.5" customHeight="1" x14ac:dyDescent="0.25">
      <c r="A26" s="4">
        <f>PLANTILLA!A26</f>
        <v>0</v>
      </c>
      <c r="B26" s="4">
        <f>PLANTILLA!B26</f>
        <v>0</v>
      </c>
      <c r="C26" s="75">
        <f>PLANTILLA!D26</f>
        <v>0</v>
      </c>
      <c r="D26" s="54">
        <f>PLANTILLA!E26</f>
        <v>0</v>
      </c>
      <c r="E26" s="55">
        <f>PLANTILLA!F26</f>
        <v>0</v>
      </c>
      <c r="F26" s="70">
        <f>PLANTILLA!G26</f>
        <v>0</v>
      </c>
      <c r="G26" s="236">
        <f>PLANTILLA!H26</f>
        <v>0</v>
      </c>
      <c r="H26" s="56">
        <f>PLANTILLA!I26</f>
        <v>0</v>
      </c>
      <c r="I26" s="140">
        <f>PLANTILLA!X26</f>
        <v>0</v>
      </c>
      <c r="J26" s="140">
        <f>PLANTILLA!Y26</f>
        <v>0</v>
      </c>
      <c r="K26" s="140">
        <f>PLANTILLA!Z26</f>
        <v>0</v>
      </c>
      <c r="L26" s="140">
        <f>PLANTILLA!AA26</f>
        <v>0</v>
      </c>
      <c r="M26" s="140">
        <f>PLANTILLA!AB26</f>
        <v>0</v>
      </c>
      <c r="N26" s="140">
        <f>PLANTILLA!AC26</f>
        <v>0</v>
      </c>
      <c r="O26" s="140">
        <f>PLANTILLA!AD26</f>
        <v>0</v>
      </c>
      <c r="P26" s="69">
        <f t="shared" si="17"/>
        <v>0</v>
      </c>
      <c r="Q26" s="119">
        <f t="shared" si="18"/>
        <v>7</v>
      </c>
      <c r="R26" s="77">
        <f t="shared" si="19"/>
        <v>0</v>
      </c>
      <c r="S26" s="155">
        <f t="shared" si="20"/>
        <v>0</v>
      </c>
      <c r="T26" s="155">
        <f t="shared" si="21"/>
        <v>0</v>
      </c>
      <c r="U26" s="155">
        <f t="shared" si="22"/>
        <v>0</v>
      </c>
      <c r="V26" s="155">
        <f t="shared" si="23"/>
        <v>0</v>
      </c>
      <c r="W26" s="155">
        <f t="shared" si="24"/>
        <v>0</v>
      </c>
      <c r="X26" s="155">
        <f t="shared" si="25"/>
        <v>0</v>
      </c>
      <c r="Y26" s="155">
        <f t="shared" si="26"/>
        <v>0</v>
      </c>
      <c r="Z26" s="124">
        <f t="shared" si="27"/>
        <v>0</v>
      </c>
      <c r="AA26" s="124">
        <f t="shared" si="28"/>
        <v>0</v>
      </c>
      <c r="AB26" s="124">
        <f t="shared" si="29"/>
        <v>0</v>
      </c>
      <c r="AC26" s="124">
        <f t="shared" si="30"/>
        <v>0</v>
      </c>
      <c r="AD26" s="124">
        <f t="shared" si="31"/>
        <v>0</v>
      </c>
      <c r="AE26" s="124">
        <f t="shared" si="32"/>
        <v>0</v>
      </c>
      <c r="AF26" s="124">
        <f t="shared" si="33"/>
        <v>0</v>
      </c>
      <c r="AH26" s="126" t="s">
        <v>121</v>
      </c>
      <c r="AI26" s="4" t="str">
        <f t="shared" si="36"/>
        <v>G. Piscaer</v>
      </c>
      <c r="AJ26" s="128">
        <f t="shared" si="36"/>
        <v>0</v>
      </c>
      <c r="AK26" s="128">
        <f t="shared" si="36"/>
        <v>0</v>
      </c>
      <c r="AL26" s="128">
        <f t="shared" si="36"/>
        <v>0</v>
      </c>
      <c r="AM26" s="128">
        <f t="shared" si="36"/>
        <v>0</v>
      </c>
      <c r="AN26" s="128">
        <f t="shared" si="35"/>
        <v>0</v>
      </c>
      <c r="AO26" s="128">
        <f t="shared" si="35"/>
        <v>0</v>
      </c>
      <c r="AP26" s="128">
        <f t="shared" si="35"/>
        <v>0</v>
      </c>
      <c r="AQ26" s="130">
        <f t="shared" si="35"/>
        <v>0</v>
      </c>
    </row>
    <row r="27" spans="1:43" ht="19.5" customHeight="1" x14ac:dyDescent="0.25">
      <c r="A27" s="4"/>
      <c r="B27" s="4"/>
      <c r="C27" s="75"/>
      <c r="D27" s="54"/>
      <c r="E27" s="55"/>
      <c r="F27" s="70"/>
      <c r="G27" s="236"/>
      <c r="H27" s="56"/>
      <c r="I27" s="140"/>
      <c r="J27" s="140"/>
      <c r="K27" s="140"/>
      <c r="L27" s="140"/>
      <c r="M27" s="140"/>
      <c r="N27" s="140"/>
      <c r="O27" s="140"/>
      <c r="P27" s="69"/>
      <c r="Q27" s="119"/>
      <c r="R27" s="77"/>
      <c r="S27" s="155"/>
      <c r="T27" s="155"/>
      <c r="U27" s="155"/>
      <c r="V27" s="155"/>
      <c r="W27" s="155"/>
      <c r="X27" s="155"/>
      <c r="Y27" s="155"/>
      <c r="Z27" s="124"/>
      <c r="AA27" s="124"/>
      <c r="AB27" s="124"/>
      <c r="AC27" s="124"/>
      <c r="AD27" s="124"/>
      <c r="AE27" s="124"/>
      <c r="AF27" s="124"/>
      <c r="AH27" s="126" t="s">
        <v>389</v>
      </c>
      <c r="AI27" s="4" t="str">
        <f t="shared" si="36"/>
        <v>M. Bondarewski</v>
      </c>
      <c r="AJ27" s="128">
        <f t="shared" si="36"/>
        <v>0</v>
      </c>
      <c r="AK27" s="128">
        <f t="shared" si="36"/>
        <v>0</v>
      </c>
      <c r="AL27" s="128">
        <f t="shared" si="36"/>
        <v>0</v>
      </c>
      <c r="AM27" s="128">
        <f t="shared" si="36"/>
        <v>0</v>
      </c>
      <c r="AN27" s="127">
        <f t="shared" si="35"/>
        <v>0</v>
      </c>
      <c r="AO27" s="127">
        <f t="shared" si="35"/>
        <v>0</v>
      </c>
      <c r="AP27" s="127">
        <f t="shared" si="35"/>
        <v>0</v>
      </c>
      <c r="AQ27" s="129">
        <f t="shared" si="35"/>
        <v>0</v>
      </c>
    </row>
    <row r="28" spans="1:43" ht="19.5" customHeight="1" x14ac:dyDescent="0.25">
      <c r="A28" s="4"/>
      <c r="B28" s="4"/>
      <c r="C28" s="75"/>
      <c r="D28" s="54"/>
      <c r="E28" s="55"/>
      <c r="F28" s="70"/>
      <c r="G28" s="236"/>
      <c r="H28" s="56"/>
      <c r="I28" s="140"/>
      <c r="J28" s="140"/>
      <c r="K28" s="140"/>
      <c r="L28" s="140"/>
      <c r="M28" s="140"/>
      <c r="N28" s="140"/>
      <c r="O28" s="140"/>
      <c r="P28" s="69"/>
      <c r="Q28" s="119"/>
      <c r="R28" s="77"/>
      <c r="S28" s="155"/>
      <c r="T28" s="155"/>
      <c r="U28" s="155"/>
      <c r="V28" s="155"/>
      <c r="W28" s="155"/>
      <c r="X28" s="155"/>
      <c r="Y28" s="155"/>
      <c r="Z28" s="124"/>
      <c r="AA28" s="124"/>
      <c r="AB28" s="124"/>
      <c r="AC28" s="124"/>
      <c r="AD28" s="124"/>
      <c r="AE28" s="124"/>
      <c r="AF28" s="124"/>
      <c r="AH28" s="126" t="s">
        <v>389</v>
      </c>
      <c r="AI28" s="4" t="str">
        <f t="shared" si="36"/>
        <v>I. Stone</v>
      </c>
      <c r="AJ28" s="128">
        <f t="shared" si="36"/>
        <v>0</v>
      </c>
      <c r="AK28" s="128">
        <f t="shared" si="36"/>
        <v>0</v>
      </c>
      <c r="AL28" s="128">
        <f t="shared" si="36"/>
        <v>0</v>
      </c>
      <c r="AM28" s="128">
        <f t="shared" si="36"/>
        <v>0</v>
      </c>
      <c r="AN28" s="128">
        <f t="shared" si="35"/>
        <v>0</v>
      </c>
      <c r="AO28" s="128">
        <f t="shared" si="35"/>
        <v>0</v>
      </c>
      <c r="AP28" s="128">
        <f t="shared" si="35"/>
        <v>0</v>
      </c>
      <c r="AQ28" s="129">
        <f t="shared" si="35"/>
        <v>0</v>
      </c>
    </row>
    <row r="29" spans="1:43" x14ac:dyDescent="0.25">
      <c r="S29" s="48"/>
      <c r="T29" s="48"/>
      <c r="U29" s="48"/>
      <c r="V29" s="48"/>
      <c r="W29" s="48"/>
      <c r="X29" s="48"/>
      <c r="Y29" s="48"/>
      <c r="AH29" s="2"/>
    </row>
    <row r="30" spans="1:43" x14ac:dyDescent="0.25">
      <c r="S30" s="48"/>
      <c r="T30" s="48"/>
      <c r="U30" s="48"/>
      <c r="V30" s="48"/>
      <c r="W30" s="48"/>
      <c r="X30" s="48"/>
      <c r="Y30" s="48"/>
    </row>
    <row r="31" spans="1:43" x14ac:dyDescent="0.25">
      <c r="S31" s="48"/>
      <c r="T31" s="48"/>
      <c r="U31" s="48"/>
      <c r="V31" s="48"/>
      <c r="W31" s="48"/>
      <c r="X31" s="48"/>
      <c r="Y31" s="48"/>
    </row>
    <row r="32" spans="1:43" x14ac:dyDescent="0.25">
      <c r="S32" s="48"/>
      <c r="T32" s="48"/>
      <c r="U32" s="48"/>
      <c r="V32" s="48"/>
      <c r="W32" s="48"/>
      <c r="X32" s="48"/>
      <c r="Y32" s="48"/>
    </row>
  </sheetData>
  <mergeCells count="4">
    <mergeCell ref="AH1:AQ1"/>
    <mergeCell ref="D2:F2"/>
    <mergeCell ref="AH3:AI3"/>
    <mergeCell ref="AH17:AI17"/>
  </mergeCells>
  <conditionalFormatting sqref="AJ18:AL23 Z4:AF28">
    <cfRule type="cellIs" dxfId="38" priority="1" operator="greaterThan">
      <formula>0</formula>
    </cfRule>
  </conditionalFormatting>
  <conditionalFormatting sqref="AJ16:AP16">
    <cfRule type="cellIs" dxfId="37" priority="3" operator="greaterThan">
      <formula>0</formula>
    </cfRule>
  </conditionalFormatting>
  <conditionalFormatting sqref="AJ2:AP2">
    <cfRule type="cellIs" dxfId="36" priority="4" operator="greaterThan">
      <formula>0</formula>
    </cfRule>
  </conditionalFormatting>
  <conditionalFormatting sqref="AO20">
    <cfRule type="cellIs" dxfId="35" priority="5" operator="greaterThan">
      <formula>0</formula>
    </cfRule>
  </conditionalFormatting>
  <conditionalFormatting sqref="AN28:AP28">
    <cfRule type="cellIs" dxfId="34" priority="6" operator="greaterThan">
      <formula>0</formula>
    </cfRule>
  </conditionalFormatting>
  <conditionalFormatting sqref="AM14:AP14">
    <cfRule type="cellIs" dxfId="33" priority="7" operator="greaterThan">
      <formula>0</formula>
    </cfRule>
  </conditionalFormatting>
  <conditionalFormatting sqref="AN27:AP27">
    <cfRule type="cellIs" dxfId="32" priority="8" operator="greaterThan">
      <formula>0</formula>
    </cfRule>
  </conditionalFormatting>
  <conditionalFormatting sqref="AN26:AP26">
    <cfRule type="cellIs" dxfId="31" priority="9" operator="greaterThan">
      <formula>0</formula>
    </cfRule>
  </conditionalFormatting>
  <conditionalFormatting sqref="AN25:AP25">
    <cfRule type="cellIs" dxfId="30" priority="10" operator="greaterThan">
      <formula>0</formula>
    </cfRule>
  </conditionalFormatting>
  <conditionalFormatting sqref="AM23:AP23">
    <cfRule type="cellIs" dxfId="29" priority="11" operator="greaterThan">
      <formula>0</formula>
    </cfRule>
  </conditionalFormatting>
  <conditionalFormatting sqref="AM18:AP18">
    <cfRule type="cellIs" dxfId="28" priority="12" operator="greaterThan">
      <formula>0</formula>
    </cfRule>
  </conditionalFormatting>
  <conditionalFormatting sqref="AM19:AP19 AM20:AN20 AP20 AM21:AP22 AJ24:AP24 AJ25:AM28">
    <cfRule type="cellIs" dxfId="27" priority="13" operator="greaterThan">
      <formula>0</formula>
    </cfRule>
  </conditionalFormatting>
  <conditionalFormatting sqref="AJ4:AP13 AJ14:AL14">
    <cfRule type="cellIs" dxfId="26" priority="14" operator="greaterThan">
      <formula>0</formula>
    </cfRule>
  </conditionalFormatting>
  <conditionalFormatting sqref="I4:O28">
    <cfRule type="cellIs" dxfId="25" priority="16" operator="greaterThan">
      <formula>8</formula>
    </cfRule>
  </conditionalFormatting>
  <conditionalFormatting sqref="S27:Y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S4:Y26">
    <cfRule type="colorScale" priority="937">
      <colorScale>
        <cfvo type="min"/>
        <cfvo type="max"/>
        <color rgb="FFFCFCFF"/>
        <color rgb="FFF8696B"/>
      </colorScale>
    </cfRule>
  </conditionalFormatting>
  <conditionalFormatting sqref="I4:O28">
    <cfRule type="colorScale" priority="943">
      <colorScale>
        <cfvo type="min"/>
        <cfvo type="max"/>
        <color rgb="FFFFEF9C"/>
        <color rgb="FFFF7128"/>
      </colorScale>
    </cfRule>
  </conditionalFormatting>
  <conditionalFormatting sqref="H4:H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I28" sqref="I28"/>
    </sheetView>
  </sheetViews>
  <sheetFormatPr baseColWidth="10" defaultColWidth="11.42578125" defaultRowHeight="15" x14ac:dyDescent="0.25"/>
  <cols>
    <col min="1" max="1" width="13.28515625" style="57" customWidth="1"/>
    <col min="2" max="2" width="14.28515625" style="57" customWidth="1"/>
    <col min="3" max="10" width="8.28515625" style="57" customWidth="1"/>
    <col min="11" max="11" width="9.28515625" style="57" customWidth="1"/>
    <col min="12" max="12" width="8.28515625" style="57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39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2" t="s">
        <v>390</v>
      </c>
      <c r="C1" s="182">
        <f t="shared" ref="C1:L1" si="0">MAX(C3:C27)</f>
        <v>7.6541020779221203E-2</v>
      </c>
      <c r="D1" s="182">
        <f t="shared" si="0"/>
        <v>9.5167093706293476E-2</v>
      </c>
      <c r="E1" s="182">
        <f t="shared" si="0"/>
        <v>0.10114897692307692</v>
      </c>
      <c r="F1" s="182">
        <f t="shared" si="0"/>
        <v>5.254696863959811E-2</v>
      </c>
      <c r="G1" s="182">
        <f t="shared" si="0"/>
        <v>5.2239892473118131E-2</v>
      </c>
      <c r="H1" s="182">
        <f t="shared" si="0"/>
        <v>8.0176190476190193E-2</v>
      </c>
      <c r="I1" s="182">
        <f t="shared" si="0"/>
        <v>5.7961761904761842E-2</v>
      </c>
      <c r="J1" s="182">
        <f t="shared" si="0"/>
        <v>0</v>
      </c>
      <c r="K1" s="182">
        <f t="shared" si="0"/>
        <v>3.6222627372627401E-2</v>
      </c>
      <c r="L1" s="182">
        <f t="shared" si="0"/>
        <v>0.16964285714285698</v>
      </c>
      <c r="N1" s="57"/>
      <c r="O1" s="57"/>
      <c r="P1" s="156"/>
      <c r="Q1" s="156"/>
      <c r="R1" s="156"/>
      <c r="S1" s="156"/>
      <c r="T1" s="156"/>
      <c r="U1" s="156"/>
      <c r="V1" s="156"/>
      <c r="W1" s="156"/>
      <c r="X1" s="156"/>
      <c r="Y1" s="211"/>
      <c r="Z1" s="156"/>
      <c r="AA1" s="156"/>
      <c r="AB1" s="156"/>
      <c r="AC1" s="156"/>
      <c r="AD1" s="156"/>
      <c r="AE1" s="156"/>
      <c r="AF1" s="156"/>
      <c r="AG1" s="156"/>
    </row>
    <row r="2" spans="1:33" x14ac:dyDescent="0.25">
      <c r="A2" s="206" t="s">
        <v>391</v>
      </c>
      <c r="B2" s="207" t="s">
        <v>392</v>
      </c>
      <c r="C2" s="92" t="s">
        <v>378</v>
      </c>
      <c r="D2" s="159" t="s">
        <v>379</v>
      </c>
      <c r="E2" s="159" t="s">
        <v>380</v>
      </c>
      <c r="F2" s="159" t="s">
        <v>381</v>
      </c>
      <c r="G2" s="159" t="s">
        <v>382</v>
      </c>
      <c r="H2" s="159" t="s">
        <v>383</v>
      </c>
      <c r="I2" s="159" t="s">
        <v>384</v>
      </c>
      <c r="J2" s="159" t="s">
        <v>385</v>
      </c>
      <c r="K2" s="159" t="s">
        <v>386</v>
      </c>
      <c r="L2" s="159" t="s">
        <v>273</v>
      </c>
      <c r="N2" s="206" t="s">
        <v>391</v>
      </c>
      <c r="O2" s="207" t="s">
        <v>392</v>
      </c>
      <c r="P2" s="92" t="s">
        <v>378</v>
      </c>
      <c r="Q2" s="159" t="s">
        <v>393</v>
      </c>
      <c r="R2" s="159" t="s">
        <v>379</v>
      </c>
      <c r="S2" s="159" t="s">
        <v>393</v>
      </c>
      <c r="T2" s="159" t="s">
        <v>380</v>
      </c>
      <c r="U2" s="159" t="s">
        <v>393</v>
      </c>
      <c r="V2" s="159" t="s">
        <v>381</v>
      </c>
      <c r="W2" s="159" t="s">
        <v>393</v>
      </c>
      <c r="X2" s="159" t="s">
        <v>382</v>
      </c>
      <c r="Y2" s="159" t="s">
        <v>393</v>
      </c>
      <c r="Z2" s="159" t="s">
        <v>383</v>
      </c>
      <c r="AA2" s="159" t="s">
        <v>393</v>
      </c>
      <c r="AB2" s="159" t="s">
        <v>384</v>
      </c>
      <c r="AC2" s="159" t="s">
        <v>393</v>
      </c>
      <c r="AD2" s="179" t="s">
        <v>385</v>
      </c>
      <c r="AE2" s="179" t="s">
        <v>393</v>
      </c>
      <c r="AF2" s="179" t="s">
        <v>386</v>
      </c>
      <c r="AG2" s="179" t="s">
        <v>393</v>
      </c>
    </row>
    <row r="3" spans="1:33" x14ac:dyDescent="0.25">
      <c r="A3" s="158" t="s">
        <v>394</v>
      </c>
      <c r="B3" s="157" t="s">
        <v>395</v>
      </c>
      <c r="C3" s="167"/>
      <c r="D3" s="168"/>
      <c r="E3" s="168"/>
      <c r="F3" s="168"/>
      <c r="G3" s="168"/>
      <c r="H3" s="168"/>
      <c r="I3" s="168"/>
      <c r="J3" s="168"/>
      <c r="K3" s="168"/>
      <c r="L3" s="168"/>
      <c r="N3" s="69" t="s">
        <v>394</v>
      </c>
      <c r="O3" s="157" t="s">
        <v>395</v>
      </c>
      <c r="P3" s="170">
        <f>C3/$C$4</f>
        <v>0</v>
      </c>
      <c r="Q3" s="219" t="e">
        <f>1/C3</f>
        <v>#DIV/0!</v>
      </c>
      <c r="R3" s="170">
        <f>D3/D1</f>
        <v>0</v>
      </c>
      <c r="S3" s="219" t="e">
        <f>1/D3</f>
        <v>#DIV/0!</v>
      </c>
      <c r="T3" s="170">
        <f>E3/E1</f>
        <v>0</v>
      </c>
      <c r="U3" s="219" t="e">
        <f>1/E3</f>
        <v>#DIV/0!</v>
      </c>
      <c r="V3" s="171"/>
      <c r="W3" s="171"/>
      <c r="X3" s="171"/>
      <c r="Y3" s="212"/>
      <c r="Z3" s="171"/>
      <c r="AA3" s="171"/>
      <c r="AB3" s="171"/>
      <c r="AC3" s="171"/>
      <c r="AD3" s="171"/>
      <c r="AE3" s="171"/>
      <c r="AF3" s="171">
        <f>K3/K1</f>
        <v>0</v>
      </c>
      <c r="AG3" s="212"/>
    </row>
    <row r="4" spans="1:33" x14ac:dyDescent="0.25">
      <c r="A4" s="560" t="s">
        <v>396</v>
      </c>
      <c r="B4" s="165" t="s">
        <v>188</v>
      </c>
      <c r="C4" s="183">
        <v>5.9340247552447697E-2</v>
      </c>
      <c r="D4" s="178">
        <v>6.8999559240759498E-2</v>
      </c>
      <c r="E4" s="178">
        <v>7.5579372027972047E-2</v>
      </c>
      <c r="F4" s="178"/>
      <c r="G4" s="178"/>
      <c r="H4" s="178"/>
      <c r="I4" s="178"/>
      <c r="J4" s="178">
        <v>0</v>
      </c>
      <c r="K4" s="178">
        <v>3.6222627372627401E-2</v>
      </c>
      <c r="L4" s="178"/>
      <c r="N4" s="560" t="s">
        <v>396</v>
      </c>
      <c r="O4" s="165" t="s">
        <v>188</v>
      </c>
      <c r="P4" s="172">
        <f>C4/$C$1</f>
        <v>0.77527379369046712</v>
      </c>
      <c r="Q4" s="213">
        <f>1/C4</f>
        <v>16.851968794301929</v>
      </c>
      <c r="R4" s="173">
        <f>D4/$D$1</f>
        <v>0.72503589795131573</v>
      </c>
      <c r="S4" s="213">
        <f>1/D4</f>
        <v>14.492846200809916</v>
      </c>
      <c r="T4" s="173">
        <f>E4/$E$1</f>
        <v>0.74720846742176761</v>
      </c>
      <c r="U4" s="213">
        <f>1/E4</f>
        <v>13.231123429153373</v>
      </c>
      <c r="V4" s="173"/>
      <c r="W4" s="173"/>
      <c r="X4" s="172"/>
      <c r="Y4" s="213"/>
      <c r="Z4" s="173"/>
      <c r="AA4" s="173"/>
      <c r="AB4" s="173"/>
      <c r="AC4" s="173"/>
      <c r="AD4" s="172"/>
      <c r="AE4" s="172"/>
      <c r="AF4" s="172">
        <f>K4/K1</f>
        <v>1</v>
      </c>
      <c r="AG4" s="217"/>
    </row>
    <row r="5" spans="1:33" x14ac:dyDescent="0.25">
      <c r="A5" s="560"/>
      <c r="B5" s="165" t="s">
        <v>189</v>
      </c>
      <c r="C5" s="180"/>
      <c r="D5" s="169"/>
      <c r="E5" s="169"/>
      <c r="F5" s="169">
        <v>5.254696863959811E-2</v>
      </c>
      <c r="G5" s="169"/>
      <c r="H5" s="169"/>
      <c r="I5" s="169"/>
      <c r="J5" s="169"/>
      <c r="K5" s="169"/>
      <c r="L5" s="169"/>
      <c r="N5" s="560"/>
      <c r="O5" s="165" t="s">
        <v>189</v>
      </c>
      <c r="P5" s="174"/>
      <c r="Q5" s="214"/>
      <c r="R5" s="161"/>
      <c r="S5" s="214"/>
      <c r="T5" s="161"/>
      <c r="U5" s="214"/>
      <c r="V5" s="161">
        <f>F5/F1</f>
        <v>1</v>
      </c>
      <c r="W5" s="214">
        <f>1/F5</f>
        <v>19.03059350309362</v>
      </c>
      <c r="X5" s="174"/>
      <c r="Y5" s="214"/>
      <c r="Z5" s="161"/>
      <c r="AA5" s="161"/>
      <c r="AB5" s="161"/>
      <c r="AC5" s="161"/>
      <c r="AD5" s="174"/>
      <c r="AE5" s="174"/>
      <c r="AF5" s="174"/>
      <c r="AG5" s="216"/>
    </row>
    <row r="6" spans="1:33" x14ac:dyDescent="0.25">
      <c r="A6" s="560"/>
      <c r="B6" s="165" t="s">
        <v>397</v>
      </c>
      <c r="C6" s="180"/>
      <c r="D6" s="169"/>
      <c r="E6" s="169"/>
      <c r="F6" s="169"/>
      <c r="G6" s="169">
        <v>3.9584999999999822E-2</v>
      </c>
      <c r="H6" s="169">
        <v>6.3542692307692147E-2</v>
      </c>
      <c r="I6" s="169">
        <v>0</v>
      </c>
      <c r="J6" s="169"/>
      <c r="K6" s="169"/>
      <c r="L6" s="169"/>
      <c r="N6" s="560"/>
      <c r="O6" s="165" t="s">
        <v>397</v>
      </c>
      <c r="P6" s="174"/>
      <c r="Q6" s="214"/>
      <c r="R6" s="161"/>
      <c r="S6" s="214"/>
      <c r="T6" s="161"/>
      <c r="U6" s="214"/>
      <c r="V6" s="161"/>
      <c r="W6" s="214"/>
      <c r="X6" s="174">
        <f>G6/$G$1</f>
        <v>0.75775423964300215</v>
      </c>
      <c r="Y6" s="214">
        <f>1/G6</f>
        <v>25.262094227611584</v>
      </c>
      <c r="Z6" s="161">
        <f>H6/$H$1</f>
        <v>0.79253818284821509</v>
      </c>
      <c r="AA6" s="214">
        <f>1/H6</f>
        <v>15.737450896126811</v>
      </c>
      <c r="AB6" s="161">
        <f>I6/$I$1</f>
        <v>0</v>
      </c>
      <c r="AC6" s="161"/>
      <c r="AD6" s="174"/>
      <c r="AE6" s="174"/>
      <c r="AF6" s="174"/>
      <c r="AG6" s="216"/>
    </row>
    <row r="7" spans="1:33" x14ac:dyDescent="0.25">
      <c r="A7" s="560"/>
      <c r="B7" s="165" t="s">
        <v>398</v>
      </c>
      <c r="C7" s="180"/>
      <c r="D7" s="169"/>
      <c r="E7" s="169"/>
      <c r="F7" s="169"/>
      <c r="G7" s="169">
        <v>3.3714285714285648E-2</v>
      </c>
      <c r="H7" s="169">
        <v>3.433928571428569E-2</v>
      </c>
      <c r="I7" s="169">
        <v>4.9198011904761835E-2</v>
      </c>
      <c r="J7" s="169"/>
      <c r="K7" s="169"/>
      <c r="L7" s="169"/>
      <c r="N7" s="560"/>
      <c r="O7" s="165" t="s">
        <v>398</v>
      </c>
      <c r="P7" s="174"/>
      <c r="Q7" s="214"/>
      <c r="R7" s="161"/>
      <c r="S7" s="214"/>
      <c r="T7" s="161"/>
      <c r="U7" s="214"/>
      <c r="V7" s="161"/>
      <c r="W7" s="214"/>
      <c r="X7" s="174">
        <f>G7/$G$1</f>
        <v>0.64537433210902029</v>
      </c>
      <c r="Y7" s="214">
        <f>1/G7</f>
        <v>29.6610169491526</v>
      </c>
      <c r="Z7" s="161">
        <f>H7/$H$1</f>
        <v>0.42829779651957123</v>
      </c>
      <c r="AA7" s="214">
        <f>1/H7</f>
        <v>29.121164846593885</v>
      </c>
      <c r="AB7" s="161">
        <f>I7/$I$1</f>
        <v>0.84880118008835026</v>
      </c>
      <c r="AC7" s="214">
        <f>1/I7</f>
        <v>20.326024594973742</v>
      </c>
      <c r="AD7" s="174"/>
      <c r="AE7" s="174"/>
      <c r="AF7" s="174"/>
      <c r="AG7" s="216"/>
    </row>
    <row r="8" spans="1:33" x14ac:dyDescent="0.25">
      <c r="A8" s="560"/>
      <c r="B8" s="165" t="s">
        <v>169</v>
      </c>
      <c r="C8" s="180"/>
      <c r="D8" s="169"/>
      <c r="E8" s="169"/>
      <c r="F8" s="169"/>
      <c r="G8" s="169"/>
      <c r="H8" s="169"/>
      <c r="I8" s="169"/>
      <c r="J8" s="169"/>
      <c r="K8" s="169"/>
      <c r="L8" s="169"/>
      <c r="N8" s="560"/>
      <c r="O8" s="165" t="s">
        <v>169</v>
      </c>
      <c r="P8" s="174"/>
      <c r="Q8" s="214"/>
      <c r="R8" s="161"/>
      <c r="S8" s="214"/>
      <c r="T8" s="161"/>
      <c r="U8" s="214"/>
      <c r="V8" s="161"/>
      <c r="W8" s="214"/>
      <c r="X8" s="174"/>
      <c r="Y8" s="214"/>
      <c r="Z8" s="161"/>
      <c r="AA8" s="214"/>
      <c r="AB8" s="161"/>
      <c r="AC8" s="214"/>
      <c r="AD8" s="174"/>
      <c r="AE8" s="216"/>
      <c r="AF8" s="174"/>
      <c r="AG8" s="216"/>
    </row>
    <row r="9" spans="1:33" x14ac:dyDescent="0.25">
      <c r="A9" s="560"/>
      <c r="B9" s="165" t="s">
        <v>170</v>
      </c>
      <c r="C9" s="181"/>
      <c r="D9" s="160"/>
      <c r="E9" s="160"/>
      <c r="F9" s="160"/>
      <c r="G9" s="160"/>
      <c r="H9" s="160"/>
      <c r="I9" s="160"/>
      <c r="J9" s="160"/>
      <c r="K9" s="160"/>
      <c r="L9" s="160"/>
      <c r="N9" s="560"/>
      <c r="O9" s="165" t="s">
        <v>170</v>
      </c>
      <c r="P9" s="175"/>
      <c r="Q9" s="215"/>
      <c r="R9" s="162"/>
      <c r="S9" s="215"/>
      <c r="T9" s="162"/>
      <c r="U9" s="215"/>
      <c r="V9" s="162"/>
      <c r="W9" s="215"/>
      <c r="X9" s="175"/>
      <c r="Y9" s="215"/>
      <c r="Z9" s="162"/>
      <c r="AA9" s="162"/>
      <c r="AB9" s="162"/>
      <c r="AC9" s="162"/>
      <c r="AD9" s="175" t="e">
        <f>J9/$J$1</f>
        <v>#DIV/0!</v>
      </c>
      <c r="AE9" s="218" t="e">
        <f>1/J9</f>
        <v>#DIV/0!</v>
      </c>
      <c r="AF9" s="175">
        <f>K9/$K$1</f>
        <v>0</v>
      </c>
      <c r="AG9" s="218" t="e">
        <f>1/K9</f>
        <v>#DIV/0!</v>
      </c>
    </row>
    <row r="10" spans="1:33" x14ac:dyDescent="0.25">
      <c r="A10" s="559" t="s">
        <v>399</v>
      </c>
      <c r="B10" s="166" t="s">
        <v>188</v>
      </c>
      <c r="C10" s="183">
        <v>4.0980247552447772E-2</v>
      </c>
      <c r="D10" s="178">
        <v>7.0304873926074096E-2</v>
      </c>
      <c r="E10" s="178">
        <v>4.057937202797221E-2</v>
      </c>
      <c r="F10" s="178"/>
      <c r="G10" s="178"/>
      <c r="H10" s="178"/>
      <c r="I10" s="178"/>
      <c r="J10" s="178">
        <v>0</v>
      </c>
      <c r="K10" s="178">
        <v>3.0871978021978067E-2</v>
      </c>
      <c r="L10" s="178"/>
      <c r="N10" s="559" t="s">
        <v>399</v>
      </c>
      <c r="O10" s="166" t="s">
        <v>188</v>
      </c>
      <c r="P10" s="174">
        <f>C10/$C$1</f>
        <v>0.53540241736066307</v>
      </c>
      <c r="Q10" s="213">
        <f>1/C10</f>
        <v>24.401999981092587</v>
      </c>
      <c r="R10" s="173">
        <f>D10/$D$1</f>
        <v>0.73875192766788023</v>
      </c>
      <c r="S10" s="213">
        <f>1/D10</f>
        <v>14.223764927755999</v>
      </c>
      <c r="T10" s="173">
        <f>E10/$E$1</f>
        <v>0.40118420632996155</v>
      </c>
      <c r="U10" s="213">
        <f>1/E10</f>
        <v>24.643062472989456</v>
      </c>
      <c r="V10" s="161"/>
      <c r="W10" s="214"/>
      <c r="X10" s="174"/>
      <c r="Y10" s="214"/>
      <c r="Z10" s="161"/>
      <c r="AA10" s="161"/>
      <c r="AB10" s="161"/>
      <c r="AC10" s="161"/>
      <c r="AD10" s="174"/>
      <c r="AE10" s="161"/>
      <c r="AF10" s="161">
        <f>K10/K1</f>
        <v>0.85228433885796218</v>
      </c>
      <c r="AG10" s="214"/>
    </row>
    <row r="11" spans="1:33" x14ac:dyDescent="0.25">
      <c r="A11" s="560"/>
      <c r="B11" s="165" t="s">
        <v>189</v>
      </c>
      <c r="C11" s="180"/>
      <c r="D11" s="169"/>
      <c r="E11" s="169"/>
      <c r="F11" s="169">
        <v>5.1022557865187314E-2</v>
      </c>
      <c r="G11" s="169"/>
      <c r="H11" s="169"/>
      <c r="I11" s="169"/>
      <c r="J11" s="169"/>
      <c r="K11" s="169"/>
      <c r="L11" s="169"/>
      <c r="N11" s="560"/>
      <c r="O11" s="165" t="s">
        <v>189</v>
      </c>
      <c r="P11" s="174"/>
      <c r="Q11" s="214"/>
      <c r="R11" s="161"/>
      <c r="S11" s="214"/>
      <c r="T11" s="161"/>
      <c r="U11" s="214"/>
      <c r="V11" s="161">
        <f>F11/F1</f>
        <v>0.97098955822045196</v>
      </c>
      <c r="W11" s="214">
        <f>1/F11</f>
        <v>19.599174205303804</v>
      </c>
      <c r="X11" s="174"/>
      <c r="Y11" s="214"/>
      <c r="Z11" s="161"/>
      <c r="AA11" s="161"/>
      <c r="AB11" s="161"/>
      <c r="AC11" s="161"/>
      <c r="AD11" s="174"/>
      <c r="AE11" s="161"/>
      <c r="AF11" s="161"/>
      <c r="AG11" s="214"/>
    </row>
    <row r="12" spans="1:33" x14ac:dyDescent="0.25">
      <c r="A12" s="560"/>
      <c r="B12" s="165" t="s">
        <v>397</v>
      </c>
      <c r="C12" s="180"/>
      <c r="D12" s="169"/>
      <c r="E12" s="169"/>
      <c r="F12" s="169"/>
      <c r="G12" s="169">
        <v>4.221595238095216E-2</v>
      </c>
      <c r="H12" s="169">
        <v>6.617364468864452E-2</v>
      </c>
      <c r="I12" s="169">
        <v>0</v>
      </c>
      <c r="J12" s="169"/>
      <c r="K12" s="169"/>
      <c r="L12" s="169"/>
      <c r="N12" s="560"/>
      <c r="O12" s="165" t="s">
        <v>397</v>
      </c>
      <c r="P12" s="174"/>
      <c r="Q12" s="214"/>
      <c r="R12" s="161"/>
      <c r="S12" s="214"/>
      <c r="T12" s="161"/>
      <c r="U12" s="214"/>
      <c r="V12" s="161"/>
      <c r="W12" s="214"/>
      <c r="X12" s="174">
        <f>G12/$G$1</f>
        <v>0.80811713773484239</v>
      </c>
      <c r="Y12" s="214">
        <f>1/G12</f>
        <v>23.687728064881938</v>
      </c>
      <c r="Z12" s="161">
        <f>H12/$H$1</f>
        <v>0.82535281728427856</v>
      </c>
      <c r="AA12" s="214">
        <f>1/H12</f>
        <v>15.111756420628305</v>
      </c>
      <c r="AB12" s="161">
        <f>I12/$I$1</f>
        <v>0</v>
      </c>
      <c r="AC12" s="214"/>
      <c r="AD12" s="174"/>
      <c r="AE12" s="161"/>
      <c r="AF12" s="161"/>
      <c r="AG12" s="214"/>
    </row>
    <row r="13" spans="1:33" x14ac:dyDescent="0.25">
      <c r="A13" s="560"/>
      <c r="B13" s="165" t="s">
        <v>398</v>
      </c>
      <c r="C13" s="180"/>
      <c r="D13" s="169"/>
      <c r="E13" s="169"/>
      <c r="F13" s="169"/>
      <c r="G13" s="169">
        <v>3.8151785714285645E-2</v>
      </c>
      <c r="H13" s="169">
        <v>3.8776785714285687E-2</v>
      </c>
      <c r="I13" s="169">
        <v>5.7961761904761842E-2</v>
      </c>
      <c r="J13" s="169"/>
      <c r="K13" s="169"/>
      <c r="L13" s="169"/>
      <c r="N13" s="560"/>
      <c r="O13" s="165" t="s">
        <v>398</v>
      </c>
      <c r="P13" s="174"/>
      <c r="Q13" s="214"/>
      <c r="R13" s="161"/>
      <c r="S13" s="214"/>
      <c r="T13" s="161"/>
      <c r="U13" s="214"/>
      <c r="V13" s="161"/>
      <c r="W13" s="214"/>
      <c r="X13" s="174">
        <f>G13/$G$1</f>
        <v>0.73031899393586974</v>
      </c>
      <c r="Y13" s="214">
        <f>1/G13</f>
        <v>26.211092908963305</v>
      </c>
      <c r="Z13" s="161">
        <f>H13/$H$1</f>
        <v>0.48364465166003584</v>
      </c>
      <c r="AA13" s="214">
        <f>1/H13</f>
        <v>25.788625374165342</v>
      </c>
      <c r="AB13" s="161">
        <f>I13/$I$1</f>
        <v>1</v>
      </c>
      <c r="AC13" s="214">
        <f>1/I13</f>
        <v>17.252753662718543</v>
      </c>
      <c r="AD13" s="174"/>
      <c r="AE13" s="161"/>
      <c r="AF13" s="161"/>
      <c r="AG13" s="214"/>
    </row>
    <row r="14" spans="1:33" x14ac:dyDescent="0.25">
      <c r="A14" s="560"/>
      <c r="B14" s="165" t="s">
        <v>169</v>
      </c>
      <c r="C14" s="180"/>
      <c r="D14" s="169"/>
      <c r="E14" s="169"/>
      <c r="F14" s="169"/>
      <c r="G14" s="169"/>
      <c r="H14" s="169"/>
      <c r="I14" s="169"/>
      <c r="J14" s="169"/>
      <c r="K14" s="169"/>
      <c r="L14" s="169"/>
      <c r="N14" s="560"/>
      <c r="O14" s="165" t="s">
        <v>169</v>
      </c>
      <c r="P14" s="174"/>
      <c r="Q14" s="214"/>
      <c r="R14" s="161"/>
      <c r="S14" s="214"/>
      <c r="T14" s="161"/>
      <c r="U14" s="214"/>
      <c r="V14" s="161"/>
      <c r="W14" s="214"/>
      <c r="X14" s="174"/>
      <c r="Y14" s="214"/>
      <c r="Z14" s="161"/>
      <c r="AA14" s="214"/>
      <c r="AB14" s="161"/>
      <c r="AC14" s="214"/>
      <c r="AD14" s="174"/>
      <c r="AE14" s="216"/>
      <c r="AF14" s="174"/>
      <c r="AG14" s="216"/>
    </row>
    <row r="15" spans="1:33" x14ac:dyDescent="0.25">
      <c r="A15" s="560"/>
      <c r="B15" s="165" t="s">
        <v>170</v>
      </c>
      <c r="C15" s="181"/>
      <c r="D15" s="160"/>
      <c r="E15" s="160"/>
      <c r="F15" s="160"/>
      <c r="G15" s="160"/>
      <c r="H15" s="160"/>
      <c r="I15" s="160"/>
      <c r="J15" s="160"/>
      <c r="K15" s="160"/>
      <c r="L15" s="160"/>
      <c r="N15" s="560"/>
      <c r="O15" s="165" t="s">
        <v>170</v>
      </c>
      <c r="P15" s="175"/>
      <c r="Q15" s="215"/>
      <c r="R15" s="162"/>
      <c r="S15" s="215"/>
      <c r="T15" s="162"/>
      <c r="U15" s="215"/>
      <c r="V15" s="162"/>
      <c r="W15" s="215"/>
      <c r="X15" s="175"/>
      <c r="Y15" s="215"/>
      <c r="Z15" s="162"/>
      <c r="AA15" s="162"/>
      <c r="AB15" s="162"/>
      <c r="AC15" s="162"/>
      <c r="AD15" s="175" t="e">
        <f>J15/$J$1</f>
        <v>#DIV/0!</v>
      </c>
      <c r="AE15" s="218" t="e">
        <f>1/J15</f>
        <v>#DIV/0!</v>
      </c>
      <c r="AF15" s="175">
        <f>K15/$K$1</f>
        <v>0</v>
      </c>
      <c r="AG15" s="218" t="e">
        <f>1/K15</f>
        <v>#DIV/0!</v>
      </c>
    </row>
    <row r="16" spans="1:33" x14ac:dyDescent="0.25">
      <c r="A16" s="559" t="s">
        <v>400</v>
      </c>
      <c r="B16" s="166" t="s">
        <v>188</v>
      </c>
      <c r="C16" s="180">
        <v>5.8181020779221264E-2</v>
      </c>
      <c r="D16" s="169">
        <v>7.6807093706293572E-2</v>
      </c>
      <c r="E16" s="169">
        <v>6.614897692307703E-2</v>
      </c>
      <c r="F16" s="169"/>
      <c r="G16" s="169"/>
      <c r="H16" s="169"/>
      <c r="I16" s="169"/>
      <c r="J16" s="169">
        <v>0</v>
      </c>
      <c r="K16" s="169">
        <v>2.9990859140859208E-2</v>
      </c>
      <c r="L16" s="169">
        <v>4.1477272727272967E-2</v>
      </c>
      <c r="N16" s="559" t="s">
        <v>400</v>
      </c>
      <c r="O16" s="166" t="s">
        <v>188</v>
      </c>
      <c r="P16" s="174">
        <f>C16/$C$1</f>
        <v>0.76012862367019574</v>
      </c>
      <c r="Q16" s="213">
        <f>1/C16</f>
        <v>17.18773556405424</v>
      </c>
      <c r="R16" s="173">
        <f>D16/$D$1</f>
        <v>0.80707617218339256</v>
      </c>
      <c r="S16" s="213">
        <f>1/D16</f>
        <v>13.019630762543226</v>
      </c>
      <c r="T16" s="173">
        <f>E16/$E$1</f>
        <v>0.65397573890819338</v>
      </c>
      <c r="U16" s="213">
        <f>1/E16</f>
        <v>15.117391780115884</v>
      </c>
      <c r="V16" s="161"/>
      <c r="W16" s="214"/>
      <c r="X16" s="161"/>
      <c r="Y16" s="214"/>
      <c r="Z16" s="161"/>
      <c r="AA16" s="161"/>
      <c r="AB16" s="161"/>
      <c r="AC16" s="161"/>
      <c r="AD16" s="161"/>
      <c r="AE16" s="161"/>
      <c r="AF16" s="161">
        <f>K16/K1</f>
        <v>0.827959243053766</v>
      </c>
      <c r="AG16" s="214"/>
    </row>
    <row r="17" spans="1:33" x14ac:dyDescent="0.25">
      <c r="A17" s="560"/>
      <c r="B17" s="165" t="s">
        <v>189</v>
      </c>
      <c r="C17" s="180"/>
      <c r="D17" s="169"/>
      <c r="E17" s="169"/>
      <c r="F17" s="169">
        <v>4.2273232055429683E-2</v>
      </c>
      <c r="G17" s="169"/>
      <c r="H17" s="169"/>
      <c r="I17" s="169"/>
      <c r="J17" s="169"/>
      <c r="K17" s="169"/>
      <c r="L17" s="169"/>
      <c r="N17" s="560"/>
      <c r="O17" s="165" t="s">
        <v>189</v>
      </c>
      <c r="P17" s="174"/>
      <c r="Q17" s="214"/>
      <c r="R17" s="161"/>
      <c r="S17" s="214"/>
      <c r="T17" s="161"/>
      <c r="U17" s="214"/>
      <c r="V17" s="161">
        <f>F17/F1</f>
        <v>0.80448469530882905</v>
      </c>
      <c r="W17" s="214">
        <f>1/F17</f>
        <v>23.655631504323487</v>
      </c>
      <c r="X17" s="161"/>
      <c r="Y17" s="214"/>
      <c r="Z17" s="161"/>
      <c r="AA17" s="161"/>
      <c r="AB17" s="161"/>
      <c r="AC17" s="161"/>
      <c r="AD17" s="161"/>
      <c r="AE17" s="161"/>
      <c r="AF17" s="161"/>
      <c r="AG17" s="214"/>
    </row>
    <row r="18" spans="1:33" x14ac:dyDescent="0.25">
      <c r="A18" s="560"/>
      <c r="B18" s="165" t="s">
        <v>397</v>
      </c>
      <c r="C18" s="180"/>
      <c r="D18" s="169"/>
      <c r="E18" s="169"/>
      <c r="F18" s="169"/>
      <c r="G18" s="169">
        <v>5.2239892473118131E-2</v>
      </c>
      <c r="H18" s="169">
        <v>8.0176190476190193E-2</v>
      </c>
      <c r="I18" s="169">
        <v>0</v>
      </c>
      <c r="J18" s="169"/>
      <c r="K18" s="169"/>
      <c r="L18" s="169"/>
      <c r="N18" s="560"/>
      <c r="O18" s="165" t="s">
        <v>397</v>
      </c>
      <c r="P18" s="174"/>
      <c r="Q18" s="214"/>
      <c r="R18" s="161"/>
      <c r="S18" s="214"/>
      <c r="T18" s="161"/>
      <c r="U18" s="214"/>
      <c r="V18" s="161"/>
      <c r="W18" s="214"/>
      <c r="X18" s="161">
        <f>G18/$G$1</f>
        <v>1</v>
      </c>
      <c r="Y18" s="214">
        <f>1/G18</f>
        <v>19.142459003233689</v>
      </c>
      <c r="Z18" s="161">
        <f>H18/$H$1</f>
        <v>1</v>
      </c>
      <c r="AA18" s="214">
        <f>1/H18</f>
        <v>12.472530735879358</v>
      </c>
      <c r="AB18" s="161">
        <f>I18/$I$1</f>
        <v>0</v>
      </c>
      <c r="AC18" s="214"/>
      <c r="AD18" s="161"/>
      <c r="AE18" s="161"/>
      <c r="AF18" s="161"/>
      <c r="AG18" s="214"/>
    </row>
    <row r="19" spans="1:33" x14ac:dyDescent="0.25">
      <c r="A19" s="560"/>
      <c r="B19" s="165" t="s">
        <v>398</v>
      </c>
      <c r="C19" s="180"/>
      <c r="D19" s="169"/>
      <c r="E19" s="169"/>
      <c r="F19" s="169"/>
      <c r="G19" s="169">
        <v>2.5968749999999964E-2</v>
      </c>
      <c r="H19" s="169">
        <v>2.5281250000000002E-2</v>
      </c>
      <c r="I19" s="169">
        <v>3.0639083333333317E-2</v>
      </c>
      <c r="J19" s="169"/>
      <c r="K19" s="169"/>
      <c r="L19" s="169">
        <v>0.1339285714285714</v>
      </c>
      <c r="M19" s="222">
        <f>1/L19</f>
        <v>7.4666666666666686</v>
      </c>
      <c r="N19" s="560"/>
      <c r="O19" s="165" t="s">
        <v>398</v>
      </c>
      <c r="P19" s="174"/>
      <c r="Q19" s="214"/>
      <c r="R19" s="161"/>
      <c r="S19" s="214"/>
      <c r="T19" s="161"/>
      <c r="U19" s="214"/>
      <c r="V19" s="161"/>
      <c r="W19" s="214"/>
      <c r="X19" s="161">
        <f>G19/$G$1</f>
        <v>0.4971057322402242</v>
      </c>
      <c r="Y19" s="214">
        <f>1/G19</f>
        <v>38.507821901323759</v>
      </c>
      <c r="Z19" s="161">
        <f>H19/$H$1</f>
        <v>0.31532116766645002</v>
      </c>
      <c r="AA19" s="214">
        <f>1/H19</f>
        <v>39.555006180469711</v>
      </c>
      <c r="AB19" s="161">
        <f>I19/$I$1</f>
        <v>0.52860855720150501</v>
      </c>
      <c r="AC19" s="214">
        <f>1/I19</f>
        <v>32.63805216104705</v>
      </c>
      <c r="AD19" s="161"/>
      <c r="AE19" s="161"/>
      <c r="AF19" s="161"/>
      <c r="AG19" s="214"/>
    </row>
    <row r="20" spans="1:33" x14ac:dyDescent="0.25">
      <c r="A20" s="560"/>
      <c r="B20" s="165" t="s">
        <v>169</v>
      </c>
      <c r="C20" s="180"/>
      <c r="D20" s="169"/>
      <c r="E20" s="169"/>
      <c r="F20" s="169"/>
      <c r="G20" s="169"/>
      <c r="H20" s="169"/>
      <c r="I20" s="169"/>
      <c r="J20" s="169"/>
      <c r="K20" s="169"/>
      <c r="L20" s="169"/>
      <c r="N20" s="560"/>
      <c r="O20" s="165" t="s">
        <v>169</v>
      </c>
      <c r="P20" s="174"/>
      <c r="Q20" s="214"/>
      <c r="R20" s="161"/>
      <c r="S20" s="214"/>
      <c r="T20" s="161"/>
      <c r="U20" s="214"/>
      <c r="V20" s="161"/>
      <c r="W20" s="214"/>
      <c r="X20" s="161"/>
      <c r="Y20" s="214"/>
      <c r="Z20" s="161"/>
      <c r="AA20" s="214"/>
      <c r="AB20" s="161"/>
      <c r="AC20" s="214"/>
      <c r="AD20" s="161"/>
      <c r="AE20" s="216"/>
      <c r="AF20" s="174"/>
      <c r="AG20" s="216"/>
    </row>
    <row r="21" spans="1:33" x14ac:dyDescent="0.25">
      <c r="A21" s="560"/>
      <c r="B21" s="165" t="s">
        <v>170</v>
      </c>
      <c r="C21" s="180"/>
      <c r="D21" s="169"/>
      <c r="E21" s="169"/>
      <c r="F21" s="169"/>
      <c r="G21" s="169"/>
      <c r="H21" s="169"/>
      <c r="I21" s="169"/>
      <c r="J21" s="169"/>
      <c r="K21" s="169"/>
      <c r="L21" s="169"/>
      <c r="N21" s="560"/>
      <c r="O21" s="165" t="s">
        <v>170</v>
      </c>
      <c r="P21" s="175"/>
      <c r="Q21" s="215"/>
      <c r="R21" s="162"/>
      <c r="S21" s="215"/>
      <c r="T21" s="162"/>
      <c r="U21" s="215"/>
      <c r="V21" s="162"/>
      <c r="W21" s="215"/>
      <c r="X21" s="162"/>
      <c r="Y21" s="215"/>
      <c r="Z21" s="162"/>
      <c r="AA21" s="162"/>
      <c r="AB21" s="162"/>
      <c r="AC21" s="161"/>
      <c r="AD21" s="161" t="e">
        <f>J21/$J$1</f>
        <v>#DIV/0!</v>
      </c>
      <c r="AE21" s="218" t="e">
        <f>1/J21</f>
        <v>#DIV/0!</v>
      </c>
      <c r="AF21" s="175">
        <f>K21/$K$1</f>
        <v>0</v>
      </c>
      <c r="AG21" s="218" t="e">
        <f>1/K21</f>
        <v>#DIV/0!</v>
      </c>
    </row>
    <row r="22" spans="1:33" x14ac:dyDescent="0.25">
      <c r="A22" s="559" t="s">
        <v>401</v>
      </c>
      <c r="B22" s="176" t="s">
        <v>188</v>
      </c>
      <c r="C22" s="183">
        <v>7.6541020779221203E-2</v>
      </c>
      <c r="D22" s="178">
        <v>9.5167093706293476E-2</v>
      </c>
      <c r="E22" s="178">
        <v>0.10114897692307692</v>
      </c>
      <c r="F22" s="178"/>
      <c r="G22" s="178"/>
      <c r="H22" s="178"/>
      <c r="I22" s="178"/>
      <c r="J22" s="178">
        <v>0</v>
      </c>
      <c r="K22" s="178">
        <v>3.3705144855144906E-2</v>
      </c>
      <c r="L22" s="178">
        <v>5.9334415584415767E-2</v>
      </c>
      <c r="N22" s="559" t="s">
        <v>401</v>
      </c>
      <c r="O22" s="166" t="s">
        <v>188</v>
      </c>
      <c r="P22" s="174">
        <f>C22/$C$1</f>
        <v>1</v>
      </c>
      <c r="Q22" s="213">
        <f>1/C22</f>
        <v>13.064889778311823</v>
      </c>
      <c r="R22" s="173">
        <f>D22/$D$1</f>
        <v>1</v>
      </c>
      <c r="S22" s="213">
        <f>1/D22</f>
        <v>10.507833759074531</v>
      </c>
      <c r="T22" s="173">
        <f>E22/$E$1</f>
        <v>1</v>
      </c>
      <c r="U22" s="220">
        <f>1/E22</f>
        <v>9.8864074597659339</v>
      </c>
      <c r="V22" s="208"/>
      <c r="W22" s="217"/>
      <c r="X22" s="174"/>
      <c r="Y22" s="214"/>
      <c r="Z22" s="161"/>
      <c r="AA22" s="161"/>
      <c r="AB22" s="174"/>
      <c r="AC22" s="172"/>
      <c r="AD22" s="172"/>
      <c r="AE22" s="161"/>
      <c r="AF22" s="161">
        <f>K22/K1</f>
        <v>0.93049972627372413</v>
      </c>
      <c r="AG22" s="214"/>
    </row>
    <row r="23" spans="1:33" x14ac:dyDescent="0.25">
      <c r="A23" s="560"/>
      <c r="B23" s="177" t="s">
        <v>189</v>
      </c>
      <c r="C23" s="180"/>
      <c r="D23" s="169"/>
      <c r="E23" s="169"/>
      <c r="F23" s="169">
        <v>4.3797642829840472E-2</v>
      </c>
      <c r="G23" s="169"/>
      <c r="H23" s="169"/>
      <c r="I23" s="169"/>
      <c r="J23" s="169"/>
      <c r="K23" s="169"/>
      <c r="L23" s="169"/>
      <c r="N23" s="560"/>
      <c r="O23" s="165" t="s">
        <v>189</v>
      </c>
      <c r="P23" s="174"/>
      <c r="Q23" s="214"/>
      <c r="R23" s="161"/>
      <c r="S23" s="214"/>
      <c r="T23" s="161"/>
      <c r="U23" s="211"/>
      <c r="V23" s="209">
        <f>F23/F1</f>
        <v>0.83349513708837697</v>
      </c>
      <c r="W23" s="216">
        <f>1/F23</f>
        <v>22.832278985541066</v>
      </c>
      <c r="X23" s="174"/>
      <c r="Y23" s="214"/>
      <c r="Z23" s="161"/>
      <c r="AA23" s="161"/>
      <c r="AB23" s="174"/>
      <c r="AC23" s="174"/>
      <c r="AD23" s="174"/>
      <c r="AE23" s="161"/>
      <c r="AF23" s="161"/>
      <c r="AG23" s="214"/>
    </row>
    <row r="24" spans="1:33" x14ac:dyDescent="0.25">
      <c r="A24" s="560"/>
      <c r="B24" s="177" t="s">
        <v>397</v>
      </c>
      <c r="C24" s="180"/>
      <c r="D24" s="169"/>
      <c r="E24" s="169"/>
      <c r="F24" s="169"/>
      <c r="G24" s="169">
        <v>4.8379892473118219E-2</v>
      </c>
      <c r="H24" s="169">
        <v>7.5159999999999713E-2</v>
      </c>
      <c r="I24" s="169">
        <v>0</v>
      </c>
      <c r="J24" s="169"/>
      <c r="K24" s="169"/>
      <c r="L24" s="169"/>
      <c r="N24" s="560"/>
      <c r="O24" s="165" t="s">
        <v>397</v>
      </c>
      <c r="P24" s="174"/>
      <c r="Q24" s="214"/>
      <c r="R24" s="161"/>
      <c r="S24" s="214"/>
      <c r="T24" s="161"/>
      <c r="U24" s="211"/>
      <c r="V24" s="209"/>
      <c r="W24" s="216"/>
      <c r="X24" s="174">
        <f>G24/$G$1</f>
        <v>0.9261101082475196</v>
      </c>
      <c r="Y24" s="214">
        <f>1/G24</f>
        <v>20.669744161908575</v>
      </c>
      <c r="Z24" s="161">
        <f>H24/$H$1</f>
        <v>0.93743541010868892</v>
      </c>
      <c r="AA24" s="214">
        <f>1/H24</f>
        <v>13.304949441192175</v>
      </c>
      <c r="AB24" s="161">
        <f>I24/$I$1</f>
        <v>0</v>
      </c>
      <c r="AC24" s="216"/>
      <c r="AD24" s="174"/>
      <c r="AE24" s="161"/>
      <c r="AF24" s="161"/>
      <c r="AG24" s="214"/>
    </row>
    <row r="25" spans="1:33" x14ac:dyDescent="0.25">
      <c r="A25" s="560"/>
      <c r="B25" s="177" t="s">
        <v>398</v>
      </c>
      <c r="C25" s="180"/>
      <c r="D25" s="169"/>
      <c r="E25" s="169"/>
      <c r="F25" s="169"/>
      <c r="G25" s="169">
        <v>2.3874999999999962E-2</v>
      </c>
      <c r="H25" s="169">
        <v>2.31875E-2</v>
      </c>
      <c r="I25" s="169">
        <v>2.7005333333333322E-2</v>
      </c>
      <c r="J25" s="169"/>
      <c r="K25" s="169"/>
      <c r="L25" s="169">
        <v>0.16964285714285698</v>
      </c>
      <c r="M25" s="222">
        <f>1/L25</f>
        <v>5.894736842105269</v>
      </c>
      <c r="N25" s="560"/>
      <c r="O25" s="165" t="s">
        <v>398</v>
      </c>
      <c r="P25" s="174"/>
      <c r="Q25" s="214"/>
      <c r="R25" s="161"/>
      <c r="S25" s="214"/>
      <c r="T25" s="161"/>
      <c r="U25" s="211"/>
      <c r="V25" s="209"/>
      <c r="W25" s="216"/>
      <c r="X25" s="174">
        <f>G25/$G$1</f>
        <v>0.45702620870220362</v>
      </c>
      <c r="Y25" s="214">
        <f>1/G25</f>
        <v>41.884816753926771</v>
      </c>
      <c r="Z25" s="161">
        <f>H25/$H$1</f>
        <v>0.28920680643820262</v>
      </c>
      <c r="AA25" s="214">
        <f>1/H25</f>
        <v>43.126684636118597</v>
      </c>
      <c r="AB25" s="161">
        <f>I25/$I$1</f>
        <v>0.46591636357960164</v>
      </c>
      <c r="AC25" s="216">
        <f>1/I25</f>
        <v>37.0297225239459</v>
      </c>
      <c r="AD25" s="174"/>
      <c r="AE25" s="161"/>
      <c r="AF25" s="161"/>
      <c r="AG25" s="214"/>
    </row>
    <row r="26" spans="1:33" x14ac:dyDescent="0.25">
      <c r="A26" s="560"/>
      <c r="B26" s="177" t="s">
        <v>169</v>
      </c>
      <c r="C26" s="180"/>
      <c r="D26" s="169"/>
      <c r="E26" s="169"/>
      <c r="F26" s="169"/>
      <c r="G26" s="169"/>
      <c r="H26" s="169"/>
      <c r="I26" s="169"/>
      <c r="J26" s="169"/>
      <c r="K26" s="169"/>
      <c r="L26" s="169"/>
      <c r="N26" s="560"/>
      <c r="O26" s="165" t="s">
        <v>169</v>
      </c>
      <c r="P26" s="174"/>
      <c r="Q26" s="214"/>
      <c r="R26" s="161"/>
      <c r="S26" s="214"/>
      <c r="T26" s="161"/>
      <c r="U26" s="211"/>
      <c r="V26" s="209"/>
      <c r="W26" s="174"/>
      <c r="X26" s="174"/>
      <c r="Y26" s="214"/>
      <c r="Z26" s="161"/>
      <c r="AA26" s="214"/>
      <c r="AB26" s="161"/>
      <c r="AC26" s="216"/>
      <c r="AD26" s="174"/>
      <c r="AE26" s="216"/>
      <c r="AF26" s="174"/>
      <c r="AG26" s="216"/>
    </row>
    <row r="27" spans="1:33" x14ac:dyDescent="0.25">
      <c r="A27" s="560"/>
      <c r="B27" s="165" t="s">
        <v>170</v>
      </c>
      <c r="C27" s="181"/>
      <c r="D27" s="160"/>
      <c r="E27" s="160"/>
      <c r="F27" s="160"/>
      <c r="G27" s="160"/>
      <c r="H27" s="160"/>
      <c r="I27" s="160"/>
      <c r="J27" s="160"/>
      <c r="K27" s="160"/>
      <c r="L27" s="160"/>
      <c r="N27" s="560"/>
      <c r="O27" s="165" t="s">
        <v>170</v>
      </c>
      <c r="P27" s="175"/>
      <c r="Q27" s="215"/>
      <c r="R27" s="162"/>
      <c r="S27" s="215"/>
      <c r="T27" s="162"/>
      <c r="U27" s="221"/>
      <c r="V27" s="210"/>
      <c r="W27" s="175"/>
      <c r="X27" s="175"/>
      <c r="Y27" s="215"/>
      <c r="Z27" s="162"/>
      <c r="AA27" s="162"/>
      <c r="AB27" s="175"/>
      <c r="AC27" s="175"/>
      <c r="AD27" s="175" t="e">
        <f>J27/$J$1</f>
        <v>#DIV/0!</v>
      </c>
      <c r="AE27" s="218" t="e">
        <f>1/J27</f>
        <v>#DIV/0!</v>
      </c>
      <c r="AF27" s="175">
        <f>K27/$K$1</f>
        <v>0</v>
      </c>
      <c r="AG27" s="218" t="e">
        <f>1/K27</f>
        <v>#DIV/0!</v>
      </c>
    </row>
    <row r="28" spans="1:33" x14ac:dyDescent="0.25">
      <c r="Q28" s="139"/>
      <c r="S28" s="139"/>
      <c r="U28" s="139"/>
    </row>
    <row r="29" spans="1:33" x14ac:dyDescent="0.25">
      <c r="Q29" s="139"/>
      <c r="S29" s="139"/>
      <c r="U29" s="139"/>
    </row>
    <row r="30" spans="1:33" x14ac:dyDescent="0.25">
      <c r="B30" s="163" t="s">
        <v>164</v>
      </c>
      <c r="Q30" s="139"/>
      <c r="S30" s="139"/>
      <c r="U30" s="139"/>
    </row>
    <row r="31" spans="1:33" x14ac:dyDescent="0.25">
      <c r="B31" s="164">
        <v>42724</v>
      </c>
      <c r="Q31" s="139"/>
      <c r="S31" s="139"/>
    </row>
    <row r="32" spans="1:33" x14ac:dyDescent="0.25">
      <c r="Q32" s="139"/>
    </row>
    <row r="33" spans="17:17" x14ac:dyDescent="0.25">
      <c r="Q33" s="139"/>
    </row>
    <row r="34" spans="17:17" x14ac:dyDescent="0.25">
      <c r="Q34" s="139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6" t="s">
        <v>83</v>
      </c>
      <c r="C2" s="146" t="s">
        <v>84</v>
      </c>
      <c r="D2" s="146" t="s">
        <v>185</v>
      </c>
      <c r="E2" s="146" t="s">
        <v>14</v>
      </c>
      <c r="F2" s="146" t="s">
        <v>37</v>
      </c>
      <c r="G2" s="146" t="s">
        <v>166</v>
      </c>
      <c r="H2" s="146" t="s">
        <v>30</v>
      </c>
      <c r="I2" s="146" t="s">
        <v>168</v>
      </c>
      <c r="J2" s="146" t="s">
        <v>169</v>
      </c>
      <c r="K2" s="146" t="s">
        <v>170</v>
      </c>
      <c r="M2" s="90">
        <v>352</v>
      </c>
      <c r="N2" s="57" t="s">
        <v>402</v>
      </c>
      <c r="O2" s="45" t="s">
        <v>261</v>
      </c>
      <c r="P2" s="45" t="s">
        <v>403</v>
      </c>
      <c r="Q2" s="45" t="s">
        <v>261</v>
      </c>
      <c r="R2" s="45" t="s">
        <v>28</v>
      </c>
      <c r="S2" s="45" t="s">
        <v>263</v>
      </c>
      <c r="T2" s="45" t="s">
        <v>264</v>
      </c>
      <c r="U2" s="45" t="s">
        <v>263</v>
      </c>
      <c r="V2" s="45" t="s">
        <v>258</v>
      </c>
      <c r="W2" s="45" t="s">
        <v>404</v>
      </c>
      <c r="X2" s="45" t="s">
        <v>405</v>
      </c>
    </row>
    <row r="3" spans="2:25" x14ac:dyDescent="0.25">
      <c r="B3" t="s">
        <v>14</v>
      </c>
      <c r="C3" t="str">
        <f>Evaluacion!A3</f>
        <v>I. Shirazi</v>
      </c>
      <c r="D3" s="57"/>
      <c r="E3" s="71">
        <f>Evaluacion!K3</f>
        <v>7</v>
      </c>
      <c r="F3" s="71">
        <f>Evaluacion!L3</f>
        <v>5</v>
      </c>
      <c r="G3" s="71">
        <f>Evaluacion!M3</f>
        <v>0</v>
      </c>
      <c r="H3" s="71">
        <f>Evaluacion!N3</f>
        <v>0</v>
      </c>
      <c r="I3" s="71">
        <f>Evaluacion!O3</f>
        <v>0</v>
      </c>
      <c r="J3" s="71">
        <f>Evaluacion!P3</f>
        <v>0</v>
      </c>
      <c r="K3" s="71">
        <f>Evaluacion!Q3</f>
        <v>12</v>
      </c>
      <c r="M3" t="s">
        <v>14</v>
      </c>
      <c r="N3" s="186">
        <v>1</v>
      </c>
      <c r="O3" s="130">
        <f ca="1">Evaluacion!X3</f>
        <v>5.4427957070205029</v>
      </c>
      <c r="P3" s="130">
        <f ca="1">Evaluacion!Y3</f>
        <v>8.0151560799123356</v>
      </c>
      <c r="Q3" s="130">
        <f ca="1">Evaluacion!Z3</f>
        <v>5.4427957070205029</v>
      </c>
      <c r="R3" s="130">
        <v>0</v>
      </c>
      <c r="S3" s="130">
        <v>0</v>
      </c>
      <c r="T3" s="130">
        <v>0</v>
      </c>
      <c r="U3" s="130">
        <v>0</v>
      </c>
      <c r="V3" s="130">
        <v>0</v>
      </c>
      <c r="W3" s="130">
        <f>Evaluacion!T3</f>
        <v>0.36</v>
      </c>
      <c r="X3" s="130">
        <f>Evaluacion!U3</f>
        <v>0.55999999999999994</v>
      </c>
      <c r="Y3" s="190"/>
    </row>
    <row r="4" spans="2:25" x14ac:dyDescent="0.25">
      <c r="B4" t="s">
        <v>406</v>
      </c>
      <c r="C4" t="e">
        <f>Evaluacion!A6</f>
        <v>#REF!</v>
      </c>
      <c r="D4" s="57"/>
      <c r="E4" s="71" t="e">
        <f>Evaluacion!K6</f>
        <v>#REF!</v>
      </c>
      <c r="F4" s="71" t="e">
        <f>Evaluacion!L6</f>
        <v>#REF!</v>
      </c>
      <c r="G4" s="71" t="e">
        <f>Evaluacion!M6</f>
        <v>#REF!</v>
      </c>
      <c r="H4" s="71" t="e">
        <f>Evaluacion!N6</f>
        <v>#REF!</v>
      </c>
      <c r="I4" s="71" t="e">
        <f>Evaluacion!O6</f>
        <v>#REF!</v>
      </c>
      <c r="J4" s="71" t="e">
        <f>Evaluacion!P6</f>
        <v>#REF!</v>
      </c>
      <c r="K4" s="71" t="e">
        <f>Evaluacion!Q6</f>
        <v>#REF!</v>
      </c>
      <c r="M4" t="s">
        <v>406</v>
      </c>
      <c r="N4" s="186">
        <v>1</v>
      </c>
      <c r="O4" s="130" t="e">
        <f>Evaluacion!AI6</f>
        <v>#REF!</v>
      </c>
      <c r="P4" s="130" t="e">
        <f>Evaluacion!AJ6</f>
        <v>#REF!</v>
      </c>
      <c r="Q4" s="130">
        <v>0</v>
      </c>
      <c r="R4" s="130" t="e">
        <f>Evaluacion!AK6</f>
        <v>#REF!</v>
      </c>
      <c r="S4" s="130" t="e">
        <f>Evaluacion!AL6</f>
        <v>#REF!</v>
      </c>
      <c r="T4" s="130">
        <v>0</v>
      </c>
      <c r="U4" s="130">
        <v>0</v>
      </c>
      <c r="V4" s="130" t="e">
        <f>Evaluacion!R6</f>
        <v>#REF!</v>
      </c>
      <c r="W4" s="130" t="e">
        <f>Evaluacion!T6</f>
        <v>#REF!</v>
      </c>
      <c r="X4" s="130" t="e">
        <f>Evaluacion!U6</f>
        <v>#REF!</v>
      </c>
    </row>
    <row r="5" spans="2:25" x14ac:dyDescent="0.25">
      <c r="B5" t="s">
        <v>407</v>
      </c>
      <c r="C5" t="str">
        <f>Evaluacion!A14</f>
        <v>S. Kariuki</v>
      </c>
      <c r="D5" s="57"/>
      <c r="E5" s="71">
        <f>Evaluacion!K14</f>
        <v>0</v>
      </c>
      <c r="F5" s="71">
        <f>Evaluacion!L14</f>
        <v>13</v>
      </c>
      <c r="G5" s="71">
        <f>Evaluacion!M14</f>
        <v>14</v>
      </c>
      <c r="H5" s="71">
        <f>Evaluacion!N14</f>
        <v>2</v>
      </c>
      <c r="I5" s="71">
        <f>Evaluacion!O14</f>
        <v>2</v>
      </c>
      <c r="J5" s="71">
        <f>Evaluacion!P14</f>
        <v>7</v>
      </c>
      <c r="K5" s="71">
        <f>Evaluacion!Q14</f>
        <v>19</v>
      </c>
      <c r="M5" t="s">
        <v>407</v>
      </c>
      <c r="N5" s="186">
        <v>1</v>
      </c>
      <c r="O5" s="130">
        <f ca="1">(Evaluacion!AA14+Evaluacion!AC14)/2</f>
        <v>5.7299704207368185</v>
      </c>
      <c r="P5" s="130">
        <f ca="1">Evaluacion!AB14</f>
        <v>14.806125118182992</v>
      </c>
      <c r="Q5" s="130">
        <f ca="1">O5</f>
        <v>5.7299704207368185</v>
      </c>
      <c r="R5" s="130">
        <f ca="1">Evaluacion!AD14</f>
        <v>3.7618577781275517</v>
      </c>
      <c r="S5" s="130">
        <v>0</v>
      </c>
      <c r="T5" s="130">
        <v>0</v>
      </c>
      <c r="U5" s="130">
        <v>0</v>
      </c>
      <c r="V5" s="130">
        <f>Evaluacion!R14</f>
        <v>2.5</v>
      </c>
      <c r="W5" s="130">
        <f>Evaluacion!T14</f>
        <v>0.91999999999999993</v>
      </c>
      <c r="X5" s="130">
        <f>Evaluacion!U14</f>
        <v>1.0900000000000001</v>
      </c>
    </row>
    <row r="6" spans="2:25" x14ac:dyDescent="0.25">
      <c r="B6" t="s">
        <v>406</v>
      </c>
      <c r="C6" t="str">
        <f>Evaluacion!A9</f>
        <v>E. Deus</v>
      </c>
      <c r="D6" s="57" t="str">
        <f>Evaluacion!D9</f>
        <v>IMP</v>
      </c>
      <c r="E6" s="71">
        <f>Evaluacion!K9</f>
        <v>0</v>
      </c>
      <c r="F6" s="71">
        <f>Evaluacion!L9</f>
        <v>14.1</v>
      </c>
      <c r="G6" s="71">
        <f>Evaluacion!M9</f>
        <v>9.375</v>
      </c>
      <c r="H6" s="71">
        <f>Evaluacion!N9</f>
        <v>1</v>
      </c>
      <c r="I6" s="71">
        <f>Evaluacion!O9</f>
        <v>6</v>
      </c>
      <c r="J6" s="71">
        <f>Evaluacion!P9</f>
        <v>6.4</v>
      </c>
      <c r="K6" s="71">
        <f>Evaluacion!Q9</f>
        <v>19.2</v>
      </c>
      <c r="M6" t="s">
        <v>406</v>
      </c>
      <c r="N6" s="186">
        <v>1</v>
      </c>
      <c r="O6" s="130">
        <v>0</v>
      </c>
      <c r="P6" s="130">
        <f ca="1">Evaluacion!AJ9</f>
        <v>6.7178941180878695</v>
      </c>
      <c r="Q6" s="130">
        <f ca="1">Evaluacion!AI9</f>
        <v>14.928653595750822</v>
      </c>
      <c r="R6" s="130">
        <f ca="1">Evaluacion!AK9</f>
        <v>1.920800163576508</v>
      </c>
      <c r="S6" s="130">
        <v>0</v>
      </c>
      <c r="T6" s="130">
        <f>0</f>
        <v>0</v>
      </c>
      <c r="U6" s="130">
        <f ca="1">Evaluacion!AL9</f>
        <v>1.8385568633711773</v>
      </c>
      <c r="V6" s="130">
        <f>Evaluacion!R9</f>
        <v>3.6375000000000002</v>
      </c>
      <c r="W6" s="130">
        <f>Evaluacion!T9</f>
        <v>0.89600000000000013</v>
      </c>
      <c r="X6" s="130">
        <f>Evaluacion!U9</f>
        <v>1.1400000000000001</v>
      </c>
    </row>
    <row r="7" spans="2:25" x14ac:dyDescent="0.25">
      <c r="B7" t="s">
        <v>250</v>
      </c>
      <c r="C7" t="str">
        <f>Evaluacion!A12</f>
        <v>R. Forsyth</v>
      </c>
      <c r="D7" s="57" t="str">
        <f>Evaluacion!D12</f>
        <v>POT</v>
      </c>
      <c r="E7" s="71">
        <f>Evaluacion!K12</f>
        <v>0</v>
      </c>
      <c r="F7" s="71">
        <f>Evaluacion!L12</f>
        <v>11.76923076923077</v>
      </c>
      <c r="G7" s="71">
        <f>Evaluacion!M12</f>
        <v>15</v>
      </c>
      <c r="H7" s="71">
        <f>Evaluacion!N12</f>
        <v>3</v>
      </c>
      <c r="I7" s="71">
        <f>Evaluacion!O12</f>
        <v>4</v>
      </c>
      <c r="J7" s="71">
        <f>Evaluacion!P12</f>
        <v>7.5</v>
      </c>
      <c r="K7" s="71">
        <f>Evaluacion!Q12</f>
        <v>19</v>
      </c>
      <c r="M7" t="s">
        <v>250</v>
      </c>
      <c r="N7" s="186">
        <v>0.82499999999999984</v>
      </c>
      <c r="O7" s="130">
        <f ca="1">Evaluacion!BE12*N7</f>
        <v>3.3546521817591977</v>
      </c>
      <c r="P7" s="130">
        <f ca="1">Evaluacion!BF12*N7</f>
        <v>4.0117490008666694</v>
      </c>
      <c r="Q7" s="130">
        <v>0</v>
      </c>
      <c r="R7" s="130">
        <f ca="1">Evaluacion!BG12*N7</f>
        <v>12.50438450639389</v>
      </c>
      <c r="S7" s="130">
        <f ca="1">Evaluacion!BH12*N7</f>
        <v>4.0767066982794207</v>
      </c>
      <c r="T7" s="130">
        <f ca="1">Evaluacion!BI12*N7</f>
        <v>1.233534155551564</v>
      </c>
      <c r="U7" s="130">
        <v>0</v>
      </c>
      <c r="V7" s="130">
        <v>0</v>
      </c>
      <c r="W7" s="130">
        <f>Evaluacion!T12*N7</f>
        <v>0.77962499999999979</v>
      </c>
      <c r="X7" s="130">
        <f>Evaluacion!U12*N7</f>
        <v>0.85863461538461527</v>
      </c>
    </row>
    <row r="8" spans="2:25" x14ac:dyDescent="0.25">
      <c r="B8" t="s">
        <v>121</v>
      </c>
      <c r="C8" t="str">
        <f>Evaluacion!A15</f>
        <v>K. Polyukhov</v>
      </c>
      <c r="D8" s="57"/>
      <c r="E8" s="71">
        <f>Evaluacion!K15</f>
        <v>0</v>
      </c>
      <c r="F8" s="71">
        <f>Evaluacion!L15</f>
        <v>14.590909090909092</v>
      </c>
      <c r="G8" s="71">
        <f>Evaluacion!M15</f>
        <v>13</v>
      </c>
      <c r="H8" s="71">
        <f>Evaluacion!N15</f>
        <v>1</v>
      </c>
      <c r="I8" s="71">
        <f>Evaluacion!O15</f>
        <v>9</v>
      </c>
      <c r="J8" s="71">
        <f>Evaluacion!P15</f>
        <v>9</v>
      </c>
      <c r="K8" s="71">
        <f>Evaluacion!Q15</f>
        <v>16</v>
      </c>
      <c r="M8" t="s">
        <v>121</v>
      </c>
      <c r="N8" s="186">
        <v>0.82499999999999984</v>
      </c>
      <c r="O8" s="130">
        <f ca="1">((Evaluacion!AX15+Evaluacion!AZ15)/2)*N8</f>
        <v>1.9511445122016415</v>
      </c>
      <c r="P8" s="130">
        <f ca="1">Evaluacion!AY15*N8</f>
        <v>5.5058751667065726</v>
      </c>
      <c r="Q8" s="130">
        <f ca="1">O8</f>
        <v>1.9511445122016415</v>
      </c>
      <c r="R8" s="130">
        <f ca="1">Evaluacion!BA15*N8</f>
        <v>12.452187916766428</v>
      </c>
      <c r="S8" s="130">
        <f ca="1">((Evaluacion!BB15+Evaluacion!BD15)/2)*N8</f>
        <v>1.7366276572064303</v>
      </c>
      <c r="T8" s="130">
        <f ca="1">Evaluacion!BC15*N8</f>
        <v>5.0428555421383026</v>
      </c>
      <c r="U8" s="130">
        <f ca="1">S8</f>
        <v>1.7366276572064303</v>
      </c>
      <c r="V8" s="130">
        <v>0</v>
      </c>
      <c r="W8" s="130">
        <f>Evaluacion!T15*N8</f>
        <v>0.76724999999999988</v>
      </c>
      <c r="X8" s="130">
        <f>Evaluacion!U15*N8</f>
        <v>0.87749999999999995</v>
      </c>
    </row>
    <row r="9" spans="2:25" x14ac:dyDescent="0.25">
      <c r="B9" t="s">
        <v>250</v>
      </c>
      <c r="C9" t="str">
        <f>Evaluacion!A13</f>
        <v>Dusty Ware</v>
      </c>
      <c r="D9" s="57" t="str">
        <f>Evaluacion!D13</f>
        <v>POT</v>
      </c>
      <c r="E9" s="71">
        <f>Evaluacion!K13</f>
        <v>0</v>
      </c>
      <c r="F9" s="71">
        <f>Evaluacion!L13</f>
        <v>11.384615384615385</v>
      </c>
      <c r="G9" s="71">
        <f>Evaluacion!M13</f>
        <v>15.095238095238095</v>
      </c>
      <c r="H9" s="71">
        <f>Evaluacion!N13</f>
        <v>4</v>
      </c>
      <c r="I9" s="71">
        <f>Evaluacion!O13</f>
        <v>3</v>
      </c>
      <c r="J9" s="71">
        <f>Evaluacion!P13</f>
        <v>9</v>
      </c>
      <c r="K9" s="71">
        <f>Evaluacion!Q13</f>
        <v>18.25</v>
      </c>
      <c r="M9" t="s">
        <v>250</v>
      </c>
      <c r="N9" s="186">
        <v>0.82499999999999984</v>
      </c>
      <c r="O9" s="130">
        <v>0</v>
      </c>
      <c r="P9" s="130">
        <f ca="1">Evaluacion!BF13*N9</f>
        <v>3.9209071095364494</v>
      </c>
      <c r="Q9" s="130">
        <f ca="1">Evaluacion!BE13*N9</f>
        <v>3.2786895657330657</v>
      </c>
      <c r="R9" s="130">
        <f ca="1">Evaluacion!BG13*N9</f>
        <v>12.623177844469076</v>
      </c>
      <c r="S9" s="130">
        <v>0</v>
      </c>
      <c r="T9" s="130">
        <f ca="1">Evaluacion!BI13*N9</f>
        <v>1.0482696892523649</v>
      </c>
      <c r="U9" s="130">
        <f ca="1">Evaluacion!BH13*N9</f>
        <v>4.3404037499807151</v>
      </c>
      <c r="V9" s="130">
        <v>0</v>
      </c>
      <c r="W9" s="130">
        <f>Evaluacion!T13*N9</f>
        <v>0.82293749999999977</v>
      </c>
      <c r="X9" s="130">
        <f>Evaluacion!U13*N9</f>
        <v>0.82737980769230757</v>
      </c>
    </row>
    <row r="10" spans="2:25" x14ac:dyDescent="0.25">
      <c r="B10" t="s">
        <v>253</v>
      </c>
      <c r="C10" t="e">
        <f>#REF!</f>
        <v>#REF!</v>
      </c>
      <c r="D10" s="57" t="e">
        <f>#REF!</f>
        <v>#REF!</v>
      </c>
      <c r="E10" s="71" t="e">
        <f>#REF!</f>
        <v>#REF!</v>
      </c>
      <c r="F10" s="71" t="e">
        <f>#REF!</f>
        <v>#REF!</v>
      </c>
      <c r="G10" s="71" t="e">
        <f>#REF!</f>
        <v>#REF!</v>
      </c>
      <c r="H10" s="71" t="e">
        <f>#REF!</f>
        <v>#REF!</v>
      </c>
      <c r="I10" s="71" t="e">
        <f>#REF!</f>
        <v>#REF!</v>
      </c>
      <c r="J10" s="71" t="e">
        <f>#REF!</f>
        <v>#REF!</v>
      </c>
      <c r="K10" s="71" t="e">
        <f>#REF!</f>
        <v>#REF!</v>
      </c>
      <c r="M10" t="s">
        <v>253</v>
      </c>
      <c r="N10" s="186">
        <v>1</v>
      </c>
      <c r="O10" s="130" t="e">
        <f>#REF!</f>
        <v>#REF!</v>
      </c>
      <c r="P10" s="130" t="e">
        <f>#REF!</f>
        <v>#REF!</v>
      </c>
      <c r="Q10" s="130">
        <v>0</v>
      </c>
      <c r="R10" s="130" t="e">
        <f>#REF!</f>
        <v>#REF!</v>
      </c>
      <c r="S10" s="130" t="e">
        <f>#REF!</f>
        <v>#REF!</v>
      </c>
      <c r="T10" s="130" t="e">
        <f>#REF!</f>
        <v>#REF!</v>
      </c>
      <c r="U10" s="130">
        <v>0</v>
      </c>
      <c r="V10" s="130">
        <v>0</v>
      </c>
      <c r="W10" s="130" t="e">
        <f>#REF!*N10</f>
        <v>#REF!</v>
      </c>
      <c r="X10" s="130" t="e">
        <f>#REF!*N10</f>
        <v>#REF!</v>
      </c>
    </row>
    <row r="11" spans="2:25" x14ac:dyDescent="0.25">
      <c r="B11" t="s">
        <v>253</v>
      </c>
      <c r="C11" t="str">
        <f>Evaluacion!A10</f>
        <v>T. McPhail</v>
      </c>
      <c r="D11" s="57" t="str">
        <f>Evaluacion!D10</f>
        <v>IMP</v>
      </c>
      <c r="E11" s="71">
        <f>Evaluacion!K10</f>
        <v>0</v>
      </c>
      <c r="F11" s="71">
        <f>Evaluacion!L10</f>
        <v>13</v>
      </c>
      <c r="G11" s="71">
        <f>Evaluacion!M10</f>
        <v>14</v>
      </c>
      <c r="H11" s="71">
        <f>Evaluacion!N10</f>
        <v>4</v>
      </c>
      <c r="I11" s="71">
        <f>Evaluacion!O10</f>
        <v>5</v>
      </c>
      <c r="J11" s="71">
        <f>Evaluacion!P10</f>
        <v>9</v>
      </c>
      <c r="K11" s="71">
        <f>Evaluacion!Q10</f>
        <v>16</v>
      </c>
      <c r="M11" t="s">
        <v>253</v>
      </c>
      <c r="N11" s="186">
        <v>1</v>
      </c>
      <c r="O11" s="130">
        <v>0</v>
      </c>
      <c r="P11" s="130">
        <f ca="1">Evaluacion!BU10</f>
        <v>3.514401832397934</v>
      </c>
      <c r="Q11" s="130">
        <f ca="1">Evaluacion!BT10</f>
        <v>4.0905332803320213</v>
      </c>
      <c r="R11" s="130">
        <f ca="1">Evaluacion!BV10</f>
        <v>7.0084952202502464</v>
      </c>
      <c r="S11" s="130">
        <v>0</v>
      </c>
      <c r="T11" s="130">
        <f ca="1">Evaluacion!BX10</f>
        <v>0.77479763000061497</v>
      </c>
      <c r="U11" s="130">
        <f ca="1">Evaluacion!BW10</f>
        <v>6.2308411077742267</v>
      </c>
      <c r="V11" s="130">
        <v>0</v>
      </c>
      <c r="W11" s="130">
        <f>Evaluacion!T10*N11</f>
        <v>0.93</v>
      </c>
      <c r="X11" s="130">
        <f>Evaluacion!U10*N11</f>
        <v>1</v>
      </c>
    </row>
    <row r="12" spans="2:25" x14ac:dyDescent="0.25">
      <c r="B12" t="s">
        <v>21</v>
      </c>
      <c r="C12" t="str">
        <f>Evaluacion!A18</f>
        <v>G. Piscaer</v>
      </c>
      <c r="D12" s="57" t="str">
        <f>Evaluacion!D18</f>
        <v>IMP</v>
      </c>
      <c r="E12" s="71">
        <f>Evaluacion!K18</f>
        <v>0</v>
      </c>
      <c r="F12" s="71">
        <f>Evaluacion!L18</f>
        <v>9.5</v>
      </c>
      <c r="G12" s="71">
        <f>Evaluacion!M18</f>
        <v>15.19047619047619</v>
      </c>
      <c r="H12" s="71">
        <f>Evaluacion!N18</f>
        <v>3</v>
      </c>
      <c r="I12" s="71">
        <f>Evaluacion!O18</f>
        <v>2</v>
      </c>
      <c r="J12" s="71">
        <f>Evaluacion!P18</f>
        <v>9.25</v>
      </c>
      <c r="K12" s="71">
        <f>Evaluacion!Q18</f>
        <v>18.666666666666668</v>
      </c>
      <c r="M12" t="s">
        <v>21</v>
      </c>
      <c r="N12" s="186">
        <v>0.94499999999999995</v>
      </c>
      <c r="O12" s="130">
        <v>0</v>
      </c>
      <c r="P12" s="130">
        <v>0</v>
      </c>
      <c r="Q12" s="130">
        <v>0</v>
      </c>
      <c r="R12" s="130">
        <f ca="1">N12*Evaluacion!CK18</f>
        <v>4.1255863904733872</v>
      </c>
      <c r="S12" s="130">
        <f ca="1">N12*Evaluacion!CH18</f>
        <v>4.5054362850596803</v>
      </c>
      <c r="T12" s="130">
        <f ca="1">N12*Evaluacion!CI18</f>
        <v>12.378376074232268</v>
      </c>
      <c r="U12" s="130">
        <f ca="1">S12</f>
        <v>4.5054362850596803</v>
      </c>
      <c r="V12" s="130">
        <v>0</v>
      </c>
      <c r="W12" s="130">
        <f>Evaluacion!T18*N12</f>
        <v>0.96626250000000014</v>
      </c>
      <c r="X12" s="130">
        <f>Evaluacion!U18*N12</f>
        <v>0.88829999999999998</v>
      </c>
    </row>
    <row r="13" spans="2:25" x14ac:dyDescent="0.25">
      <c r="B13" t="s">
        <v>122</v>
      </c>
      <c r="C13" t="str">
        <f>Evaluacion!A19</f>
        <v>M. Bondarewski</v>
      </c>
      <c r="D13" s="57" t="str">
        <f>Evaluacion!D19</f>
        <v>RAP</v>
      </c>
      <c r="E13" s="71">
        <f>Evaluacion!K19</f>
        <v>0</v>
      </c>
      <c r="F13" s="71">
        <f>Evaluacion!L19</f>
        <v>8.3333333333333339</v>
      </c>
      <c r="G13" s="71">
        <f>Evaluacion!M19</f>
        <v>15</v>
      </c>
      <c r="H13" s="71">
        <f>Evaluacion!N19</f>
        <v>5</v>
      </c>
      <c r="I13" s="71">
        <f>Evaluacion!O19</f>
        <v>4</v>
      </c>
      <c r="J13" s="71">
        <f>Evaluacion!P19</f>
        <v>9.125</v>
      </c>
      <c r="K13" s="71">
        <f>Evaluacion!Q19</f>
        <v>20.166666666666668</v>
      </c>
      <c r="M13" t="s">
        <v>122</v>
      </c>
      <c r="N13" s="186">
        <f>1-0.055</f>
        <v>0.94499999999999995</v>
      </c>
      <c r="O13" s="130">
        <v>0</v>
      </c>
      <c r="P13" s="130">
        <v>0</v>
      </c>
      <c r="Q13" s="130">
        <v>0</v>
      </c>
      <c r="R13" s="130">
        <f ca="1">N13*Evaluacion!CD19</f>
        <v>6.6268722981287818</v>
      </c>
      <c r="S13" s="130">
        <f ca="1">N13*Evaluacion!CE19</f>
        <v>3.8393039127465394</v>
      </c>
      <c r="T13" s="130">
        <f ca="1">N13*Evaluacion!CF19</f>
        <v>9.4977329776921344</v>
      </c>
      <c r="U13" s="130">
        <f ca="1">S13</f>
        <v>3.8393039127465394</v>
      </c>
      <c r="V13" s="130">
        <v>0</v>
      </c>
      <c r="W13" s="130">
        <f>Evaluacion!T19*N13</f>
        <v>1.0028812499999999</v>
      </c>
      <c r="X13" s="130">
        <f>Evaluacion!U19*N13</f>
        <v>0.88672499999999987</v>
      </c>
    </row>
    <row r="14" spans="2:25" x14ac:dyDescent="0.25">
      <c r="N14" s="57"/>
      <c r="O14" s="187" t="e">
        <f t="shared" ref="O14:X14" ca="1" si="0">SUM(O3:O13)</f>
        <v>#REF!</v>
      </c>
      <c r="P14" s="187" t="e">
        <f t="shared" ca="1" si="0"/>
        <v>#REF!</v>
      </c>
      <c r="Q14" s="187">
        <f t="shared" ca="1" si="0"/>
        <v>35.421787081774866</v>
      </c>
      <c r="R14" s="187" t="e">
        <f t="shared" si="0"/>
        <v>#REF!</v>
      </c>
      <c r="S14" s="187" t="e">
        <f t="shared" si="0"/>
        <v>#REF!</v>
      </c>
      <c r="T14" s="187" t="e">
        <f t="shared" ca="1" si="0"/>
        <v>#REF!</v>
      </c>
      <c r="U14" s="187">
        <f t="shared" ca="1" si="0"/>
        <v>22.49116957613877</v>
      </c>
      <c r="V14" s="187" t="e">
        <f t="shared" si="0"/>
        <v>#REF!</v>
      </c>
      <c r="W14" s="187" t="e">
        <f t="shared" si="0"/>
        <v>#REF!</v>
      </c>
      <c r="X14" s="187" t="e">
        <f t="shared" si="0"/>
        <v>#REF!</v>
      </c>
    </row>
    <row r="15" spans="2:25" ht="15.75" x14ac:dyDescent="0.25">
      <c r="N15" t="s">
        <v>408</v>
      </c>
      <c r="O15" s="189" t="e">
        <f ca="1">O14*0.34</f>
        <v>#REF!</v>
      </c>
      <c r="P15" s="189" t="e">
        <f ca="1">P14*0.245</f>
        <v>#REF!</v>
      </c>
      <c r="Q15" s="189">
        <f ca="1">Q14*0.34</f>
        <v>12.043407607803456</v>
      </c>
      <c r="R15" s="189" t="e">
        <f>R14*0.125</f>
        <v>#REF!</v>
      </c>
      <c r="S15" s="189" t="e">
        <f>S14*0.25</f>
        <v>#REF!</v>
      </c>
      <c r="T15" s="189" t="e">
        <f ca="1">T14*0.19</f>
        <v>#REF!</v>
      </c>
      <c r="U15" s="189">
        <f ca="1">U14*0.25</f>
        <v>5.6227923940346924</v>
      </c>
    </row>
    <row r="16" spans="2:25" ht="15.75" x14ac:dyDescent="0.25">
      <c r="N16" t="s">
        <v>409</v>
      </c>
      <c r="O16" s="194" t="e">
        <f ca="1">O15*1.2/1.05</f>
        <v>#REF!</v>
      </c>
      <c r="P16" s="194" t="e">
        <f ca="1">P15*1.2/1.05</f>
        <v>#REF!</v>
      </c>
      <c r="Q16" s="194">
        <f ca="1">Q15*1.2/1.05</f>
        <v>13.763894408918235</v>
      </c>
      <c r="R16" s="194" t="e">
        <f>R15</f>
        <v>#REF!</v>
      </c>
      <c r="S16" s="194" t="e">
        <f>S15*0.925/1.05</f>
        <v>#REF!</v>
      </c>
      <c r="T16" s="194" t="e">
        <f ca="1">T15*0.925/1.05</f>
        <v>#REF!</v>
      </c>
      <c r="U16" s="194">
        <f ca="1">U15*0.925/1.05</f>
        <v>4.9534123471258011</v>
      </c>
    </row>
    <row r="17" spans="14:21" ht="15.75" x14ac:dyDescent="0.25">
      <c r="N17" t="s">
        <v>410</v>
      </c>
      <c r="O17" s="194" t="e">
        <f ca="1">O15*0.925/1.05</f>
        <v>#REF!</v>
      </c>
      <c r="P17" s="194" t="e">
        <f ca="1">P15*0.925/1.05</f>
        <v>#REF!</v>
      </c>
      <c r="Q17" s="194">
        <f ca="1">Q15*0.925/1.05</f>
        <v>10.609668606874473</v>
      </c>
      <c r="R17" s="194" t="e">
        <f>R16</f>
        <v>#REF!</v>
      </c>
      <c r="S17" s="194" t="e">
        <f>S15*1.135/1.05</f>
        <v>#REF!</v>
      </c>
      <c r="T17" s="194" t="e">
        <f ca="1">T15*1.135/1.05</f>
        <v>#REF!</v>
      </c>
      <c r="U17" s="194">
        <f ca="1">U15*1.135/1.05</f>
        <v>6.0779708259327387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6" t="s">
        <v>83</v>
      </c>
      <c r="B1" s="146" t="s">
        <v>84</v>
      </c>
      <c r="C1" s="146" t="s">
        <v>185</v>
      </c>
      <c r="D1" s="146" t="s">
        <v>14</v>
      </c>
      <c r="E1" s="146" t="s">
        <v>37</v>
      </c>
      <c r="F1" s="146" t="s">
        <v>166</v>
      </c>
      <c r="G1" s="146" t="s">
        <v>30</v>
      </c>
      <c r="H1" s="146" t="s">
        <v>168</v>
      </c>
      <c r="I1" s="146" t="s">
        <v>169</v>
      </c>
      <c r="J1" s="146" t="s">
        <v>170</v>
      </c>
      <c r="L1" s="90">
        <v>541</v>
      </c>
      <c r="M1" s="57" t="s">
        <v>402</v>
      </c>
      <c r="N1" s="45" t="s">
        <v>261</v>
      </c>
      <c r="O1" s="45" t="s">
        <v>403</v>
      </c>
      <c r="P1" s="45" t="s">
        <v>261</v>
      </c>
      <c r="Q1" s="45" t="s">
        <v>28</v>
      </c>
      <c r="R1" s="45" t="s">
        <v>263</v>
      </c>
      <c r="S1" s="45" t="s">
        <v>264</v>
      </c>
      <c r="T1" s="45" t="s">
        <v>263</v>
      </c>
      <c r="U1" s="45" t="s">
        <v>258</v>
      </c>
      <c r="V1" s="45" t="s">
        <v>404</v>
      </c>
      <c r="W1" s="45" t="s">
        <v>405</v>
      </c>
    </row>
    <row r="2" spans="1:27" x14ac:dyDescent="0.25">
      <c r="A2" t="s">
        <v>14</v>
      </c>
      <c r="B2" t="str">
        <f>Evaluacion!A3</f>
        <v>I. Shirazi</v>
      </c>
      <c r="C2">
        <f>Evaluacion!D3</f>
        <v>0</v>
      </c>
      <c r="D2" s="71">
        <f>Evaluacion!K3</f>
        <v>7</v>
      </c>
      <c r="E2" s="71">
        <f>Evaluacion!L3</f>
        <v>5</v>
      </c>
      <c r="F2" s="71">
        <f>Evaluacion!M3</f>
        <v>0</v>
      </c>
      <c r="G2" s="71">
        <f>Evaluacion!N3</f>
        <v>0</v>
      </c>
      <c r="H2" s="71">
        <f>Evaluacion!O3</f>
        <v>0</v>
      </c>
      <c r="I2" s="71">
        <f>Evaluacion!P3</f>
        <v>0</v>
      </c>
      <c r="J2" s="71">
        <f>Evaluacion!Q3</f>
        <v>12</v>
      </c>
      <c r="L2" t="str">
        <f t="shared" ref="L2:L12" si="0">A2</f>
        <v>POR</v>
      </c>
      <c r="M2" s="186">
        <v>1</v>
      </c>
      <c r="N2" s="130">
        <f ca="1">Evaluacion!X3</f>
        <v>5.4427957070205029</v>
      </c>
      <c r="O2" s="130">
        <f ca="1">Evaluacion!Y3</f>
        <v>8.0151560799123356</v>
      </c>
      <c r="P2" s="130">
        <f ca="1">Evaluacion!Z3</f>
        <v>5.4427957070205029</v>
      </c>
      <c r="Q2" s="130">
        <v>0</v>
      </c>
      <c r="R2" s="130">
        <v>0</v>
      </c>
      <c r="S2" s="130">
        <v>0</v>
      </c>
      <c r="T2" s="130">
        <v>0</v>
      </c>
      <c r="U2" s="130">
        <v>0</v>
      </c>
      <c r="V2" s="130">
        <f>Evaluacion!T3</f>
        <v>0.36</v>
      </c>
      <c r="W2" s="130">
        <f>Evaluacion!U3</f>
        <v>0.55999999999999994</v>
      </c>
      <c r="AA2" s="49"/>
    </row>
    <row r="3" spans="1:27" x14ac:dyDescent="0.25">
      <c r="A3" t="s">
        <v>406</v>
      </c>
      <c r="B3" t="str">
        <f>Evaluacion!A9</f>
        <v>E. Deus</v>
      </c>
      <c r="C3" t="str">
        <f>Evaluacion!D9</f>
        <v>IMP</v>
      </c>
      <c r="D3" s="71">
        <f>Evaluacion!K9</f>
        <v>0</v>
      </c>
      <c r="E3" s="71">
        <f>Evaluacion!L9</f>
        <v>14.1</v>
      </c>
      <c r="F3" s="71">
        <f>Evaluacion!M9</f>
        <v>9.375</v>
      </c>
      <c r="G3" s="71">
        <f>Evaluacion!N9</f>
        <v>1</v>
      </c>
      <c r="H3" s="71">
        <f>Evaluacion!O9</f>
        <v>6</v>
      </c>
      <c r="I3" s="71">
        <f>Evaluacion!P9</f>
        <v>6.4</v>
      </c>
      <c r="J3" s="71">
        <f>Evaluacion!Q9</f>
        <v>19.2</v>
      </c>
      <c r="L3" t="str">
        <f t="shared" si="0"/>
        <v>LATN</v>
      </c>
      <c r="M3" s="186">
        <v>1</v>
      </c>
      <c r="N3" s="130">
        <f ca="1">Evaluacion!AI9</f>
        <v>14.928653595750822</v>
      </c>
      <c r="O3" s="130">
        <f ca="1">Evaluacion!AJ9</f>
        <v>6.7178941180878695</v>
      </c>
      <c r="P3" s="130">
        <v>0</v>
      </c>
      <c r="Q3" s="130">
        <f ca="1">Evaluacion!AK9</f>
        <v>1.920800163576508</v>
      </c>
      <c r="R3" s="130">
        <f ca="1">Evaluacion!AL9</f>
        <v>1.8385568633711773</v>
      </c>
      <c r="S3" s="130">
        <v>0</v>
      </c>
      <c r="T3" s="130">
        <v>0</v>
      </c>
      <c r="U3" s="130">
        <f>Evaluacion!R9</f>
        <v>3.6375000000000002</v>
      </c>
      <c r="V3" s="130">
        <f>Evaluacion!T9</f>
        <v>0.89600000000000013</v>
      </c>
      <c r="W3" s="130">
        <f>Evaluacion!U9</f>
        <v>1.1400000000000001</v>
      </c>
      <c r="AA3" s="49"/>
    </row>
    <row r="4" spans="1:27" x14ac:dyDescent="0.25">
      <c r="A4" t="s">
        <v>411</v>
      </c>
      <c r="B4" t="str">
        <f>Evaluacion!A7</f>
        <v>S. Swärdborn</v>
      </c>
      <c r="C4" t="str">
        <f>Evaluacion!D7</f>
        <v>IMP</v>
      </c>
      <c r="D4" s="71">
        <f>Evaluacion!K7</f>
        <v>0</v>
      </c>
      <c r="E4" s="71">
        <f>Evaluacion!L7</f>
        <v>14.85</v>
      </c>
      <c r="F4" s="71">
        <f>Evaluacion!M7</f>
        <v>10</v>
      </c>
      <c r="G4" s="71">
        <f>Evaluacion!N7</f>
        <v>1</v>
      </c>
      <c r="H4" s="71">
        <f>Evaluacion!O7</f>
        <v>3</v>
      </c>
      <c r="I4" s="71">
        <f>Evaluacion!P7</f>
        <v>7.916666666666667</v>
      </c>
      <c r="J4" s="71">
        <f>Evaluacion!Q7</f>
        <v>18.75</v>
      </c>
      <c r="L4" t="str">
        <f t="shared" si="0"/>
        <v>DCHL</v>
      </c>
      <c r="M4" s="186">
        <v>0.9</v>
      </c>
      <c r="N4" s="130">
        <f ca="1">M4*Evaluacion!AM7</f>
        <v>11.57292582023031</v>
      </c>
      <c r="O4" s="130">
        <f ca="1">M4*Evaluacion!AN7</f>
        <v>10.866885252948354</v>
      </c>
      <c r="P4" s="130">
        <v>0</v>
      </c>
      <c r="Q4" s="130">
        <f ca="1">M4*Evaluacion!AO7</f>
        <v>3.1494042333931858</v>
      </c>
      <c r="R4" s="130">
        <f ca="1">M4*Evaluacion!AP7</f>
        <v>1.3440478995044158</v>
      </c>
      <c r="S4" s="130">
        <v>0</v>
      </c>
      <c r="T4" s="130">
        <v>0</v>
      </c>
      <c r="U4" s="130">
        <f>Evaluacion!R7</f>
        <v>2.9812500000000002</v>
      </c>
      <c r="V4" s="130">
        <f>Evaluacion!T7*M4</f>
        <v>0.86250000000000004</v>
      </c>
      <c r="W4" s="130">
        <f>Evaluacion!U7*M4</f>
        <v>1.0408500000000001</v>
      </c>
      <c r="AA4" s="49"/>
    </row>
    <row r="5" spans="1:27" x14ac:dyDescent="0.25">
      <c r="A5" t="s">
        <v>120</v>
      </c>
      <c r="B5" t="e">
        <f>Evaluacion!A6</f>
        <v>#REF!</v>
      </c>
      <c r="C5" t="e">
        <f>Evaluacion!D6</f>
        <v>#REF!</v>
      </c>
      <c r="D5" s="71" t="e">
        <f>Evaluacion!K6</f>
        <v>#REF!</v>
      </c>
      <c r="E5" s="71" t="e">
        <f>Evaluacion!L6</f>
        <v>#REF!</v>
      </c>
      <c r="F5" s="71" t="e">
        <f>Evaluacion!M6</f>
        <v>#REF!</v>
      </c>
      <c r="G5" s="71" t="e">
        <f>Evaluacion!N6</f>
        <v>#REF!</v>
      </c>
      <c r="H5" s="71" t="e">
        <f>Evaluacion!O6</f>
        <v>#REF!</v>
      </c>
      <c r="I5" s="71" t="e">
        <f>Evaluacion!P6</f>
        <v>#REF!</v>
      </c>
      <c r="J5" s="71" t="e">
        <f>Evaluacion!Q6</f>
        <v>#REF!</v>
      </c>
      <c r="L5" t="str">
        <f t="shared" si="0"/>
        <v>DCN</v>
      </c>
      <c r="M5" s="186">
        <v>0.9</v>
      </c>
      <c r="N5" s="130" t="e">
        <f>M5*(Evaluacion!AA6+Evaluacion!AC6)/2</f>
        <v>#REF!</v>
      </c>
      <c r="O5" s="130" t="e">
        <f>M5*Evaluacion!AB6</f>
        <v>#REF!</v>
      </c>
      <c r="P5" s="130" t="e">
        <f>N5</f>
        <v>#REF!</v>
      </c>
      <c r="Q5" s="130" t="e">
        <f>M5*Evaluacion!AD6</f>
        <v>#REF!</v>
      </c>
      <c r="R5" s="130">
        <v>0</v>
      </c>
      <c r="S5" s="130">
        <f>0</f>
        <v>0</v>
      </c>
      <c r="T5" s="130">
        <v>0</v>
      </c>
      <c r="U5" s="130" t="e">
        <f>Evaluacion!R6</f>
        <v>#REF!</v>
      </c>
      <c r="V5" s="130" t="e">
        <f>Evaluacion!T6*M5</f>
        <v>#REF!</v>
      </c>
      <c r="W5" s="130" t="e">
        <f>Evaluacion!U6*M5</f>
        <v>#REF!</v>
      </c>
      <c r="AA5" s="49"/>
    </row>
    <row r="6" spans="1:27" x14ac:dyDescent="0.25">
      <c r="A6" t="s">
        <v>411</v>
      </c>
      <c r="B6" t="str">
        <f>Evaluacion!A5</f>
        <v>V. Gardner</v>
      </c>
      <c r="C6">
        <f>Evaluacion!D5</f>
        <v>0</v>
      </c>
      <c r="D6" s="71">
        <f>Evaluacion!K5</f>
        <v>0</v>
      </c>
      <c r="E6" s="71">
        <f>Evaluacion!L5</f>
        <v>15</v>
      </c>
      <c r="F6" s="71">
        <f>Evaluacion!M5</f>
        <v>8.375</v>
      </c>
      <c r="G6" s="71">
        <f>Evaluacion!N5</f>
        <v>3</v>
      </c>
      <c r="H6" s="71">
        <f>Evaluacion!O5</f>
        <v>5</v>
      </c>
      <c r="I6" s="71">
        <f>Evaluacion!P5</f>
        <v>7.333333333333333</v>
      </c>
      <c r="J6" s="71">
        <f>Evaluacion!Q5</f>
        <v>19</v>
      </c>
      <c r="L6" t="str">
        <f t="shared" si="0"/>
        <v>DCHL</v>
      </c>
      <c r="M6" s="186">
        <v>0.9</v>
      </c>
      <c r="N6" s="130">
        <v>0</v>
      </c>
      <c r="O6" s="130">
        <f ca="1">M6*Evaluacion!AN5</f>
        <v>10.962465252948354</v>
      </c>
      <c r="P6" s="130">
        <f ca="1">M6*Evaluacion!AM5</f>
        <v>11.674715820230311</v>
      </c>
      <c r="Q6" s="130">
        <f ca="1">M6*Evaluacion!AO5</f>
        <v>3.1869792333931857</v>
      </c>
      <c r="R6" s="130">
        <v>0</v>
      </c>
      <c r="S6" s="130">
        <v>0</v>
      </c>
      <c r="T6" s="130">
        <f ca="1">M6*Evaluacion!AP5</f>
        <v>1.4785078995044156</v>
      </c>
      <c r="U6" s="130">
        <f>Evaluacion!R5</f>
        <v>3.5</v>
      </c>
      <c r="V6" s="130">
        <f>Evaluacion!T5*M6</f>
        <v>0.84300000000000008</v>
      </c>
      <c r="W6" s="130">
        <f>Evaluacion!U5*M6</f>
        <v>1.0529999999999999</v>
      </c>
      <c r="AA6" s="49"/>
    </row>
    <row r="7" spans="1:27" x14ac:dyDescent="0.25">
      <c r="A7" t="s">
        <v>406</v>
      </c>
      <c r="B7" t="e">
        <f>#REF!</f>
        <v>#REF!</v>
      </c>
      <c r="C7" t="e">
        <f>#REF!</f>
        <v>#REF!</v>
      </c>
      <c r="D7" s="71" t="e">
        <f>#REF!</f>
        <v>#REF!</v>
      </c>
      <c r="E7" s="71" t="e">
        <f>#REF!</f>
        <v>#REF!</v>
      </c>
      <c r="F7" s="71" t="e">
        <f>#REF!</f>
        <v>#REF!</v>
      </c>
      <c r="G7" s="71" t="e">
        <f>#REF!</f>
        <v>#REF!</v>
      </c>
      <c r="H7" s="71" t="e">
        <f>#REF!</f>
        <v>#REF!</v>
      </c>
      <c r="I7" s="71" t="e">
        <f>#REF!</f>
        <v>#REF!</v>
      </c>
      <c r="J7" s="71" t="e">
        <f>#REF!</f>
        <v>#REF!</v>
      </c>
      <c r="L7" t="str">
        <f t="shared" si="0"/>
        <v>LATN</v>
      </c>
      <c r="M7" s="186">
        <v>1</v>
      </c>
      <c r="N7" s="130">
        <v>0</v>
      </c>
      <c r="O7" s="130" t="e">
        <f>#REF!</f>
        <v>#REF!</v>
      </c>
      <c r="P7" s="130" t="e">
        <f>#REF!</f>
        <v>#REF!</v>
      </c>
      <c r="Q7" s="130" t="e">
        <f>#REF!</f>
        <v>#REF!</v>
      </c>
      <c r="R7" s="130">
        <v>0</v>
      </c>
      <c r="S7" s="130">
        <v>0</v>
      </c>
      <c r="T7" s="130" t="e">
        <f>#REF!</f>
        <v>#REF!</v>
      </c>
      <c r="U7" s="130" t="e">
        <f>#REF!</f>
        <v>#REF!</v>
      </c>
      <c r="V7" s="130" t="e">
        <f>#REF!</f>
        <v>#REF!</v>
      </c>
      <c r="W7" s="130" t="e">
        <f>#REF!</f>
        <v>#REF!</v>
      </c>
      <c r="AA7" s="49"/>
    </row>
    <row r="8" spans="1:27" x14ac:dyDescent="0.25">
      <c r="A8" t="s">
        <v>250</v>
      </c>
      <c r="B8" t="str">
        <f>Evaluacion!A13</f>
        <v>Dusty Ware</v>
      </c>
      <c r="C8" t="str">
        <f>Evaluacion!D13</f>
        <v>POT</v>
      </c>
      <c r="D8" s="71">
        <f>Evaluacion!K13</f>
        <v>0</v>
      </c>
      <c r="E8" s="71">
        <f>Evaluacion!L13</f>
        <v>11.384615384615385</v>
      </c>
      <c r="F8" s="71">
        <f>Evaluacion!M13</f>
        <v>15.095238095238095</v>
      </c>
      <c r="G8" s="71">
        <f>Evaluacion!N13</f>
        <v>4</v>
      </c>
      <c r="H8" s="71">
        <f>Evaluacion!O13</f>
        <v>3</v>
      </c>
      <c r="I8" s="71">
        <f>Evaluacion!P13</f>
        <v>9</v>
      </c>
      <c r="J8" s="71">
        <f>Evaluacion!Q13</f>
        <v>18.25</v>
      </c>
      <c r="L8" t="str">
        <f t="shared" si="0"/>
        <v>IHL</v>
      </c>
      <c r="M8" s="186">
        <f>1-0.065</f>
        <v>0.93500000000000005</v>
      </c>
      <c r="N8" s="130">
        <f ca="1">M8*Evaluacion!BE13</f>
        <v>3.7158481744974754</v>
      </c>
      <c r="O8" s="130">
        <f ca="1">M8*Evaluacion!BF13</f>
        <v>4.4436947241413103</v>
      </c>
      <c r="P8" s="130">
        <v>0</v>
      </c>
      <c r="Q8" s="130">
        <f ca="1">Evaluacion!BG13*M8</f>
        <v>14.306268223731625</v>
      </c>
      <c r="R8" s="130">
        <f ca="1">Evaluacion!BH13*M8</f>
        <v>4.9191242499781449</v>
      </c>
      <c r="S8" s="130">
        <f ca="1">Evaluacion!BI13*M8</f>
        <v>1.1880389811526804</v>
      </c>
      <c r="T8" s="130">
        <v>0</v>
      </c>
      <c r="U8" s="130">
        <v>0</v>
      </c>
      <c r="V8" s="130">
        <f>Evaluacion!T13*M8</f>
        <v>0.93266249999999995</v>
      </c>
      <c r="W8" s="130">
        <f>Evaluacion!U13*M8</f>
        <v>0.93769711538461542</v>
      </c>
      <c r="AA8" s="49"/>
    </row>
    <row r="9" spans="1:27" x14ac:dyDescent="0.25">
      <c r="A9" t="s">
        <v>250</v>
      </c>
      <c r="B9" t="str">
        <f>Evaluacion!A12</f>
        <v>R. Forsyth</v>
      </c>
      <c r="C9" t="str">
        <f>Evaluacion!D12</f>
        <v>POT</v>
      </c>
      <c r="D9" s="71">
        <f>Evaluacion!K12</f>
        <v>0</v>
      </c>
      <c r="E9" s="71">
        <f>Evaluacion!L12</f>
        <v>11.76923076923077</v>
      </c>
      <c r="F9" s="71">
        <f>Evaluacion!M12</f>
        <v>15</v>
      </c>
      <c r="G9" s="71">
        <f>Evaluacion!N12</f>
        <v>3</v>
      </c>
      <c r="H9" s="71">
        <f>Evaluacion!O12</f>
        <v>4</v>
      </c>
      <c r="I9" s="71">
        <f>Evaluacion!P12</f>
        <v>7.5</v>
      </c>
      <c r="J9" s="71">
        <f>Evaluacion!Q12</f>
        <v>19</v>
      </c>
      <c r="L9" t="str">
        <f t="shared" si="0"/>
        <v>IHL</v>
      </c>
      <c r="M9" s="186">
        <f>1-0.065</f>
        <v>0.93500000000000005</v>
      </c>
      <c r="N9" s="130">
        <v>0</v>
      </c>
      <c r="O9" s="130">
        <f ca="1">M9*Evaluacion!BF12</f>
        <v>4.5466488676488934</v>
      </c>
      <c r="P9" s="130">
        <f ca="1">M9*Evaluacion!BE12</f>
        <v>3.8019391393270916</v>
      </c>
      <c r="Q9" s="130">
        <f ca="1">Evaluacion!BG12*M9</f>
        <v>14.17163577391308</v>
      </c>
      <c r="R9" s="130">
        <v>0</v>
      </c>
      <c r="S9" s="130">
        <f ca="1">Evaluacion!BI12*M9</f>
        <v>1.3980053762917728</v>
      </c>
      <c r="T9" s="130">
        <f ca="1">Evaluacion!BH12*M9</f>
        <v>4.6202675913833442</v>
      </c>
      <c r="U9" s="130">
        <v>0</v>
      </c>
      <c r="V9" s="130">
        <f>Evaluacion!T12*M9</f>
        <v>0.883575</v>
      </c>
      <c r="W9" s="130">
        <f>Evaluacion!U12*M9</f>
        <v>0.9731192307692309</v>
      </c>
      <c r="AA9" s="49"/>
    </row>
    <row r="10" spans="1:27" x14ac:dyDescent="0.25">
      <c r="A10" t="s">
        <v>253</v>
      </c>
      <c r="B10" t="str">
        <f>Evaluacion!A10</f>
        <v>T. McPhail</v>
      </c>
      <c r="C10" t="str">
        <f>Evaluacion!D10</f>
        <v>IMP</v>
      </c>
      <c r="D10" s="71">
        <f>Evaluacion!K10</f>
        <v>0</v>
      </c>
      <c r="E10" s="71">
        <f>Evaluacion!L10</f>
        <v>13</v>
      </c>
      <c r="F10" s="71">
        <f>Evaluacion!M10</f>
        <v>14</v>
      </c>
      <c r="G10" s="71">
        <f>Evaluacion!N10</f>
        <v>4</v>
      </c>
      <c r="H10" s="71">
        <f>Evaluacion!O10</f>
        <v>5</v>
      </c>
      <c r="I10" s="71">
        <f>Evaluacion!P10</f>
        <v>9</v>
      </c>
      <c r="J10" s="71">
        <f>Evaluacion!Q10</f>
        <v>16</v>
      </c>
      <c r="L10" t="str">
        <f t="shared" si="0"/>
        <v>EXTN</v>
      </c>
      <c r="M10" s="186">
        <v>1</v>
      </c>
      <c r="N10" s="130">
        <f ca="1">Evaluacion!BT10</f>
        <v>4.0905332803320213</v>
      </c>
      <c r="O10" s="130">
        <f ca="1">Evaluacion!BU10</f>
        <v>3.514401832397934</v>
      </c>
      <c r="P10" s="130">
        <v>0</v>
      </c>
      <c r="Q10" s="130">
        <f ca="1">Evaluacion!BV10</f>
        <v>7.0084952202502464</v>
      </c>
      <c r="R10" s="130">
        <f ca="1">Evaluacion!BW10</f>
        <v>6.2308411077742267</v>
      </c>
      <c r="S10" s="130">
        <f ca="1">Evaluacion!BX10</f>
        <v>0.77479763000061497</v>
      </c>
      <c r="T10" s="130">
        <v>0</v>
      </c>
      <c r="U10" s="130">
        <v>0</v>
      </c>
      <c r="V10" s="130">
        <f>Evaluacion!T10</f>
        <v>0.93</v>
      </c>
      <c r="W10" s="130">
        <f>Evaluacion!U10</f>
        <v>1</v>
      </c>
      <c r="AA10" s="49"/>
    </row>
    <row r="11" spans="1:27" x14ac:dyDescent="0.25">
      <c r="A11" t="s">
        <v>253</v>
      </c>
      <c r="B11" t="str">
        <f>Evaluacion!A11</f>
        <v>P. Tuderek</v>
      </c>
      <c r="C11" t="str">
        <f>Evaluacion!D11</f>
        <v>CAB</v>
      </c>
      <c r="D11" s="71">
        <f>Evaluacion!K11</f>
        <v>0</v>
      </c>
      <c r="E11" s="71">
        <f>Evaluacion!L11</f>
        <v>11.307692307692308</v>
      </c>
      <c r="F11" s="71">
        <f>Evaluacion!M11</f>
        <v>14.333333333333334</v>
      </c>
      <c r="G11" s="71">
        <f>Evaluacion!N11</f>
        <v>2</v>
      </c>
      <c r="H11" s="71">
        <f>Evaluacion!O11</f>
        <v>3</v>
      </c>
      <c r="I11" s="71">
        <f>Evaluacion!P11</f>
        <v>8</v>
      </c>
      <c r="J11" s="71">
        <f>Evaluacion!Q11</f>
        <v>20.166666666666668</v>
      </c>
      <c r="L11" t="str">
        <f t="shared" si="0"/>
        <v>EXTN</v>
      </c>
      <c r="M11" s="186">
        <v>1</v>
      </c>
      <c r="N11" s="130">
        <v>0</v>
      </c>
      <c r="O11" s="130">
        <f ca="1">Evaluacion!BU11</f>
        <v>3.2780154854282277</v>
      </c>
      <c r="P11" s="130">
        <f ca="1">Evaluacion!BT11</f>
        <v>3.815395073203347</v>
      </c>
      <c r="Q11" s="130">
        <f ca="1">Evaluacion!BV11</f>
        <v>7.4893594776086498</v>
      </c>
      <c r="R11" s="130">
        <v>0</v>
      </c>
      <c r="S11" s="130">
        <f ca="1">Evaluacion!BX11</f>
        <v>0.62034248378896673</v>
      </c>
      <c r="T11" s="130">
        <f ca="1">Evaluacion!BW11</f>
        <v>4.8164915044477281</v>
      </c>
      <c r="U11" s="130">
        <v>0</v>
      </c>
      <c r="V11" s="130">
        <f>Evaluacion!T11</f>
        <v>1.0050000000000001</v>
      </c>
      <c r="W11" s="130">
        <f>Evaluacion!U11</f>
        <v>1.0573076923076923</v>
      </c>
      <c r="AA11" s="49"/>
    </row>
    <row r="12" spans="1:27" x14ac:dyDescent="0.25">
      <c r="A12" t="s">
        <v>122</v>
      </c>
      <c r="B12" t="str">
        <f>Evaluacion!A19</f>
        <v>M. Bondarewski</v>
      </c>
      <c r="C12" t="str">
        <f>Evaluacion!D19</f>
        <v>RAP</v>
      </c>
      <c r="D12" s="71">
        <f>Evaluacion!K19</f>
        <v>0</v>
      </c>
      <c r="E12" s="71">
        <f>Evaluacion!L19</f>
        <v>8.3333333333333339</v>
      </c>
      <c r="F12" s="71">
        <f>Evaluacion!M19</f>
        <v>15</v>
      </c>
      <c r="G12" s="71">
        <f>Evaluacion!N19</f>
        <v>5</v>
      </c>
      <c r="H12" s="71">
        <f>Evaluacion!O19</f>
        <v>4</v>
      </c>
      <c r="I12" s="71">
        <f>Evaluacion!P19</f>
        <v>9.125</v>
      </c>
      <c r="J12" s="71">
        <f>Evaluacion!Q19</f>
        <v>20.166666666666668</v>
      </c>
      <c r="L12" t="str">
        <f t="shared" si="0"/>
        <v>DD</v>
      </c>
      <c r="M12" s="186">
        <v>1</v>
      </c>
      <c r="N12" s="130">
        <v>0</v>
      </c>
      <c r="O12" s="130">
        <v>0</v>
      </c>
      <c r="P12" s="130">
        <v>0</v>
      </c>
      <c r="Q12" s="130">
        <f ca="1">M12*Evaluacion!CD19</f>
        <v>7.0125632784431557</v>
      </c>
      <c r="R12" s="130">
        <f ca="1">M12*Evaluacion!CE19</f>
        <v>4.0627554632238514</v>
      </c>
      <c r="S12" s="130">
        <f ca="1">M12*Evaluacion!CF19</f>
        <v>10.050511087504905</v>
      </c>
      <c r="T12" s="130">
        <f ca="1">R12</f>
        <v>4.0627554632238514</v>
      </c>
      <c r="U12" s="130">
        <v>0</v>
      </c>
      <c r="V12" s="130">
        <f>Evaluacion!T19*M12</f>
        <v>1.06125</v>
      </c>
      <c r="W12" s="130">
        <f>Evaluacion!U19*M12</f>
        <v>0.93833333333333324</v>
      </c>
      <c r="AA12" s="49"/>
    </row>
    <row r="13" spans="1:27" x14ac:dyDescent="0.25">
      <c r="M13" s="57"/>
      <c r="N13" s="187" t="e">
        <f t="shared" ref="N13:W13" ca="1" si="1">SUM(N2:N12)</f>
        <v>#REF!</v>
      </c>
      <c r="O13" s="187" t="e">
        <f t="shared" ca="1" si="1"/>
        <v>#REF!</v>
      </c>
      <c r="P13" s="187" t="e">
        <f t="shared" ca="1" si="1"/>
        <v>#REF!</v>
      </c>
      <c r="Q13" s="187" t="e">
        <f t="shared" ca="1" si="1"/>
        <v>#REF!</v>
      </c>
      <c r="R13" s="187">
        <f t="shared" ca="1" si="1"/>
        <v>18.395325583851815</v>
      </c>
      <c r="S13" s="187">
        <f t="shared" ca="1" si="1"/>
        <v>14.031695558738939</v>
      </c>
      <c r="T13" s="187" t="e">
        <f t="shared" ca="1" si="1"/>
        <v>#REF!</v>
      </c>
      <c r="U13" s="188" t="e">
        <f t="shared" si="1"/>
        <v>#REF!</v>
      </c>
      <c r="V13" s="188" t="e">
        <f t="shared" si="1"/>
        <v>#REF!</v>
      </c>
      <c r="W13" s="188" t="e">
        <f t="shared" si="1"/>
        <v>#REF!</v>
      </c>
    </row>
    <row r="14" spans="1:27" ht="15.75" x14ac:dyDescent="0.25">
      <c r="M14" t="s">
        <v>408</v>
      </c>
      <c r="N14" s="189" t="e">
        <f ca="1">N13*0.34</f>
        <v>#REF!</v>
      </c>
      <c r="O14" s="189" t="e">
        <f ca="1">O13*0.245</f>
        <v>#REF!</v>
      </c>
      <c r="P14" s="189" t="e">
        <f ca="1">P13*0.34</f>
        <v>#REF!</v>
      </c>
      <c r="Q14" s="189" t="e">
        <f ca="1">Q13*0.125</f>
        <v>#REF!</v>
      </c>
      <c r="R14" s="189">
        <f ca="1">R13*0.25</f>
        <v>4.5988313959629536</v>
      </c>
      <c r="S14" s="189">
        <f ca="1">S13*0.19</f>
        <v>2.6660221561603983</v>
      </c>
      <c r="T14" s="189" t="e">
        <f ca="1">T13*0.25</f>
        <v>#REF!</v>
      </c>
    </row>
    <row r="15" spans="1:27" ht="15.75" x14ac:dyDescent="0.25">
      <c r="M15" t="s">
        <v>409</v>
      </c>
      <c r="N15" s="194" t="e">
        <f ca="1">N14*1.2/1.05</f>
        <v>#REF!</v>
      </c>
      <c r="O15" s="194" t="e">
        <f ca="1">O14*1.2/1.05</f>
        <v>#REF!</v>
      </c>
      <c r="P15" s="194" t="e">
        <f ca="1">P14*1.2/1.05</f>
        <v>#REF!</v>
      </c>
      <c r="Q15" s="194" t="e">
        <f ca="1">Q14</f>
        <v>#REF!</v>
      </c>
      <c r="R15" s="194">
        <f ca="1">R14*0.925/1.05</f>
        <v>4.0513514678721254</v>
      </c>
      <c r="S15" s="194">
        <f ca="1">S14*0.925/1.05</f>
        <v>2.3486385661413034</v>
      </c>
      <c r="T15" s="194" t="e">
        <f ca="1">T14*0.925/1.05</f>
        <v>#REF!</v>
      </c>
    </row>
    <row r="16" spans="1:27" ht="15.75" x14ac:dyDescent="0.25">
      <c r="M16" t="s">
        <v>410</v>
      </c>
      <c r="N16" s="194" t="e">
        <f ca="1">N14*0.925/1.05</f>
        <v>#REF!</v>
      </c>
      <c r="O16" s="194" t="e">
        <f ca="1">O14*0.925/1.05</f>
        <v>#REF!</v>
      </c>
      <c r="P16" s="194" t="e">
        <f ca="1">P14*0.925/1.05</f>
        <v>#REF!</v>
      </c>
      <c r="Q16" s="194" t="e">
        <f ca="1">Q15</f>
        <v>#REF!</v>
      </c>
      <c r="R16" s="194">
        <f ca="1">R14*1.135/1.05</f>
        <v>4.9711177470647163</v>
      </c>
      <c r="S16" s="194">
        <f ca="1">S14*1.135/1.05</f>
        <v>2.8818429973733828</v>
      </c>
      <c r="T16" s="194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7" customWidth="1"/>
    <col min="13" max="13" width="8.28515625" style="57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412</v>
      </c>
      <c r="AA1" t="s">
        <v>413</v>
      </c>
      <c r="AD1" t="s">
        <v>414</v>
      </c>
    </row>
    <row r="2" spans="1:31" x14ac:dyDescent="0.25">
      <c r="B2" s="73">
        <v>44035</v>
      </c>
      <c r="X2" s="200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415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5">
        <v>1</v>
      </c>
      <c r="M3" s="79" t="s">
        <v>416</v>
      </c>
      <c r="N3" s="198" t="s">
        <v>14</v>
      </c>
      <c r="O3" s="197" t="s">
        <v>407</v>
      </c>
      <c r="P3" s="196" t="s">
        <v>418</v>
      </c>
      <c r="Q3" s="310" t="s">
        <v>485</v>
      </c>
      <c r="R3" s="196" t="s">
        <v>419</v>
      </c>
      <c r="S3" s="196" t="s">
        <v>121</v>
      </c>
      <c r="T3" s="196" t="s">
        <v>250</v>
      </c>
      <c r="U3" s="196" t="s">
        <v>420</v>
      </c>
      <c r="V3" s="197" t="s">
        <v>122</v>
      </c>
      <c r="W3" s="197" t="s">
        <v>21</v>
      </c>
      <c r="X3" s="198" t="s">
        <v>421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e">
        <f>PLANTILLA!#REF!</f>
        <v>#REF!</v>
      </c>
      <c r="B4" s="307" t="e">
        <f>PLANTILLA!#REF!</f>
        <v>#REF!</v>
      </c>
      <c r="C4" s="4" t="e">
        <f>PLANTILLA!#REF!</f>
        <v>#REF!</v>
      </c>
      <c r="D4" s="262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94">
        <f>1/10</f>
        <v>0.1</v>
      </c>
      <c r="M4" s="94">
        <f t="shared" ref="M4:M15" si="0">L4/6</f>
        <v>1.6666666666666666E-2</v>
      </c>
      <c r="N4" s="114"/>
      <c r="O4" s="114">
        <f>L4*(0.245*1+0.34*0.516+0.34*0.258)/(0.245+0.34)</f>
        <v>8.6864957264957285E-2</v>
      </c>
      <c r="P4" s="114">
        <f>L4*(0.245*0.708+0.34*0.754)/(0.245+0.34)</f>
        <v>7.3473504273504284E-2</v>
      </c>
      <c r="Q4" s="114">
        <f>L4*(0.245*0.479+0.34*1)/(0.245+0.34)</f>
        <v>7.8180341880341897E-2</v>
      </c>
      <c r="R4" s="114">
        <f>L4*(0.245*0.414+0.34*0.919)/(0.245+0.34)</f>
        <v>7.0750427350427358E-2</v>
      </c>
      <c r="S4" s="114"/>
      <c r="T4" s="114"/>
      <c r="U4" s="114"/>
      <c r="V4" s="114"/>
      <c r="W4" s="114"/>
      <c r="X4" s="114">
        <f t="shared" ref="X4:X25" si="1">MAX(N4:U4)</f>
        <v>8.6864957264957285E-2</v>
      </c>
      <c r="AA4" t="s">
        <v>406</v>
      </c>
      <c r="AB4" t="s">
        <v>422</v>
      </c>
      <c r="AD4" t="s">
        <v>406</v>
      </c>
      <c r="AE4" t="str">
        <f>AB4</f>
        <v>B. Pinczehelyi</v>
      </c>
    </row>
    <row r="5" spans="1:31" x14ac:dyDescent="0.25">
      <c r="A5" s="4" t="str">
        <f>PLANTILLA!A9</f>
        <v>#4</v>
      </c>
      <c r="B5" s="307" t="str">
        <f>PLANTILLA!D9</f>
        <v>E. Deus</v>
      </c>
      <c r="C5" s="4">
        <f>PLANTILLA!E9</f>
        <v>28</v>
      </c>
      <c r="D5" s="262">
        <f ca="1">PLANTILLA!F9</f>
        <v>27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1/10</f>
        <v>0.1</v>
      </c>
      <c r="M5" s="94">
        <f t="shared" si="0"/>
        <v>1.6666666666666666E-2</v>
      </c>
      <c r="N5" s="114"/>
      <c r="O5" s="114">
        <f>L5*(0.245*1+0.34*0.516+0.34*0.258)/(0.245+0.34)</f>
        <v>8.6864957264957285E-2</v>
      </c>
      <c r="P5" s="114">
        <f>L5*(0.245*0.708+0.34*0.754)/(0.245+0.34)</f>
        <v>7.3473504273504284E-2</v>
      </c>
      <c r="Q5" s="114">
        <f>L5*(0.245*0.479+0.34*1)/(0.245+0.34)</f>
        <v>7.8180341880341897E-2</v>
      </c>
      <c r="R5" s="114">
        <f>L5*(0.245*0.414+0.34*0.919)/(0.245+0.34)</f>
        <v>7.0750427350427358E-2</v>
      </c>
      <c r="S5" s="114"/>
      <c r="T5" s="114"/>
      <c r="U5" s="114"/>
      <c r="V5" s="114"/>
      <c r="W5" s="114"/>
      <c r="X5" s="114">
        <f t="shared" si="1"/>
        <v>8.6864957264957285E-2</v>
      </c>
      <c r="AA5" t="s">
        <v>407</v>
      </c>
      <c r="AB5" t="s">
        <v>176</v>
      </c>
      <c r="AD5" t="s">
        <v>411</v>
      </c>
      <c r="AE5" t="s">
        <v>175</v>
      </c>
    </row>
    <row r="6" spans="1:31" x14ac:dyDescent="0.25">
      <c r="A6" s="4" t="str">
        <f>PLANTILLA!A4</f>
        <v>#1</v>
      </c>
      <c r="B6" s="307" t="str">
        <f>PLANTILLA!D4</f>
        <v>L. Guangwei</v>
      </c>
      <c r="C6" s="4">
        <f>PLANTILLA!E4</f>
        <v>29</v>
      </c>
      <c r="D6" s="262">
        <f ca="1">PLANTILLA!F4</f>
        <v>59</v>
      </c>
      <c r="E6" s="48">
        <f>PLANTILLA!X4</f>
        <v>15</v>
      </c>
      <c r="F6" s="48">
        <f>PLANTILLA!Y4</f>
        <v>9.4444444444444446</v>
      </c>
      <c r="G6" s="48">
        <f>PLANTILLA!Z4</f>
        <v>3</v>
      </c>
      <c r="H6" s="48">
        <f>PLANTILLA!AA4</f>
        <v>1</v>
      </c>
      <c r="I6" s="48">
        <f>PLANTILLA!AB4</f>
        <v>5</v>
      </c>
      <c r="J6" s="48">
        <f>PLANTILLA!AC4</f>
        <v>5.6</v>
      </c>
      <c r="K6" s="48">
        <f>PLANTILLA!AD4</f>
        <v>22</v>
      </c>
      <c r="L6" s="94">
        <f>1/4</f>
        <v>0.25</v>
      </c>
      <c r="M6" s="94">
        <f t="shared" si="0"/>
        <v>4.1666666666666664E-2</v>
      </c>
      <c r="N6" s="114">
        <f>L6*(0.245*0.425+0.34*0.276)/(0.245+0.34)</f>
        <v>8.460042735042736E-2</v>
      </c>
      <c r="O6" s="114"/>
      <c r="P6" s="114"/>
      <c r="Q6" s="114"/>
      <c r="R6" s="114"/>
      <c r="S6" s="114"/>
      <c r="T6" s="114"/>
      <c r="U6" s="114"/>
      <c r="V6" s="114"/>
      <c r="W6" s="114"/>
      <c r="X6" s="114">
        <f t="shared" si="1"/>
        <v>8.460042735042736E-2</v>
      </c>
      <c r="AA6" t="s">
        <v>406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PLANTILLA!A7</f>
        <v>#2</v>
      </c>
      <c r="B7" s="307" t="str">
        <f>PLANTILLA!D7</f>
        <v>S. Swärdborn</v>
      </c>
      <c r="C7" s="4">
        <f>PLANTILLA!E7</f>
        <v>28</v>
      </c>
      <c r="D7" s="262">
        <f ca="1">PLANTILLA!F7</f>
        <v>88</v>
      </c>
      <c r="E7" s="48">
        <f>PLANTILLA!X7</f>
        <v>0</v>
      </c>
      <c r="F7" s="48">
        <f>PLANTILLA!Y7</f>
        <v>14.85</v>
      </c>
      <c r="G7" s="48">
        <f>PLANTILLA!Z7</f>
        <v>10</v>
      </c>
      <c r="H7" s="48">
        <f>PLANTILLA!AA7</f>
        <v>1</v>
      </c>
      <c r="I7" s="48">
        <f>PLANTILLA!AB7</f>
        <v>3</v>
      </c>
      <c r="J7" s="48">
        <f>PLANTILLA!AC7</f>
        <v>7.916666666666667</v>
      </c>
      <c r="K7" s="48">
        <f>PLANTILLA!AD7</f>
        <v>18.75</v>
      </c>
      <c r="L7" s="94">
        <f>1/11</f>
        <v>9.0909090909090912E-2</v>
      </c>
      <c r="M7" s="94">
        <f t="shared" si="0"/>
        <v>1.5151515151515152E-2</v>
      </c>
      <c r="N7" s="114"/>
      <c r="O7" s="114">
        <f>L7*(0.245*1+0.34*0.516+0.34*0.258)/(0.245+0.34)</f>
        <v>7.8968142968142974E-2</v>
      </c>
      <c r="P7" s="114">
        <f>L7*(0.245*0.708+0.34*0.754)/(0.245+0.34)</f>
        <v>6.6794094794094788E-2</v>
      </c>
      <c r="Q7" s="114">
        <f>L7*(0.245*0.479+0.34*1)/(0.245+0.34)</f>
        <v>7.1073038073038081E-2</v>
      </c>
      <c r="R7" s="114">
        <f>L7*(0.245*0.414+0.34*0.919)/(0.245+0.34)</f>
        <v>6.4318570318570328E-2</v>
      </c>
      <c r="S7" s="114"/>
      <c r="T7" s="114"/>
      <c r="U7" s="114"/>
      <c r="V7" s="114"/>
      <c r="W7" s="114"/>
      <c r="X7" s="114">
        <f t="shared" si="1"/>
        <v>7.8968142968142974E-2</v>
      </c>
      <c r="AA7" t="s">
        <v>250</v>
      </c>
      <c r="AB7" t="s">
        <v>130</v>
      </c>
      <c r="AD7" t="s">
        <v>411</v>
      </c>
      <c r="AE7" t="s">
        <v>174</v>
      </c>
    </row>
    <row r="8" spans="1:31" x14ac:dyDescent="0.25">
      <c r="A8" s="4" t="str">
        <f>PLANTILLA!A8</f>
        <v>#19</v>
      </c>
      <c r="B8" s="307" t="str">
        <f>PLANTILLA!D8</f>
        <v>A. Grimaud</v>
      </c>
      <c r="C8" s="4">
        <f>PLANTILLA!E8</f>
        <v>28</v>
      </c>
      <c r="D8" s="262">
        <f ca="1">PLANTILLA!F8</f>
        <v>111</v>
      </c>
      <c r="E8" s="48">
        <f>PLANTILLA!X8</f>
        <v>0</v>
      </c>
      <c r="F8" s="48">
        <f>PLANTILLA!Y8</f>
        <v>14.9</v>
      </c>
      <c r="G8" s="48">
        <f>PLANTILLA!Z8</f>
        <v>10.222222222222221</v>
      </c>
      <c r="H8" s="48">
        <f>PLANTILLA!AA8</f>
        <v>3</v>
      </c>
      <c r="I8" s="48">
        <f>PLANTILLA!AB8</f>
        <v>3</v>
      </c>
      <c r="J8" s="48">
        <f>PLANTILLA!AC8</f>
        <v>7.25</v>
      </c>
      <c r="K8" s="48">
        <f>PLANTILLA!AD8</f>
        <v>18.2</v>
      </c>
      <c r="L8" s="94">
        <f>1/11</f>
        <v>9.0909090909090912E-2</v>
      </c>
      <c r="M8" s="94">
        <f t="shared" si="0"/>
        <v>1.5151515151515152E-2</v>
      </c>
      <c r="N8" s="114"/>
      <c r="O8" s="114">
        <f>L8*(0.245*1+0.34*0.516+0.34*0.258)/(0.245+0.34)</f>
        <v>7.8968142968142974E-2</v>
      </c>
      <c r="P8" s="114">
        <f>L8*(0.245*0.708+0.34*0.754)/(0.245+0.34)</f>
        <v>6.6794094794094788E-2</v>
      </c>
      <c r="Q8" s="114">
        <f>L8*(0.245*0.479+0.34*1)/(0.245+0.34)</f>
        <v>7.1073038073038081E-2</v>
      </c>
      <c r="R8" s="114">
        <f>L8*(0.245*0.414+0.34*0.919)/(0.245+0.34)</f>
        <v>6.4318570318570328E-2</v>
      </c>
      <c r="S8" s="114"/>
      <c r="T8" s="114"/>
      <c r="U8" s="114"/>
      <c r="V8" s="114"/>
      <c r="W8" s="114"/>
      <c r="X8" s="114">
        <f t="shared" si="1"/>
        <v>7.8968142968142974E-2</v>
      </c>
      <c r="AA8" t="s">
        <v>121</v>
      </c>
      <c r="AB8" t="s">
        <v>179</v>
      </c>
      <c r="AD8" t="s">
        <v>406</v>
      </c>
      <c r="AE8" t="s">
        <v>129</v>
      </c>
    </row>
    <row r="9" spans="1:31" x14ac:dyDescent="0.25">
      <c r="A9" s="4" t="str">
        <f>PLANTILLA!A6</f>
        <v>#22</v>
      </c>
      <c r="B9" s="307" t="str">
        <f>PLANTILLA!D6</f>
        <v>V. Gardner</v>
      </c>
      <c r="C9" s="4">
        <f>PLANTILLA!E6</f>
        <v>28</v>
      </c>
      <c r="D9" s="262">
        <f ca="1">PLANTILLA!F6</f>
        <v>100</v>
      </c>
      <c r="E9" s="48">
        <f>PLANTILLA!X6</f>
        <v>0</v>
      </c>
      <c r="F9" s="48">
        <f>PLANTILLA!Y6</f>
        <v>15</v>
      </c>
      <c r="G9" s="48">
        <f>PLANTILLA!Z6</f>
        <v>8.375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4">
        <f>1/11</f>
        <v>9.0909090909090912E-2</v>
      </c>
      <c r="M9" s="94">
        <f t="shared" si="0"/>
        <v>1.5151515151515152E-2</v>
      </c>
      <c r="N9" s="114"/>
      <c r="O9" s="114">
        <f>L9*(0.245*1+0.34*0.516+0.34*0.258)/(0.245+0.34)</f>
        <v>7.8968142968142974E-2</v>
      </c>
      <c r="P9" s="114">
        <f>L9*(0.245*0.708+0.34*0.754)/(0.245+0.34)</f>
        <v>6.6794094794094788E-2</v>
      </c>
      <c r="Q9" s="114">
        <f>L9*(0.245*0.479+0.34*1)/(0.245+0.34)</f>
        <v>7.1073038073038081E-2</v>
      </c>
      <c r="R9" s="114">
        <f>L9*(0.245*0.414+0.34*0.919)/(0.245+0.34)</f>
        <v>6.4318570318570328E-2</v>
      </c>
      <c r="S9" s="114"/>
      <c r="T9" s="114"/>
      <c r="U9" s="114"/>
      <c r="V9" s="114"/>
      <c r="W9" s="114"/>
      <c r="X9" s="114">
        <f t="shared" si="1"/>
        <v>7.8968142968142974E-2</v>
      </c>
      <c r="AA9" t="s">
        <v>250</v>
      </c>
      <c r="AB9" t="s">
        <v>177</v>
      </c>
      <c r="AD9" t="s">
        <v>250</v>
      </c>
      <c r="AE9" t="s">
        <v>177</v>
      </c>
    </row>
    <row r="10" spans="1:31" x14ac:dyDescent="0.25">
      <c r="A10" s="4" t="str">
        <f>PLANTILLA!A17</f>
        <v>#8</v>
      </c>
      <c r="B10" s="309" t="str">
        <f>PLANTILLA!D17</f>
        <v>I. Stone</v>
      </c>
      <c r="C10" s="4">
        <f>PLANTILLA!E17</f>
        <v>28</v>
      </c>
      <c r="D10" s="262">
        <f ca="1">PLANTILLA!F17</f>
        <v>30</v>
      </c>
      <c r="E10" s="48">
        <f>PLANTILLA!X17</f>
        <v>0</v>
      </c>
      <c r="F10" s="48">
        <f>PLANTILLA!Y17</f>
        <v>8.3333333333333339</v>
      </c>
      <c r="G10" s="48">
        <f>PLANTILLA!Z17</f>
        <v>14</v>
      </c>
      <c r="H10" s="48">
        <f>PLANTILLA!AA17</f>
        <v>2</v>
      </c>
      <c r="I10" s="48">
        <f>PLANTILLA!AB17</f>
        <v>6</v>
      </c>
      <c r="J10" s="48">
        <f>PLANTILLA!AC17</f>
        <v>10.199999999999999</v>
      </c>
      <c r="K10" s="48">
        <f>PLANTILLA!AD17</f>
        <v>19</v>
      </c>
      <c r="L10" s="94">
        <f>1/3</f>
        <v>0.33333333333333331</v>
      </c>
      <c r="M10" s="94">
        <f t="shared" si="0"/>
        <v>5.5555555555555552E-2</v>
      </c>
      <c r="N10" s="114"/>
      <c r="O10" s="114"/>
      <c r="P10" s="114"/>
      <c r="Q10" s="114"/>
      <c r="R10" s="114"/>
      <c r="S10" s="114">
        <f t="shared" ref="S10:S15" si="2">L10*(0.245*0.4+0.34*0.189+0.34*0.095)</f>
        <v>6.4853333333333332E-2</v>
      </c>
      <c r="T10" s="114">
        <f t="shared" ref="T10:T15" si="3">L10*(0.245*0.348+0.34*0.291)</f>
        <v>6.1399999999999989E-2</v>
      </c>
      <c r="U10" s="114">
        <f t="shared" ref="U10:U15" si="4">L10*(0.245*0.201+0.34*0.349)</f>
        <v>5.5968333333333328E-2</v>
      </c>
      <c r="V10" s="114"/>
      <c r="W10" s="114"/>
      <c r="X10" s="114">
        <f t="shared" si="1"/>
        <v>6.4853333333333332E-2</v>
      </c>
      <c r="AA10" t="s">
        <v>253</v>
      </c>
      <c r="AB10" t="s">
        <v>129</v>
      </c>
      <c r="AD10" t="s">
        <v>250</v>
      </c>
      <c r="AE10" t="s">
        <v>130</v>
      </c>
    </row>
    <row r="11" spans="1:31" x14ac:dyDescent="0.25">
      <c r="A11" s="4" t="str">
        <f>PLANTILLA!A19</f>
        <v>#9</v>
      </c>
      <c r="B11" s="309" t="str">
        <f>PLANTILLA!D19</f>
        <v>M. Bondarewski</v>
      </c>
      <c r="C11" s="4">
        <f>PLANTILLA!E19</f>
        <v>28</v>
      </c>
      <c r="D11" s="262">
        <f ca="1">PLANTILLA!F19</f>
        <v>103</v>
      </c>
      <c r="E11" s="48">
        <f>PLANTILLA!X19</f>
        <v>0</v>
      </c>
      <c r="F11" s="48">
        <f>PLANTILLA!Y19</f>
        <v>8.3333333333333339</v>
      </c>
      <c r="G11" s="48">
        <f>PLANTILLA!Z19</f>
        <v>15</v>
      </c>
      <c r="H11" s="48">
        <f>PLANTILLA!AA19</f>
        <v>5</v>
      </c>
      <c r="I11" s="48">
        <f>PLANTILLA!AB19</f>
        <v>4</v>
      </c>
      <c r="J11" s="48">
        <f>PLANTILLA!AC19</f>
        <v>9.125</v>
      </c>
      <c r="K11" s="48">
        <f>PLANTILLA!AD19</f>
        <v>20.166666666666668</v>
      </c>
      <c r="L11" s="94">
        <f>1/3</f>
        <v>0.33333333333333331</v>
      </c>
      <c r="M11" s="94">
        <f t="shared" si="0"/>
        <v>5.5555555555555552E-2</v>
      </c>
      <c r="N11" s="114"/>
      <c r="O11" s="114"/>
      <c r="P11" s="114"/>
      <c r="Q11" s="114"/>
      <c r="R11" s="114"/>
      <c r="S11" s="114">
        <f t="shared" si="2"/>
        <v>6.4853333333333332E-2</v>
      </c>
      <c r="T11" s="114">
        <f t="shared" si="3"/>
        <v>6.1399999999999989E-2</v>
      </c>
      <c r="U11" s="114">
        <f t="shared" si="4"/>
        <v>5.5968333333333328E-2</v>
      </c>
      <c r="V11" s="114"/>
      <c r="W11" s="114"/>
      <c r="X11" s="114">
        <f t="shared" si="1"/>
        <v>6.4853333333333332E-2</v>
      </c>
      <c r="AA11" t="s">
        <v>253</v>
      </c>
      <c r="AB11" t="s">
        <v>180</v>
      </c>
      <c r="AD11" t="s">
        <v>253</v>
      </c>
      <c r="AE11" t="s">
        <v>180</v>
      </c>
    </row>
    <row r="12" spans="1:31" x14ac:dyDescent="0.25">
      <c r="A12" s="4" t="str">
        <f>PLANTILLA!A16</f>
        <v>#16</v>
      </c>
      <c r="B12" s="308" t="str">
        <f>PLANTILLA!D16</f>
        <v>I. Vanags</v>
      </c>
      <c r="C12" s="4">
        <f>PLANTILLA!E16</f>
        <v>28</v>
      </c>
      <c r="D12" s="262">
        <f ca="1">PLANTILLA!F16</f>
        <v>87</v>
      </c>
      <c r="E12" s="48">
        <f>PLANTILLA!X16</f>
        <v>0</v>
      </c>
      <c r="F12" s="48">
        <f>PLANTILLA!Y16</f>
        <v>10</v>
      </c>
      <c r="G12" s="48">
        <f>PLANTILLA!Z16</f>
        <v>15</v>
      </c>
      <c r="H12" s="48">
        <f>PLANTILLA!AA16</f>
        <v>3</v>
      </c>
      <c r="I12" s="48">
        <f>PLANTILLA!AB16</f>
        <v>4</v>
      </c>
      <c r="J12" s="48">
        <f>PLANTILLA!AC16</f>
        <v>8.375</v>
      </c>
      <c r="K12" s="48">
        <f>PLANTILLA!AD16</f>
        <v>19.399999999999999</v>
      </c>
      <c r="L12" s="94">
        <f>1/4</f>
        <v>0.25</v>
      </c>
      <c r="M12" s="94">
        <f t="shared" si="0"/>
        <v>4.1666666666666664E-2</v>
      </c>
      <c r="N12" s="114"/>
      <c r="O12" s="114"/>
      <c r="P12" s="114"/>
      <c r="Q12" s="114"/>
      <c r="R12" s="114"/>
      <c r="S12" s="114">
        <f t="shared" si="2"/>
        <v>4.8640000000000003E-2</v>
      </c>
      <c r="T12" s="114">
        <f t="shared" si="3"/>
        <v>4.6049999999999994E-2</v>
      </c>
      <c r="U12" s="114">
        <f t="shared" si="4"/>
        <v>4.197625E-2</v>
      </c>
      <c r="V12" s="114"/>
      <c r="W12" s="114"/>
      <c r="X12" s="114">
        <f t="shared" si="1"/>
        <v>4.8640000000000003E-2</v>
      </c>
      <c r="AA12" t="s">
        <v>21</v>
      </c>
      <c r="AB12" t="s">
        <v>178</v>
      </c>
      <c r="AD12" t="s">
        <v>253</v>
      </c>
      <c r="AE12" t="s">
        <v>158</v>
      </c>
    </row>
    <row r="13" spans="1:31" x14ac:dyDescent="0.25">
      <c r="A13" s="4" t="str">
        <f>PLANTILLA!A18</f>
        <v>#14</v>
      </c>
      <c r="B13" s="308" t="str">
        <f>PLANTILLA!D18</f>
        <v>G. Piscaer</v>
      </c>
      <c r="C13" s="4">
        <f>PLANTILLA!E18</f>
        <v>28</v>
      </c>
      <c r="D13" s="262">
        <f ca="1">PLANTILLA!F18</f>
        <v>103</v>
      </c>
      <c r="E13" s="48">
        <f>PLANTILLA!X18</f>
        <v>0</v>
      </c>
      <c r="F13" s="48">
        <f>PLANTILLA!Y18</f>
        <v>9.5</v>
      </c>
      <c r="G13" s="48">
        <f>PLANTILLA!Z18</f>
        <v>15.19047619047619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4">
        <f>1/4</f>
        <v>0.25</v>
      </c>
      <c r="M13" s="94">
        <f t="shared" si="0"/>
        <v>4.1666666666666664E-2</v>
      </c>
      <c r="N13" s="114"/>
      <c r="O13" s="114"/>
      <c r="P13" s="114"/>
      <c r="Q13" s="114"/>
      <c r="R13" s="114"/>
      <c r="S13" s="114">
        <f t="shared" si="2"/>
        <v>4.8640000000000003E-2</v>
      </c>
      <c r="T13" s="114">
        <f t="shared" si="3"/>
        <v>4.6049999999999994E-2</v>
      </c>
      <c r="U13" s="114">
        <f t="shared" si="4"/>
        <v>4.197625E-2</v>
      </c>
      <c r="V13" s="114"/>
      <c r="W13" s="114"/>
      <c r="X13" s="114">
        <f t="shared" si="1"/>
        <v>4.8640000000000003E-2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str">
        <f>PLANTILLA!A15</f>
        <v>#12</v>
      </c>
      <c r="B14" s="308" t="str">
        <f>PLANTILLA!D15</f>
        <v>P. Tuderek</v>
      </c>
      <c r="C14" s="4">
        <f>PLANTILLA!E15</f>
        <v>28</v>
      </c>
      <c r="D14" s="262">
        <f ca="1">PLANTILLA!F15</f>
        <v>89</v>
      </c>
      <c r="E14" s="48">
        <f>PLANTILLA!X15</f>
        <v>0</v>
      </c>
      <c r="F14" s="48">
        <f>PLANTILLA!Y15</f>
        <v>11.307692307692308</v>
      </c>
      <c r="G14" s="48">
        <f>PLANTILLA!Z15</f>
        <v>14.333333333333334</v>
      </c>
      <c r="H14" s="48">
        <f>PLANTILLA!AA15</f>
        <v>2</v>
      </c>
      <c r="I14" s="48">
        <f>PLANTILLA!AB15</f>
        <v>3</v>
      </c>
      <c r="J14" s="48">
        <f>PLANTILLA!AC15</f>
        <v>8</v>
      </c>
      <c r="K14" s="48">
        <f>PLANTILLA!AD15</f>
        <v>20.166666666666668</v>
      </c>
      <c r="L14" s="94">
        <f>1/5</f>
        <v>0.2</v>
      </c>
      <c r="M14" s="94">
        <f t="shared" si="0"/>
        <v>3.3333333333333333E-2</v>
      </c>
      <c r="N14" s="114"/>
      <c r="O14" s="114"/>
      <c r="P14" s="114"/>
      <c r="Q14" s="114"/>
      <c r="R14" s="114"/>
      <c r="S14" s="114">
        <f t="shared" si="2"/>
        <v>3.8912000000000002E-2</v>
      </c>
      <c r="T14" s="114">
        <f t="shared" si="3"/>
        <v>3.6839999999999998E-2</v>
      </c>
      <c r="U14" s="114">
        <f t="shared" si="4"/>
        <v>3.3581E-2</v>
      </c>
      <c r="V14" s="114"/>
      <c r="W14" s="114"/>
      <c r="X14" s="114">
        <f t="shared" si="1"/>
        <v>3.8912000000000002E-2</v>
      </c>
    </row>
    <row r="15" spans="1:31" x14ac:dyDescent="0.25">
      <c r="A15" s="4" t="str">
        <f>PLANTILLA!A13</f>
        <v>#10</v>
      </c>
      <c r="B15" s="308" t="str">
        <f>PLANTILLA!D13</f>
        <v>R. Forsyth</v>
      </c>
      <c r="C15" s="4">
        <f>PLANTILLA!E13</f>
        <v>29</v>
      </c>
      <c r="D15" s="262">
        <f ca="1">PLANTILLA!F13</f>
        <v>32</v>
      </c>
      <c r="E15" s="48">
        <f>PLANTILLA!X13</f>
        <v>0</v>
      </c>
      <c r="F15" s="48">
        <f>PLANTILLA!Y13</f>
        <v>11.76923076923077</v>
      </c>
      <c r="G15" s="48">
        <f>PLANTILLA!Z13</f>
        <v>15</v>
      </c>
      <c r="H15" s="48">
        <f>PLANTILLA!AA13</f>
        <v>3</v>
      </c>
      <c r="I15" s="48">
        <f>PLANTILLA!AB13</f>
        <v>4</v>
      </c>
      <c r="J15" s="48">
        <f>PLANTILLA!AC13</f>
        <v>7.5</v>
      </c>
      <c r="K15" s="48">
        <f>PLANTILLA!AD13</f>
        <v>19</v>
      </c>
      <c r="L15" s="94">
        <f>1/6</f>
        <v>0.16666666666666666</v>
      </c>
      <c r="M15" s="94">
        <f t="shared" si="0"/>
        <v>2.7777777777777776E-2</v>
      </c>
      <c r="N15" s="114"/>
      <c r="O15" s="114"/>
      <c r="P15" s="114"/>
      <c r="Q15" s="114"/>
      <c r="R15" s="114"/>
      <c r="S15" s="114">
        <f t="shared" si="2"/>
        <v>3.2426666666666666E-2</v>
      </c>
      <c r="T15" s="114">
        <f t="shared" si="3"/>
        <v>3.0699999999999995E-2</v>
      </c>
      <c r="U15" s="114">
        <f t="shared" si="4"/>
        <v>2.7984166666666664E-2</v>
      </c>
      <c r="V15" s="114"/>
      <c r="W15" s="114"/>
      <c r="X15" s="114">
        <f t="shared" si="1"/>
        <v>3.2426666666666666E-2</v>
      </c>
    </row>
    <row r="16" spans="1:31" x14ac:dyDescent="0.25">
      <c r="A16" s="4" t="str">
        <f>PLANTILLA!A14</f>
        <v>#11</v>
      </c>
      <c r="B16" s="306" t="str">
        <f>PLANTILLA!D14</f>
        <v>Dusty Ware</v>
      </c>
      <c r="C16" s="4">
        <f>PLANTILLA!E14</f>
        <v>30</v>
      </c>
      <c r="D16" s="262">
        <f ca="1">PLANTILLA!F14</f>
        <v>14</v>
      </c>
      <c r="E16" s="48">
        <f>PLANTILLA!X14</f>
        <v>0</v>
      </c>
      <c r="F16" s="48">
        <f>PLANTILLA!Y14</f>
        <v>11.384615384615385</v>
      </c>
      <c r="G16" s="48">
        <f>PLANTILLA!Z14</f>
        <v>15.095238095238095</v>
      </c>
      <c r="H16" s="48">
        <f>PLANTILLA!AA14</f>
        <v>4</v>
      </c>
      <c r="I16" s="48">
        <f>PLANTILLA!AB14</f>
        <v>3</v>
      </c>
      <c r="J16" s="48">
        <f>PLANTILLA!AC14</f>
        <v>9</v>
      </c>
      <c r="K16" s="48">
        <f>PLANTILLA!AD14</f>
        <v>18.25</v>
      </c>
      <c r="L16" s="94"/>
      <c r="M16" s="9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1"/>
        <v>0</v>
      </c>
    </row>
    <row r="17" spans="1:24" x14ac:dyDescent="0.25">
      <c r="A17" s="4" t="str">
        <f>PLANTILLA!A5</f>
        <v>#15</v>
      </c>
      <c r="B17" s="306" t="str">
        <f>PLANTILLA!D5</f>
        <v>I. Shirazi</v>
      </c>
      <c r="C17" s="4">
        <f>PLANTILLA!E5</f>
        <v>20</v>
      </c>
      <c r="D17" s="262">
        <f ca="1">PLANTILLA!F5</f>
        <v>88</v>
      </c>
      <c r="E17" s="48">
        <f>PLANTILLA!X5</f>
        <v>7</v>
      </c>
      <c r="F17" s="48">
        <f>PLANTILLA!Y5</f>
        <v>5</v>
      </c>
      <c r="G17" s="48">
        <f>PLANTILLA!Z5</f>
        <v>0</v>
      </c>
      <c r="H17" s="48">
        <f>PLANTILLA!AA5</f>
        <v>0</v>
      </c>
      <c r="I17" s="48">
        <f>PLANTILLA!AB5</f>
        <v>0</v>
      </c>
      <c r="J17" s="48">
        <f>PLANTILLA!AC5</f>
        <v>0</v>
      </c>
      <c r="K17" s="48">
        <f>PLANTILLA!AD5</f>
        <v>12</v>
      </c>
      <c r="L17" s="94"/>
      <c r="M17" s="9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1"/>
        <v>0</v>
      </c>
    </row>
    <row r="18" spans="1:24" x14ac:dyDescent="0.25">
      <c r="A18" s="4" t="str">
        <f>PLANTILLA!A12</f>
        <v>#2</v>
      </c>
      <c r="B18" s="306" t="str">
        <f>PLANTILLA!D12</f>
        <v>T. McPhail</v>
      </c>
      <c r="C18" s="4">
        <f>PLANTILLA!E12</f>
        <v>28</v>
      </c>
      <c r="D18" s="262">
        <f ca="1">PLANTILLA!F12</f>
        <v>8</v>
      </c>
      <c r="E18" s="48">
        <f>PLANTILLA!X12</f>
        <v>0</v>
      </c>
      <c r="F18" s="48">
        <f>PLANTILLA!Y12</f>
        <v>13</v>
      </c>
      <c r="G18" s="48">
        <f>PLANTILLA!Z12</f>
        <v>14</v>
      </c>
      <c r="H18" s="48">
        <f>PLANTILLA!AA12</f>
        <v>4</v>
      </c>
      <c r="I18" s="48">
        <f>PLANTILLA!AB12</f>
        <v>5</v>
      </c>
      <c r="J18" s="48">
        <f>PLANTILLA!AC12</f>
        <v>9</v>
      </c>
      <c r="K18" s="48">
        <f>PLANTILLA!AD12</f>
        <v>16</v>
      </c>
      <c r="L18" s="94"/>
      <c r="M18" s="9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1"/>
        <v>0</v>
      </c>
    </row>
    <row r="19" spans="1:24" x14ac:dyDescent="0.25">
      <c r="A19" s="4" t="e">
        <f>PLANTILLA!#REF!</f>
        <v>#REF!</v>
      </c>
      <c r="B19" s="306" t="e">
        <f>PLANTILLA!#REF!</f>
        <v>#REF!</v>
      </c>
      <c r="C19" s="4" t="e">
        <f>PLANTILLA!#REF!</f>
        <v>#REF!</v>
      </c>
      <c r="D19" s="262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4"/>
      <c r="M19" s="9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1"/>
        <v>0</v>
      </c>
    </row>
    <row r="20" spans="1:24" x14ac:dyDescent="0.25">
      <c r="A20" s="4" t="e">
        <f>PLANTILLA!#REF!</f>
        <v>#REF!</v>
      </c>
      <c r="B20" s="306" t="e">
        <f>PLANTILLA!#REF!</f>
        <v>#REF!</v>
      </c>
      <c r="C20" s="4" t="e">
        <f>PLANTILLA!#REF!</f>
        <v>#REF!</v>
      </c>
      <c r="D20" s="262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1"/>
        <v>0</v>
      </c>
    </row>
    <row r="21" spans="1:24" x14ac:dyDescent="0.25">
      <c r="A21" s="4" t="e">
        <f>PLANTILLA!#REF!</f>
        <v>#REF!</v>
      </c>
      <c r="B21" s="306" t="e">
        <f>PLANTILLA!#REF!</f>
        <v>#REF!</v>
      </c>
      <c r="C21" s="4" t="e">
        <f>PLANTILLA!#REF!</f>
        <v>#REF!</v>
      </c>
      <c r="D21" s="262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1"/>
        <v>0</v>
      </c>
    </row>
    <row r="22" spans="1:24" x14ac:dyDescent="0.25">
      <c r="A22" s="4" t="str">
        <f>PLANTILLA!A10</f>
        <v>#3</v>
      </c>
      <c r="B22" s="306" t="str">
        <f>PLANTILLA!D10</f>
        <v>K. Polyukhov</v>
      </c>
      <c r="C22" s="4">
        <f>PLANTILLA!E10</f>
        <v>30</v>
      </c>
      <c r="D22" s="262">
        <f ca="1">PLANTILLA!F10</f>
        <v>98</v>
      </c>
      <c r="E22" s="48">
        <f>PLANTILLA!X10</f>
        <v>0</v>
      </c>
      <c r="F22" s="48">
        <f>PLANTILLA!Y10</f>
        <v>14.590909090909092</v>
      </c>
      <c r="G22" s="48">
        <f>PLANTILLA!Z10</f>
        <v>13</v>
      </c>
      <c r="H22" s="48">
        <f>PLANTILLA!AA10</f>
        <v>1</v>
      </c>
      <c r="I22" s="48">
        <f>PLANTILLA!AB10</f>
        <v>9</v>
      </c>
      <c r="J22" s="48">
        <f>PLANTILLA!AC10</f>
        <v>9</v>
      </c>
      <c r="K22" s="48">
        <f>PLANTILLA!AD10</f>
        <v>16</v>
      </c>
      <c r="L22" s="94"/>
      <c r="M22" s="9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1"/>
        <v>0</v>
      </c>
    </row>
    <row r="23" spans="1:24" x14ac:dyDescent="0.25">
      <c r="A23" s="4" t="e">
        <f>PLANTILLA!#REF!</f>
        <v>#REF!</v>
      </c>
      <c r="B23" s="306" t="e">
        <f>PLANTILLA!#REF!</f>
        <v>#REF!</v>
      </c>
      <c r="C23" s="4" t="e">
        <f>PLANTILLA!#REF!</f>
        <v>#REF!</v>
      </c>
      <c r="D23" s="262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4"/>
      <c r="M23" s="9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>
        <f t="shared" si="1"/>
        <v>0</v>
      </c>
    </row>
    <row r="24" spans="1:24" x14ac:dyDescent="0.25">
      <c r="A24" s="4" t="e">
        <f>PLANTILLA!#REF!</f>
        <v>#REF!</v>
      </c>
      <c r="B24" s="306" t="e">
        <f>PLANTILLA!#REF!</f>
        <v>#REF!</v>
      </c>
      <c r="C24" s="4" t="e">
        <f>PLANTILLA!#REF!</f>
        <v>#REF!</v>
      </c>
      <c r="D24" s="262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4"/>
      <c r="M24" s="9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>
        <f t="shared" si="1"/>
        <v>0</v>
      </c>
    </row>
    <row r="25" spans="1:24" x14ac:dyDescent="0.25">
      <c r="A25" s="4" t="e">
        <f>PLANTILLA!#REF!</f>
        <v>#REF!</v>
      </c>
      <c r="B25" s="306" t="e">
        <f>PLANTILLA!#REF!</f>
        <v>#REF!</v>
      </c>
      <c r="C25" s="4" t="e">
        <f>PLANTILLA!#REF!</f>
        <v>#REF!</v>
      </c>
      <c r="D25" s="262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2"/>
  <sheetViews>
    <sheetView workbookViewId="0">
      <selection activeCell="M8" sqref="M8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7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3" t="s">
        <v>0</v>
      </c>
      <c r="B1" s="543"/>
      <c r="C1" s="543"/>
      <c r="E1" s="544" t="s">
        <v>1</v>
      </c>
      <c r="F1" s="544"/>
      <c r="G1" s="544"/>
      <c r="H1" s="544"/>
    </row>
    <row r="2" spans="1:21" x14ac:dyDescent="0.25">
      <c r="A2" s="545">
        <v>44757</v>
      </c>
      <c r="B2" s="545"/>
      <c r="C2" s="545"/>
      <c r="E2" s="57" t="s">
        <v>2</v>
      </c>
      <c r="F2" s="2" t="s">
        <v>3</v>
      </c>
      <c r="G2" s="73">
        <v>43276</v>
      </c>
      <c r="H2" t="s">
        <v>4</v>
      </c>
    </row>
    <row r="3" spans="1:21" x14ac:dyDescent="0.25">
      <c r="E3" s="57" t="s">
        <v>5</v>
      </c>
      <c r="F3" s="145" t="s">
        <v>6</v>
      </c>
      <c r="G3" s="73">
        <v>43258</v>
      </c>
      <c r="H3" t="s">
        <v>7</v>
      </c>
    </row>
    <row r="4" spans="1:21" s="315" customFormat="1" ht="10.5" customHeight="1" x14ac:dyDescent="0.3"/>
    <row r="5" spans="1:21" s="315" customFormat="1" ht="18.75" x14ac:dyDescent="0.3">
      <c r="B5" s="542" t="s">
        <v>8</v>
      </c>
      <c r="C5" s="542"/>
      <c r="D5" s="316"/>
      <c r="G5" s="542" t="s">
        <v>9</v>
      </c>
      <c r="H5" s="542"/>
      <c r="I5" s="542"/>
      <c r="J5" s="317"/>
      <c r="K5" s="317"/>
      <c r="L5" s="542" t="s">
        <v>10</v>
      </c>
      <c r="M5" s="542"/>
      <c r="N5" s="316"/>
      <c r="O5" s="318" t="s">
        <v>11</v>
      </c>
      <c r="S5" s="542" t="s">
        <v>12</v>
      </c>
      <c r="T5" s="542"/>
    </row>
    <row r="6" spans="1:21" s="316" customFormat="1" x14ac:dyDescent="0.25">
      <c r="A6" s="316">
        <v>1</v>
      </c>
      <c r="B6" s="319">
        <v>129</v>
      </c>
      <c r="C6" s="320" t="s">
        <v>13</v>
      </c>
      <c r="D6" s="320" t="s">
        <v>14</v>
      </c>
      <c r="F6" s="321">
        <v>1</v>
      </c>
      <c r="G6" s="343">
        <v>436</v>
      </c>
      <c r="H6" s="339" t="s">
        <v>15</v>
      </c>
      <c r="I6" s="339" t="s">
        <v>16</v>
      </c>
      <c r="K6" s="321">
        <v>1</v>
      </c>
      <c r="L6" s="343">
        <v>283</v>
      </c>
      <c r="M6" s="339" t="s">
        <v>17</v>
      </c>
      <c r="N6" s="339" t="s">
        <v>18</v>
      </c>
      <c r="O6" s="362">
        <f>L6/G9</f>
        <v>0.80857142857142861</v>
      </c>
      <c r="P6" s="339"/>
      <c r="R6" s="316">
        <v>1</v>
      </c>
      <c r="S6" s="322" t="s">
        <v>19</v>
      </c>
      <c r="T6" s="323" t="s">
        <v>20</v>
      </c>
      <c r="U6" s="324" t="s">
        <v>21</v>
      </c>
    </row>
    <row r="7" spans="1:21" s="316" customFormat="1" x14ac:dyDescent="0.25">
      <c r="A7" s="316">
        <v>2</v>
      </c>
      <c r="B7" s="535">
        <v>105</v>
      </c>
      <c r="C7" s="328" t="s">
        <v>31</v>
      </c>
      <c r="D7" s="329" t="s">
        <v>14</v>
      </c>
      <c r="F7" s="321">
        <v>2</v>
      </c>
      <c r="G7" s="343">
        <v>419</v>
      </c>
      <c r="H7" s="339" t="s">
        <v>23</v>
      </c>
      <c r="I7" s="340" t="s">
        <v>24</v>
      </c>
      <c r="K7" s="321">
        <v>2</v>
      </c>
      <c r="L7" s="343">
        <v>132</v>
      </c>
      <c r="M7" s="339" t="s">
        <v>15</v>
      </c>
      <c r="N7" s="339" t="s">
        <v>16</v>
      </c>
      <c r="O7" s="362">
        <f>L7/G6</f>
        <v>0.30275229357798167</v>
      </c>
      <c r="P7" s="339"/>
      <c r="R7" s="316">
        <v>2</v>
      </c>
      <c r="S7" s="326" t="s">
        <v>25</v>
      </c>
      <c r="T7" s="320" t="s">
        <v>13</v>
      </c>
      <c r="U7" s="320" t="s">
        <v>14</v>
      </c>
    </row>
    <row r="8" spans="1:21" s="316" customFormat="1" x14ac:dyDescent="0.25">
      <c r="A8" s="316">
        <v>3</v>
      </c>
      <c r="B8" s="325">
        <v>66</v>
      </c>
      <c r="C8" s="323" t="s">
        <v>22</v>
      </c>
      <c r="D8" s="324" t="s">
        <v>14</v>
      </c>
      <c r="F8" s="321">
        <v>3</v>
      </c>
      <c r="G8" s="343">
        <v>364</v>
      </c>
      <c r="H8" s="339" t="s">
        <v>27</v>
      </c>
      <c r="I8" s="340" t="s">
        <v>28</v>
      </c>
      <c r="K8" s="321">
        <v>2</v>
      </c>
      <c r="L8" s="343">
        <v>132</v>
      </c>
      <c r="M8" s="339" t="s">
        <v>29</v>
      </c>
      <c r="N8" s="339" t="s">
        <v>30</v>
      </c>
      <c r="O8" s="362">
        <f>L8/G10</f>
        <v>0.38709677419354838</v>
      </c>
      <c r="P8" s="339"/>
      <c r="R8" s="316">
        <v>2</v>
      </c>
      <c r="S8" s="338" t="s">
        <v>25</v>
      </c>
      <c r="T8" s="339" t="s">
        <v>15</v>
      </c>
      <c r="U8" s="339" t="s">
        <v>16</v>
      </c>
    </row>
    <row r="9" spans="1:21" s="315" customFormat="1" ht="18.75" x14ac:dyDescent="0.3">
      <c r="A9" s="316">
        <v>4</v>
      </c>
      <c r="B9" s="322">
        <v>46</v>
      </c>
      <c r="C9" s="323" t="s">
        <v>26</v>
      </c>
      <c r="D9" s="324" t="s">
        <v>14</v>
      </c>
      <c r="F9" s="321">
        <v>4</v>
      </c>
      <c r="G9" s="330">
        <v>350</v>
      </c>
      <c r="H9" s="331" t="s">
        <v>32</v>
      </c>
      <c r="I9" s="332" t="s">
        <v>18</v>
      </c>
      <c r="K9" s="321">
        <v>4</v>
      </c>
      <c r="L9" s="330">
        <v>100</v>
      </c>
      <c r="M9" s="331" t="s">
        <v>33</v>
      </c>
      <c r="N9" s="331" t="s">
        <v>28</v>
      </c>
      <c r="O9" s="333">
        <f>L9/G11</f>
        <v>0.31948881789137379</v>
      </c>
      <c r="P9" s="331"/>
      <c r="R9" s="316">
        <v>2</v>
      </c>
      <c r="S9" s="338" t="s">
        <v>25</v>
      </c>
      <c r="T9" s="339" t="s">
        <v>27</v>
      </c>
      <c r="U9" s="340" t="s">
        <v>28</v>
      </c>
    </row>
    <row r="10" spans="1:21" s="316" customFormat="1" ht="18.75" x14ac:dyDescent="0.3">
      <c r="A10" s="316">
        <v>5</v>
      </c>
      <c r="B10" s="330">
        <v>2</v>
      </c>
      <c r="C10" s="331" t="s">
        <v>34</v>
      </c>
      <c r="D10" s="331" t="s">
        <v>14</v>
      </c>
      <c r="F10" s="321">
        <v>5</v>
      </c>
      <c r="G10" s="338">
        <v>341</v>
      </c>
      <c r="H10" s="339" t="s">
        <v>29</v>
      </c>
      <c r="I10" s="339" t="s">
        <v>30</v>
      </c>
      <c r="K10" s="321">
        <v>5</v>
      </c>
      <c r="L10" s="338">
        <v>95</v>
      </c>
      <c r="M10" s="339" t="s">
        <v>27</v>
      </c>
      <c r="N10" s="340" t="s">
        <v>28</v>
      </c>
      <c r="O10" s="362">
        <f>L10/G8</f>
        <v>0.26098901098901101</v>
      </c>
      <c r="P10" s="364"/>
      <c r="R10" s="316">
        <v>2</v>
      </c>
      <c r="S10" s="322" t="s">
        <v>25</v>
      </c>
      <c r="T10" s="323" t="s">
        <v>35</v>
      </c>
      <c r="U10" s="323" t="s">
        <v>21</v>
      </c>
    </row>
    <row r="11" spans="1:21" s="316" customFormat="1" x14ac:dyDescent="0.25">
      <c r="A11" s="316">
        <v>6</v>
      </c>
      <c r="B11" s="330">
        <v>1</v>
      </c>
      <c r="C11" s="331" t="s">
        <v>36</v>
      </c>
      <c r="D11" s="331" t="s">
        <v>37</v>
      </c>
      <c r="F11" s="321">
        <v>6</v>
      </c>
      <c r="G11" s="330">
        <v>313</v>
      </c>
      <c r="H11" s="331" t="s">
        <v>33</v>
      </c>
      <c r="I11" s="332" t="s">
        <v>28</v>
      </c>
      <c r="K11" s="321">
        <v>6</v>
      </c>
      <c r="L11" s="330">
        <v>90</v>
      </c>
      <c r="M11" s="331" t="s">
        <v>20</v>
      </c>
      <c r="N11" s="331" t="s">
        <v>21</v>
      </c>
      <c r="O11" s="333">
        <f>L11/G30</f>
        <v>0.61643835616438358</v>
      </c>
      <c r="P11" s="331">
        <v>169</v>
      </c>
      <c r="R11" s="316">
        <v>2</v>
      </c>
      <c r="S11" s="322" t="s">
        <v>25</v>
      </c>
      <c r="T11" s="323" t="s">
        <v>38</v>
      </c>
      <c r="U11" s="324" t="s">
        <v>24</v>
      </c>
    </row>
    <row r="12" spans="1:21" s="316" customFormat="1" x14ac:dyDescent="0.25">
      <c r="A12" s="316">
        <v>6</v>
      </c>
      <c r="B12" s="330">
        <v>1</v>
      </c>
      <c r="C12" s="331" t="s">
        <v>39</v>
      </c>
      <c r="D12" s="331" t="s">
        <v>24</v>
      </c>
      <c r="F12" s="321">
        <v>7</v>
      </c>
      <c r="G12" s="330">
        <v>312</v>
      </c>
      <c r="H12" s="331" t="s">
        <v>40</v>
      </c>
      <c r="I12" s="332" t="s">
        <v>30</v>
      </c>
      <c r="K12" s="321">
        <v>7</v>
      </c>
      <c r="L12" s="247">
        <v>86</v>
      </c>
      <c r="M12" s="248" t="s">
        <v>65</v>
      </c>
      <c r="N12" s="248" t="s">
        <v>28</v>
      </c>
      <c r="O12" s="250">
        <f>L12/G17</f>
        <v>0.4195121951219512</v>
      </c>
      <c r="P12" s="248"/>
      <c r="R12" s="316">
        <v>7</v>
      </c>
      <c r="S12" s="330" t="s">
        <v>41</v>
      </c>
      <c r="T12" s="331" t="s">
        <v>42</v>
      </c>
      <c r="U12" s="331" t="s">
        <v>37</v>
      </c>
    </row>
    <row r="13" spans="1:21" s="316" customFormat="1" ht="18.75" x14ac:dyDescent="0.3">
      <c r="A13" s="316">
        <v>6</v>
      </c>
      <c r="B13" s="338">
        <v>1</v>
      </c>
      <c r="C13" s="339" t="s">
        <v>79</v>
      </c>
      <c r="D13" s="340" t="s">
        <v>37</v>
      </c>
      <c r="F13" s="321">
        <v>8</v>
      </c>
      <c r="G13" s="327">
        <v>318</v>
      </c>
      <c r="H13" s="328" t="s">
        <v>13</v>
      </c>
      <c r="I13" s="328" t="s">
        <v>14</v>
      </c>
      <c r="J13" s="315"/>
      <c r="K13" s="321">
        <v>8</v>
      </c>
      <c r="L13" s="330">
        <v>85</v>
      </c>
      <c r="M13" s="331" t="s">
        <v>40</v>
      </c>
      <c r="N13" s="332" t="s">
        <v>30</v>
      </c>
      <c r="O13" s="333">
        <f>L13/G12</f>
        <v>0.27243589743589741</v>
      </c>
      <c r="P13" s="335"/>
      <c r="Q13" s="315"/>
      <c r="R13" s="316">
        <v>7</v>
      </c>
      <c r="S13" s="330" t="s">
        <v>41</v>
      </c>
      <c r="T13" s="331" t="s">
        <v>33</v>
      </c>
      <c r="U13" s="332" t="s">
        <v>28</v>
      </c>
    </row>
    <row r="14" spans="1:21" s="316" customFormat="1" ht="18.75" x14ac:dyDescent="0.3">
      <c r="B14" s="321"/>
      <c r="C14" s="321"/>
      <c r="D14" s="321"/>
      <c r="E14" s="315"/>
      <c r="F14" s="321">
        <v>9</v>
      </c>
      <c r="G14" s="330">
        <v>299</v>
      </c>
      <c r="H14" s="331" t="s">
        <v>43</v>
      </c>
      <c r="I14" s="332" t="s">
        <v>28</v>
      </c>
      <c r="K14" s="321">
        <v>8</v>
      </c>
      <c r="L14" s="330">
        <v>85</v>
      </c>
      <c r="M14" s="331" t="s">
        <v>44</v>
      </c>
      <c r="N14" s="332" t="s">
        <v>28</v>
      </c>
      <c r="O14" s="333">
        <f>L14/G15</f>
        <v>0.2982456140350877</v>
      </c>
      <c r="P14" s="331"/>
      <c r="R14" s="316">
        <v>7</v>
      </c>
      <c r="S14" s="330" t="s">
        <v>41</v>
      </c>
      <c r="T14" s="331" t="s">
        <v>23</v>
      </c>
      <c r="U14" s="332" t="s">
        <v>24</v>
      </c>
    </row>
    <row r="15" spans="1:21" s="316" customFormat="1" ht="18.75" x14ac:dyDescent="0.3">
      <c r="A15" s="315"/>
      <c r="B15" s="336" t="s">
        <v>45</v>
      </c>
      <c r="C15" s="336"/>
      <c r="F15" s="321">
        <v>10</v>
      </c>
      <c r="G15" s="330">
        <v>285</v>
      </c>
      <c r="H15" s="331" t="s">
        <v>44</v>
      </c>
      <c r="I15" s="332" t="s">
        <v>28</v>
      </c>
      <c r="K15" s="321">
        <v>10</v>
      </c>
      <c r="L15" s="338">
        <v>84</v>
      </c>
      <c r="M15" s="339" t="s">
        <v>23</v>
      </c>
      <c r="N15" s="340" t="s">
        <v>24</v>
      </c>
      <c r="O15" s="362">
        <f>L15/G7</f>
        <v>0.20047732696897375</v>
      </c>
      <c r="P15" s="339"/>
      <c r="R15" s="316">
        <v>10</v>
      </c>
      <c r="S15" s="338" t="s">
        <v>47</v>
      </c>
      <c r="T15" s="339" t="s">
        <v>29</v>
      </c>
      <c r="U15" s="340" t="s">
        <v>30</v>
      </c>
    </row>
    <row r="16" spans="1:21" s="316" customFormat="1" x14ac:dyDescent="0.25">
      <c r="A16" s="316">
        <v>1</v>
      </c>
      <c r="B16" s="326">
        <v>267</v>
      </c>
      <c r="C16" s="320" t="s">
        <v>13</v>
      </c>
      <c r="D16" s="320" t="s">
        <v>14</v>
      </c>
      <c r="F16" s="321">
        <v>11</v>
      </c>
      <c r="G16" s="330">
        <v>277</v>
      </c>
      <c r="H16" s="331" t="s">
        <v>46</v>
      </c>
      <c r="I16" s="332" t="s">
        <v>24</v>
      </c>
      <c r="K16" s="321">
        <v>11</v>
      </c>
      <c r="L16" s="327">
        <v>70</v>
      </c>
      <c r="M16" s="328" t="s">
        <v>58</v>
      </c>
      <c r="N16" s="328" t="s">
        <v>28</v>
      </c>
      <c r="O16" s="334">
        <f>L16/G20</f>
        <v>0.36458333333333331</v>
      </c>
      <c r="P16" s="328"/>
      <c r="R16" s="316">
        <v>10</v>
      </c>
      <c r="S16" s="330" t="s">
        <v>47</v>
      </c>
      <c r="T16" s="331" t="s">
        <v>40</v>
      </c>
      <c r="U16" s="332" t="s">
        <v>30</v>
      </c>
    </row>
    <row r="17" spans="1:21" s="316" customFormat="1" x14ac:dyDescent="0.25">
      <c r="A17" s="316">
        <v>2</v>
      </c>
      <c r="B17" s="322">
        <v>88</v>
      </c>
      <c r="C17" s="323" t="s">
        <v>26</v>
      </c>
      <c r="D17" s="324" t="s">
        <v>14</v>
      </c>
      <c r="F17" s="321">
        <v>12</v>
      </c>
      <c r="G17" s="247">
        <v>205</v>
      </c>
      <c r="H17" s="248" t="s">
        <v>65</v>
      </c>
      <c r="I17" s="248" t="s">
        <v>28</v>
      </c>
      <c r="K17" s="321">
        <v>12</v>
      </c>
      <c r="L17" s="330">
        <v>68</v>
      </c>
      <c r="M17" s="331" t="s">
        <v>46</v>
      </c>
      <c r="N17" s="332" t="s">
        <v>24</v>
      </c>
      <c r="O17" s="333">
        <f>L17/G16</f>
        <v>0.24548736462093862</v>
      </c>
      <c r="P17" s="331"/>
      <c r="R17" s="316">
        <v>10</v>
      </c>
      <c r="S17" s="327" t="s">
        <v>47</v>
      </c>
      <c r="T17" s="248" t="s">
        <v>608</v>
      </c>
      <c r="U17" s="329" t="s">
        <v>28</v>
      </c>
    </row>
    <row r="18" spans="1:21" s="316" customFormat="1" x14ac:dyDescent="0.25">
      <c r="A18" s="316">
        <v>3</v>
      </c>
      <c r="B18" s="322">
        <v>83</v>
      </c>
      <c r="C18" s="323" t="s">
        <v>23</v>
      </c>
      <c r="D18" s="324" t="s">
        <v>24</v>
      </c>
      <c r="F18" s="321">
        <v>12</v>
      </c>
      <c r="G18" s="330">
        <v>202</v>
      </c>
      <c r="H18" s="331" t="s">
        <v>36</v>
      </c>
      <c r="I18" s="332" t="s">
        <v>24</v>
      </c>
      <c r="K18" s="321">
        <v>13</v>
      </c>
      <c r="L18" s="327">
        <v>63</v>
      </c>
      <c r="M18" s="328" t="s">
        <v>48</v>
      </c>
      <c r="N18" s="329" t="s">
        <v>18</v>
      </c>
      <c r="O18" s="334">
        <f>L18/G31</f>
        <v>0.4315068493150685</v>
      </c>
      <c r="P18" s="328"/>
      <c r="R18" s="316">
        <v>13</v>
      </c>
      <c r="S18" s="330" t="s">
        <v>49</v>
      </c>
      <c r="T18" s="331" t="s">
        <v>44</v>
      </c>
      <c r="U18" s="332" t="s">
        <v>28</v>
      </c>
    </row>
    <row r="19" spans="1:21" s="316" customFormat="1" x14ac:dyDescent="0.25">
      <c r="A19" s="316">
        <v>4</v>
      </c>
      <c r="B19" s="247">
        <v>53</v>
      </c>
      <c r="C19" s="248" t="s">
        <v>58</v>
      </c>
      <c r="D19" s="248" t="s">
        <v>28</v>
      </c>
      <c r="F19" s="321">
        <v>14</v>
      </c>
      <c r="G19" s="330">
        <v>202</v>
      </c>
      <c r="H19" s="331" t="s">
        <v>22</v>
      </c>
      <c r="I19" s="332" t="s">
        <v>14</v>
      </c>
      <c r="K19" s="321">
        <v>14</v>
      </c>
      <c r="L19" s="330">
        <v>61</v>
      </c>
      <c r="M19" s="331" t="s">
        <v>43</v>
      </c>
      <c r="N19" s="331" t="s">
        <v>28</v>
      </c>
      <c r="O19" s="333">
        <f>L19/G14</f>
        <v>0.20401337792642141</v>
      </c>
      <c r="P19" s="331"/>
      <c r="R19" s="316">
        <v>13</v>
      </c>
      <c r="S19" s="330" t="s">
        <v>49</v>
      </c>
      <c r="T19" s="331" t="s">
        <v>43</v>
      </c>
      <c r="U19" s="332" t="s">
        <v>28</v>
      </c>
    </row>
    <row r="20" spans="1:21" s="316" customFormat="1" x14ac:dyDescent="0.25">
      <c r="A20" s="316">
        <v>5</v>
      </c>
      <c r="B20" s="338">
        <v>42</v>
      </c>
      <c r="C20" s="339" t="s">
        <v>51</v>
      </c>
      <c r="D20" s="339" t="s">
        <v>28</v>
      </c>
      <c r="F20" s="321">
        <v>15</v>
      </c>
      <c r="G20" s="247">
        <v>192</v>
      </c>
      <c r="H20" s="248" t="s">
        <v>58</v>
      </c>
      <c r="I20" s="248" t="s">
        <v>28</v>
      </c>
      <c r="K20" s="321">
        <v>15</v>
      </c>
      <c r="L20" s="247">
        <v>55</v>
      </c>
      <c r="M20" s="248" t="s">
        <v>72</v>
      </c>
      <c r="N20" s="248" t="s">
        <v>28</v>
      </c>
      <c r="O20" s="250">
        <f>L20/G23</f>
        <v>0.29729729729729731</v>
      </c>
      <c r="P20" s="248"/>
      <c r="R20" s="316">
        <v>13</v>
      </c>
      <c r="S20" s="330" t="s">
        <v>49</v>
      </c>
      <c r="T20" s="331" t="s">
        <v>32</v>
      </c>
      <c r="U20" s="332" t="s">
        <v>18</v>
      </c>
    </row>
    <row r="21" spans="1:21" s="316" customFormat="1" x14ac:dyDescent="0.25">
      <c r="A21" s="316">
        <v>6</v>
      </c>
      <c r="B21" s="327">
        <v>38</v>
      </c>
      <c r="C21" s="328" t="s">
        <v>604</v>
      </c>
      <c r="D21" s="329" t="s">
        <v>28</v>
      </c>
      <c r="F21" s="321">
        <v>15</v>
      </c>
      <c r="G21" s="247">
        <v>189</v>
      </c>
      <c r="H21" s="328" t="s">
        <v>31</v>
      </c>
      <c r="I21" s="329" t="s">
        <v>14</v>
      </c>
      <c r="K21" s="321">
        <v>16</v>
      </c>
      <c r="L21" s="330">
        <v>53</v>
      </c>
      <c r="M21" s="331" t="s">
        <v>36</v>
      </c>
      <c r="N21" s="331" t="s">
        <v>37</v>
      </c>
      <c r="O21" s="333">
        <f>L21/G18</f>
        <v>0.26237623762376239</v>
      </c>
      <c r="P21" s="331"/>
      <c r="R21" s="316">
        <v>13</v>
      </c>
      <c r="S21" s="327" t="s">
        <v>49</v>
      </c>
      <c r="T21" s="328" t="s">
        <v>31</v>
      </c>
      <c r="U21" s="329" t="s">
        <v>14</v>
      </c>
    </row>
    <row r="22" spans="1:21" s="316" customFormat="1" x14ac:dyDescent="0.25">
      <c r="A22" s="316">
        <v>7</v>
      </c>
      <c r="B22" s="341">
        <v>26</v>
      </c>
      <c r="C22" s="342" t="s">
        <v>489</v>
      </c>
      <c r="D22" s="342" t="s">
        <v>28</v>
      </c>
      <c r="F22" s="321">
        <v>15</v>
      </c>
      <c r="G22" s="247">
        <v>185</v>
      </c>
      <c r="H22" s="248" t="s">
        <v>68</v>
      </c>
      <c r="I22" s="248" t="s">
        <v>28</v>
      </c>
      <c r="K22" s="321">
        <v>17</v>
      </c>
      <c r="L22" s="247">
        <v>42</v>
      </c>
      <c r="M22" s="248" t="s">
        <v>68</v>
      </c>
      <c r="N22" s="248" t="s">
        <v>28</v>
      </c>
      <c r="O22" s="250">
        <f>L22/G22</f>
        <v>0.22702702702702704</v>
      </c>
      <c r="P22" s="248"/>
      <c r="R22">
        <v>17</v>
      </c>
      <c r="S22" s="327" t="s">
        <v>634</v>
      </c>
      <c r="T22" s="328" t="s">
        <v>604</v>
      </c>
      <c r="U22" s="329" t="s">
        <v>28</v>
      </c>
    </row>
    <row r="23" spans="1:21" s="316" customFormat="1" x14ac:dyDescent="0.25">
      <c r="A23" s="316">
        <v>8</v>
      </c>
      <c r="B23" s="330">
        <v>21</v>
      </c>
      <c r="C23" s="331" t="s">
        <v>50</v>
      </c>
      <c r="D23" s="331" t="s">
        <v>30</v>
      </c>
      <c r="F23" s="321">
        <v>18</v>
      </c>
      <c r="G23" s="247">
        <v>185</v>
      </c>
      <c r="H23" s="248" t="s">
        <v>72</v>
      </c>
      <c r="I23" s="248" t="s">
        <v>28</v>
      </c>
      <c r="K23" s="321">
        <v>18</v>
      </c>
      <c r="L23" s="247">
        <v>40</v>
      </c>
      <c r="M23" s="248" t="s">
        <v>66</v>
      </c>
      <c r="N23" s="248" t="s">
        <v>28</v>
      </c>
      <c r="O23" s="250">
        <f>L23/G25</f>
        <v>0.22988505747126436</v>
      </c>
      <c r="P23" s="248"/>
      <c r="R23">
        <v>17</v>
      </c>
      <c r="S23" s="327" t="s">
        <v>634</v>
      </c>
      <c r="T23" s="248" t="s">
        <v>498</v>
      </c>
      <c r="U23" s="329" t="s">
        <v>28</v>
      </c>
    </row>
    <row r="24" spans="1:21" s="316" customFormat="1" x14ac:dyDescent="0.25">
      <c r="A24" s="316">
        <v>9</v>
      </c>
      <c r="B24" s="330">
        <v>10</v>
      </c>
      <c r="C24" s="331" t="s">
        <v>32</v>
      </c>
      <c r="D24" s="332" t="s">
        <v>18</v>
      </c>
      <c r="F24" s="321">
        <v>19</v>
      </c>
      <c r="G24" s="247">
        <v>178</v>
      </c>
      <c r="H24" s="248" t="s">
        <v>64</v>
      </c>
      <c r="I24" s="248" t="s">
        <v>28</v>
      </c>
      <c r="K24" s="321">
        <v>19</v>
      </c>
      <c r="L24" s="330">
        <v>33</v>
      </c>
      <c r="M24" s="331" t="s">
        <v>42</v>
      </c>
      <c r="N24" s="331" t="s">
        <v>37</v>
      </c>
      <c r="O24" s="333">
        <f>L24/G30</f>
        <v>0.22602739726027396</v>
      </c>
      <c r="P24" s="331">
        <v>79</v>
      </c>
      <c r="R24">
        <v>17</v>
      </c>
      <c r="S24" s="327" t="s">
        <v>634</v>
      </c>
      <c r="T24" s="248" t="s">
        <v>64</v>
      </c>
      <c r="U24" s="248" t="s">
        <v>28</v>
      </c>
    </row>
    <row r="25" spans="1:21" x14ac:dyDescent="0.25">
      <c r="A25" s="316">
        <v>10</v>
      </c>
      <c r="B25" s="330">
        <v>8</v>
      </c>
      <c r="C25" s="331" t="s">
        <v>33</v>
      </c>
      <c r="D25" s="332" t="s">
        <v>28</v>
      </c>
      <c r="E25" s="316"/>
      <c r="F25" s="321">
        <v>20</v>
      </c>
      <c r="G25" s="247">
        <v>174</v>
      </c>
      <c r="H25" s="248" t="s">
        <v>66</v>
      </c>
      <c r="I25" s="248" t="s">
        <v>28</v>
      </c>
      <c r="K25" s="321">
        <v>20</v>
      </c>
      <c r="L25" s="330">
        <v>32</v>
      </c>
      <c r="M25" s="331" t="s">
        <v>35</v>
      </c>
      <c r="N25" s="331" t="s">
        <v>21</v>
      </c>
      <c r="O25" s="333" t="e">
        <f>L25/G36</f>
        <v>#DIV/0!</v>
      </c>
      <c r="P25" s="331">
        <v>89</v>
      </c>
      <c r="R25">
        <v>17</v>
      </c>
      <c r="S25" s="327" t="s">
        <v>634</v>
      </c>
      <c r="T25" s="248" t="s">
        <v>72</v>
      </c>
      <c r="U25" s="329" t="s">
        <v>28</v>
      </c>
    </row>
    <row r="26" spans="1:21" x14ac:dyDescent="0.25">
      <c r="A26" s="316">
        <v>10</v>
      </c>
      <c r="B26" s="330">
        <v>6</v>
      </c>
      <c r="C26" s="331" t="s">
        <v>55</v>
      </c>
      <c r="D26" s="332" t="s">
        <v>28</v>
      </c>
      <c r="F26" s="321">
        <v>21</v>
      </c>
      <c r="G26" s="330">
        <v>172</v>
      </c>
      <c r="H26" s="331" t="s">
        <v>42</v>
      </c>
      <c r="I26" s="331" t="s">
        <v>37</v>
      </c>
      <c r="K26" s="321">
        <v>21</v>
      </c>
      <c r="L26" s="247">
        <v>29</v>
      </c>
      <c r="M26" s="248" t="s">
        <v>64</v>
      </c>
      <c r="N26" s="248" t="s">
        <v>28</v>
      </c>
      <c r="O26" s="250">
        <f>L26/G24</f>
        <v>0.16292134831460675</v>
      </c>
      <c r="P26" s="248"/>
      <c r="R26">
        <v>17</v>
      </c>
      <c r="S26" s="327" t="s">
        <v>634</v>
      </c>
      <c r="T26" s="248" t="s">
        <v>65</v>
      </c>
      <c r="U26" s="329" t="s">
        <v>28</v>
      </c>
    </row>
    <row r="27" spans="1:21" x14ac:dyDescent="0.25">
      <c r="A27" s="316">
        <v>12</v>
      </c>
      <c r="B27" s="327">
        <v>6</v>
      </c>
      <c r="C27" s="248" t="s">
        <v>674</v>
      </c>
      <c r="D27" s="329" t="s">
        <v>28</v>
      </c>
      <c r="F27" s="321">
        <v>21</v>
      </c>
      <c r="G27" s="247">
        <v>158</v>
      </c>
      <c r="H27" s="248" t="s">
        <v>488</v>
      </c>
      <c r="I27" s="248" t="s">
        <v>37</v>
      </c>
      <c r="K27" s="321">
        <v>22</v>
      </c>
      <c r="L27" s="330">
        <v>27</v>
      </c>
      <c r="M27" s="331" t="s">
        <v>53</v>
      </c>
      <c r="N27" s="331" t="s">
        <v>28</v>
      </c>
      <c r="O27" s="333">
        <f>L27/G34</f>
        <v>0.24324324324324326</v>
      </c>
      <c r="P27" s="331"/>
      <c r="R27">
        <v>17</v>
      </c>
      <c r="S27" s="327" t="s">
        <v>634</v>
      </c>
      <c r="T27" s="248" t="s">
        <v>66</v>
      </c>
      <c r="U27" s="329" t="s">
        <v>28</v>
      </c>
    </row>
    <row r="28" spans="1:21" x14ac:dyDescent="0.25">
      <c r="A28" s="316">
        <v>13</v>
      </c>
      <c r="B28" s="338">
        <v>5</v>
      </c>
      <c r="C28" s="339" t="s">
        <v>27</v>
      </c>
      <c r="D28" s="340" t="s">
        <v>28</v>
      </c>
      <c r="F28" s="321">
        <v>21</v>
      </c>
      <c r="G28" s="247">
        <v>152</v>
      </c>
      <c r="H28" s="248" t="s">
        <v>74</v>
      </c>
      <c r="I28" s="248" t="s">
        <v>37</v>
      </c>
      <c r="K28" s="321">
        <v>23</v>
      </c>
      <c r="L28" s="327">
        <v>25</v>
      </c>
      <c r="M28" s="248" t="s">
        <v>608</v>
      </c>
      <c r="N28" s="329" t="s">
        <v>28</v>
      </c>
      <c r="O28" s="334"/>
      <c r="P28" s="328"/>
      <c r="R28">
        <v>17</v>
      </c>
      <c r="S28" s="327" t="s">
        <v>634</v>
      </c>
      <c r="T28" s="248" t="s">
        <v>68</v>
      </c>
      <c r="U28" s="329" t="s">
        <v>28</v>
      </c>
    </row>
    <row r="29" spans="1:21" x14ac:dyDescent="0.25">
      <c r="A29" s="316">
        <v>14</v>
      </c>
      <c r="B29" s="330">
        <v>5</v>
      </c>
      <c r="C29" s="331" t="s">
        <v>59</v>
      </c>
      <c r="D29" s="332" t="s">
        <v>28</v>
      </c>
      <c r="F29" s="321">
        <v>24</v>
      </c>
      <c r="G29" s="330">
        <v>146</v>
      </c>
      <c r="H29" s="331" t="s">
        <v>26</v>
      </c>
      <c r="I29" s="332" t="s">
        <v>14</v>
      </c>
      <c r="K29" s="321">
        <v>24</v>
      </c>
      <c r="L29" s="327">
        <v>24</v>
      </c>
      <c r="M29" s="328" t="s">
        <v>57</v>
      </c>
      <c r="N29" s="328" t="s">
        <v>37</v>
      </c>
      <c r="O29" s="334">
        <f>L29/G32</f>
        <v>0.20869565217391303</v>
      </c>
      <c r="P29" s="328"/>
      <c r="R29">
        <v>17</v>
      </c>
      <c r="S29" s="327" t="s">
        <v>634</v>
      </c>
      <c r="T29" s="248" t="s">
        <v>674</v>
      </c>
      <c r="U29" s="329" t="s">
        <v>28</v>
      </c>
    </row>
    <row r="30" spans="1:21" x14ac:dyDescent="0.25">
      <c r="A30" s="316">
        <v>15</v>
      </c>
      <c r="B30" s="243">
        <v>4</v>
      </c>
      <c r="C30" s="244" t="s">
        <v>62</v>
      </c>
      <c r="D30" s="245" t="s">
        <v>18</v>
      </c>
      <c r="F30" s="321">
        <v>24</v>
      </c>
      <c r="G30" s="330">
        <v>146</v>
      </c>
      <c r="H30" s="331" t="s">
        <v>20</v>
      </c>
      <c r="I30" s="331" t="s">
        <v>21</v>
      </c>
      <c r="K30" s="321">
        <v>24</v>
      </c>
      <c r="L30" s="327">
        <v>24</v>
      </c>
      <c r="M30" s="248" t="s">
        <v>488</v>
      </c>
      <c r="N30" s="248" t="s">
        <v>37</v>
      </c>
      <c r="O30" s="334">
        <f>L30/G27</f>
        <v>0.15189873417721519</v>
      </c>
      <c r="P30" s="328"/>
      <c r="R30">
        <v>25</v>
      </c>
      <c r="S30" s="327" t="s">
        <v>52</v>
      </c>
      <c r="T30" s="328" t="s">
        <v>48</v>
      </c>
      <c r="U30" s="329" t="s">
        <v>18</v>
      </c>
    </row>
    <row r="31" spans="1:21" x14ac:dyDescent="0.25">
      <c r="A31" s="316">
        <v>15</v>
      </c>
      <c r="B31" s="247">
        <v>3</v>
      </c>
      <c r="C31" s="248" t="s">
        <v>56</v>
      </c>
      <c r="D31" s="249" t="s">
        <v>18</v>
      </c>
      <c r="F31" s="321">
        <v>26</v>
      </c>
      <c r="G31" s="327">
        <v>146</v>
      </c>
      <c r="H31" s="328" t="s">
        <v>56</v>
      </c>
      <c r="I31" s="329" t="s">
        <v>18</v>
      </c>
      <c r="K31" s="321">
        <v>26</v>
      </c>
      <c r="L31" s="330">
        <v>19</v>
      </c>
      <c r="M31" s="331" t="s">
        <v>60</v>
      </c>
      <c r="N31" s="332" t="s">
        <v>61</v>
      </c>
      <c r="O31" s="333" t="e">
        <f>L31/G38</f>
        <v>#DIV/0!</v>
      </c>
      <c r="P31" s="331"/>
      <c r="R31">
        <v>25</v>
      </c>
      <c r="S31" s="327" t="s">
        <v>52</v>
      </c>
      <c r="T31" s="248" t="s">
        <v>501</v>
      </c>
      <c r="U31" s="329" t="s">
        <v>28</v>
      </c>
    </row>
    <row r="32" spans="1:21" x14ac:dyDescent="0.25">
      <c r="A32" s="316">
        <v>15</v>
      </c>
      <c r="B32" s="243">
        <v>2</v>
      </c>
      <c r="C32" s="244" t="s">
        <v>22</v>
      </c>
      <c r="D32" s="245" t="s">
        <v>14</v>
      </c>
      <c r="F32" s="321">
        <v>26</v>
      </c>
      <c r="G32" s="327">
        <v>115</v>
      </c>
      <c r="H32" s="339" t="s">
        <v>57</v>
      </c>
      <c r="I32" s="339" t="s">
        <v>24</v>
      </c>
      <c r="K32" s="321">
        <v>26</v>
      </c>
      <c r="L32" s="247">
        <v>19</v>
      </c>
      <c r="M32" s="248" t="s">
        <v>74</v>
      </c>
      <c r="N32" s="248" t="s">
        <v>37</v>
      </c>
      <c r="O32" s="250">
        <f>L32/G28</f>
        <v>0.125</v>
      </c>
      <c r="P32" s="248"/>
      <c r="R32">
        <v>25</v>
      </c>
      <c r="S32" s="327" t="s">
        <v>52</v>
      </c>
      <c r="T32" s="248" t="s">
        <v>58</v>
      </c>
      <c r="U32" s="248" t="s">
        <v>28</v>
      </c>
    </row>
    <row r="33" spans="1:21" x14ac:dyDescent="0.25">
      <c r="A33" s="316">
        <v>17</v>
      </c>
      <c r="B33" s="338">
        <v>2</v>
      </c>
      <c r="C33" s="339" t="s">
        <v>29</v>
      </c>
      <c r="D33" s="339" t="s">
        <v>30</v>
      </c>
      <c r="F33" s="321">
        <v>28</v>
      </c>
      <c r="G33" s="247">
        <v>114</v>
      </c>
      <c r="H33" s="248" t="s">
        <v>499</v>
      </c>
      <c r="I33" s="248" t="s">
        <v>37</v>
      </c>
      <c r="K33" s="321">
        <v>28</v>
      </c>
      <c r="L33" s="247">
        <v>17</v>
      </c>
      <c r="M33" s="248" t="s">
        <v>78</v>
      </c>
      <c r="N33" s="248" t="s">
        <v>37</v>
      </c>
      <c r="O33" s="250">
        <f>L33/G33</f>
        <v>0.14912280701754385</v>
      </c>
      <c r="P33" s="248"/>
      <c r="R33">
        <v>25</v>
      </c>
      <c r="S33" s="327" t="s">
        <v>52</v>
      </c>
      <c r="T33" s="248" t="s">
        <v>675</v>
      </c>
      <c r="U33" s="329" t="s">
        <v>28</v>
      </c>
    </row>
    <row r="34" spans="1:21" x14ac:dyDescent="0.25">
      <c r="A34" s="316">
        <v>17</v>
      </c>
      <c r="B34" s="243">
        <v>1</v>
      </c>
      <c r="C34" s="244" t="s">
        <v>60</v>
      </c>
      <c r="D34" s="245" t="s">
        <v>18</v>
      </c>
      <c r="F34" s="321">
        <v>29</v>
      </c>
      <c r="G34" s="330">
        <v>111</v>
      </c>
      <c r="H34" s="331" t="s">
        <v>53</v>
      </c>
      <c r="I34" s="331" t="s">
        <v>28</v>
      </c>
      <c r="K34" s="321">
        <v>28</v>
      </c>
      <c r="L34" s="341">
        <v>17</v>
      </c>
      <c r="M34" s="328" t="s">
        <v>604</v>
      </c>
      <c r="N34" s="329" t="s">
        <v>28</v>
      </c>
      <c r="O34" s="334"/>
      <c r="P34" s="328"/>
      <c r="R34" s="316">
        <v>25</v>
      </c>
      <c r="S34" s="327" t="s">
        <v>52</v>
      </c>
      <c r="T34" s="248" t="s">
        <v>74</v>
      </c>
      <c r="U34" s="248" t="s">
        <v>37</v>
      </c>
    </row>
    <row r="35" spans="1:21" x14ac:dyDescent="0.25">
      <c r="A35" s="316">
        <v>17</v>
      </c>
      <c r="B35" s="243">
        <v>1</v>
      </c>
      <c r="C35" s="244" t="s">
        <v>36</v>
      </c>
      <c r="D35" s="244" t="s">
        <v>37</v>
      </c>
      <c r="F35" s="321">
        <v>30</v>
      </c>
      <c r="G35" s="247">
        <v>110</v>
      </c>
      <c r="H35" s="248" t="s">
        <v>77</v>
      </c>
      <c r="I35" s="248" t="s">
        <v>37</v>
      </c>
      <c r="K35" s="321">
        <v>30</v>
      </c>
      <c r="L35" s="243">
        <v>15</v>
      </c>
      <c r="M35" s="244" t="s">
        <v>59</v>
      </c>
      <c r="N35" s="245" t="s">
        <v>28</v>
      </c>
      <c r="O35" s="246"/>
      <c r="P35" s="244"/>
      <c r="R35" s="447">
        <v>25</v>
      </c>
      <c r="S35" s="327" t="s">
        <v>52</v>
      </c>
      <c r="T35" s="248" t="s">
        <v>488</v>
      </c>
      <c r="U35" s="248" t="s">
        <v>37</v>
      </c>
    </row>
    <row r="36" spans="1:21" x14ac:dyDescent="0.25">
      <c r="A36" s="316">
        <v>17</v>
      </c>
      <c r="B36" s="243">
        <v>1</v>
      </c>
      <c r="C36" s="244" t="s">
        <v>40</v>
      </c>
      <c r="D36" s="245" t="s">
        <v>30</v>
      </c>
      <c r="F36" s="321"/>
      <c r="G36" s="243"/>
      <c r="H36" s="244"/>
      <c r="I36" s="244"/>
      <c r="K36" s="321">
        <v>31</v>
      </c>
      <c r="L36" s="327">
        <v>14</v>
      </c>
      <c r="M36" s="328" t="s">
        <v>500</v>
      </c>
      <c r="N36" s="329" t="s">
        <v>37</v>
      </c>
      <c r="O36" s="334"/>
      <c r="P36" s="328"/>
      <c r="R36" s="447">
        <v>31</v>
      </c>
      <c r="S36" s="330" t="s">
        <v>54</v>
      </c>
      <c r="T36" s="331" t="s">
        <v>46</v>
      </c>
      <c r="U36" s="332" t="s">
        <v>24</v>
      </c>
    </row>
    <row r="37" spans="1:21" x14ac:dyDescent="0.25">
      <c r="B37" s="243">
        <v>1</v>
      </c>
      <c r="C37" s="244" t="s">
        <v>38</v>
      </c>
      <c r="D37" s="245" t="s">
        <v>37</v>
      </c>
      <c r="F37" s="321"/>
      <c r="G37" s="243"/>
      <c r="H37" s="244"/>
      <c r="I37" s="245"/>
      <c r="K37" s="321">
        <v>31</v>
      </c>
      <c r="L37" s="327">
        <v>14</v>
      </c>
      <c r="M37" s="339" t="s">
        <v>489</v>
      </c>
      <c r="N37" s="340" t="s">
        <v>28</v>
      </c>
      <c r="O37" s="362"/>
      <c r="P37" s="339"/>
      <c r="R37" s="447">
        <v>31</v>
      </c>
      <c r="S37" s="341" t="s">
        <v>54</v>
      </c>
      <c r="T37" s="342" t="s">
        <v>51</v>
      </c>
      <c r="U37" s="342" t="s">
        <v>28</v>
      </c>
    </row>
    <row r="38" spans="1:21" x14ac:dyDescent="0.25">
      <c r="B38" s="247">
        <v>1</v>
      </c>
      <c r="C38" s="248" t="s">
        <v>64</v>
      </c>
      <c r="D38" s="249" t="s">
        <v>28</v>
      </c>
      <c r="F38" s="321"/>
      <c r="G38" s="243"/>
      <c r="H38" s="244"/>
      <c r="I38" s="245"/>
      <c r="K38" s="321">
        <v>31</v>
      </c>
      <c r="L38" s="247">
        <v>14</v>
      </c>
      <c r="M38" s="248" t="s">
        <v>77</v>
      </c>
      <c r="N38" s="248" t="s">
        <v>37</v>
      </c>
      <c r="O38" s="250">
        <f>L38/G35</f>
        <v>0.12727272727272726</v>
      </c>
      <c r="P38" s="248"/>
      <c r="R38" s="447">
        <v>31</v>
      </c>
      <c r="S38" s="341" t="s">
        <v>54</v>
      </c>
      <c r="T38" s="342" t="s">
        <v>489</v>
      </c>
      <c r="U38" s="342" t="s">
        <v>28</v>
      </c>
    </row>
    <row r="39" spans="1:21" x14ac:dyDescent="0.25">
      <c r="B39" s="225">
        <f>SUM(B16:B38)</f>
        <v>674</v>
      </c>
      <c r="G39"/>
      <c r="K39" s="321">
        <v>34</v>
      </c>
      <c r="L39" s="243">
        <v>12</v>
      </c>
      <c r="M39" s="244" t="s">
        <v>63</v>
      </c>
      <c r="N39" s="245" t="s">
        <v>18</v>
      </c>
      <c r="O39" s="246"/>
      <c r="P39" s="244"/>
    </row>
    <row r="40" spans="1:21" x14ac:dyDescent="0.25">
      <c r="B40" s="57"/>
      <c r="G40"/>
      <c r="K40" s="321">
        <v>35</v>
      </c>
      <c r="L40" s="243">
        <v>11</v>
      </c>
      <c r="M40" s="244" t="s">
        <v>22</v>
      </c>
      <c r="N40" s="245" t="s">
        <v>14</v>
      </c>
      <c r="O40" s="246">
        <f>L40/G19</f>
        <v>5.4455445544554455E-2</v>
      </c>
      <c r="P40" s="244"/>
    </row>
    <row r="41" spans="1:21" x14ac:dyDescent="0.25">
      <c r="B41" s="57"/>
      <c r="G41"/>
      <c r="K41" s="321">
        <v>36</v>
      </c>
      <c r="L41" s="243">
        <v>10</v>
      </c>
      <c r="M41" s="244" t="s">
        <v>39</v>
      </c>
      <c r="N41" s="245" t="s">
        <v>24</v>
      </c>
      <c r="O41" s="246"/>
      <c r="P41" s="244"/>
    </row>
    <row r="42" spans="1:21" x14ac:dyDescent="0.25">
      <c r="B42" s="57"/>
      <c r="G42"/>
      <c r="K42" s="321">
        <v>36</v>
      </c>
      <c r="L42" s="243">
        <v>10</v>
      </c>
      <c r="M42" s="244" t="s">
        <v>67</v>
      </c>
      <c r="N42" s="245" t="s">
        <v>18</v>
      </c>
      <c r="O42" s="246"/>
      <c r="P42" s="244"/>
    </row>
    <row r="43" spans="1:21" x14ac:dyDescent="0.25">
      <c r="B43" s="57"/>
      <c r="G43"/>
      <c r="K43" s="321">
        <v>38</v>
      </c>
      <c r="L43" s="243">
        <v>9</v>
      </c>
      <c r="M43" s="244" t="s">
        <v>69</v>
      </c>
      <c r="N43" s="244" t="s">
        <v>18</v>
      </c>
      <c r="O43" s="246"/>
      <c r="P43" s="244"/>
    </row>
    <row r="44" spans="1:21" x14ac:dyDescent="0.25">
      <c r="B44" s="57"/>
      <c r="G44"/>
      <c r="K44" s="321">
        <v>38</v>
      </c>
      <c r="L44" s="243">
        <v>9</v>
      </c>
      <c r="M44" s="244" t="s">
        <v>70</v>
      </c>
      <c r="N44" s="244" t="s">
        <v>18</v>
      </c>
      <c r="O44" s="246"/>
      <c r="P44" s="244"/>
    </row>
    <row r="45" spans="1:21" x14ac:dyDescent="0.25">
      <c r="B45" s="57"/>
      <c r="G45"/>
      <c r="K45" s="321">
        <v>40</v>
      </c>
      <c r="L45" s="243">
        <v>8</v>
      </c>
      <c r="M45" s="244" t="s">
        <v>71</v>
      </c>
      <c r="N45" s="244" t="s">
        <v>24</v>
      </c>
      <c r="O45" s="246"/>
      <c r="P45" s="244"/>
    </row>
    <row r="46" spans="1:21" x14ac:dyDescent="0.25">
      <c r="B46" s="57"/>
      <c r="K46" s="321">
        <v>41</v>
      </c>
      <c r="L46" s="327">
        <v>7</v>
      </c>
      <c r="M46" s="248" t="s">
        <v>498</v>
      </c>
      <c r="N46" s="329" t="s">
        <v>28</v>
      </c>
      <c r="O46" s="334"/>
      <c r="P46" s="328"/>
    </row>
    <row r="47" spans="1:21" x14ac:dyDescent="0.25">
      <c r="B47" s="57"/>
      <c r="K47" s="321">
        <v>41</v>
      </c>
      <c r="L47" s="327">
        <v>7</v>
      </c>
      <c r="M47" s="248" t="s">
        <v>674</v>
      </c>
      <c r="N47" s="329" t="s">
        <v>28</v>
      </c>
      <c r="O47" s="334"/>
      <c r="P47" s="328"/>
    </row>
    <row r="48" spans="1:21" x14ac:dyDescent="0.25">
      <c r="B48" s="57"/>
      <c r="K48" s="321">
        <v>43</v>
      </c>
      <c r="L48" s="243">
        <v>6</v>
      </c>
      <c r="M48" s="244" t="s">
        <v>26</v>
      </c>
      <c r="N48" s="245" t="s">
        <v>14</v>
      </c>
      <c r="O48" s="246"/>
      <c r="P48" s="244"/>
    </row>
    <row r="49" spans="2:16" x14ac:dyDescent="0.25">
      <c r="B49" s="57"/>
      <c r="K49" s="321">
        <v>44</v>
      </c>
      <c r="L49" s="243">
        <v>5</v>
      </c>
      <c r="M49" s="244" t="s">
        <v>73</v>
      </c>
      <c r="N49" s="244" t="s">
        <v>30</v>
      </c>
      <c r="O49" s="246"/>
      <c r="P49" s="244"/>
    </row>
    <row r="50" spans="2:16" x14ac:dyDescent="0.25">
      <c r="B50" s="57"/>
      <c r="K50" s="321">
        <v>44</v>
      </c>
      <c r="L50" s="327">
        <v>5</v>
      </c>
      <c r="M50" s="328" t="s">
        <v>501</v>
      </c>
      <c r="N50" s="329" t="s">
        <v>28</v>
      </c>
      <c r="O50" s="334"/>
      <c r="P50" s="328"/>
    </row>
    <row r="51" spans="2:16" x14ac:dyDescent="0.25">
      <c r="B51" s="57"/>
      <c r="K51" s="321">
        <v>44</v>
      </c>
      <c r="L51" s="327">
        <v>5</v>
      </c>
      <c r="M51" s="328" t="s">
        <v>31</v>
      </c>
      <c r="N51" s="329" t="s">
        <v>14</v>
      </c>
      <c r="O51" s="334"/>
      <c r="P51" s="328"/>
    </row>
    <row r="52" spans="2:16" x14ac:dyDescent="0.25">
      <c r="B52" s="57"/>
      <c r="G52" s="358"/>
      <c r="K52" s="321">
        <v>47</v>
      </c>
      <c r="L52" s="247">
        <v>4</v>
      </c>
      <c r="M52" s="342" t="s">
        <v>79</v>
      </c>
      <c r="N52" s="342" t="s">
        <v>37</v>
      </c>
      <c r="O52" s="363"/>
      <c r="P52" s="342"/>
    </row>
    <row r="53" spans="2:16" x14ac:dyDescent="0.25">
      <c r="B53" s="57"/>
      <c r="G53" s="358"/>
      <c r="K53" s="321">
        <v>48</v>
      </c>
      <c r="L53" s="243">
        <v>3</v>
      </c>
      <c r="M53" s="244" t="s">
        <v>75</v>
      </c>
      <c r="N53" s="244" t="s">
        <v>21</v>
      </c>
      <c r="O53" s="246"/>
      <c r="P53" s="244"/>
    </row>
    <row r="54" spans="2:16" x14ac:dyDescent="0.25">
      <c r="B54" s="57"/>
      <c r="K54" s="321">
        <v>48</v>
      </c>
      <c r="L54" s="243">
        <v>3</v>
      </c>
      <c r="M54" s="244" t="s">
        <v>76</v>
      </c>
      <c r="N54" s="244" t="s">
        <v>28</v>
      </c>
      <c r="O54" s="246"/>
      <c r="P54" s="244"/>
    </row>
    <row r="55" spans="2:16" x14ac:dyDescent="0.25">
      <c r="B55" s="358"/>
      <c r="G55" s="358"/>
      <c r="K55" s="321">
        <v>48</v>
      </c>
      <c r="L55" s="243">
        <v>3</v>
      </c>
      <c r="M55" s="244" t="s">
        <v>38</v>
      </c>
      <c r="N55" s="244" t="s">
        <v>24</v>
      </c>
      <c r="O55" s="246"/>
      <c r="P55" s="244">
        <v>49</v>
      </c>
    </row>
    <row r="56" spans="2:16" x14ac:dyDescent="0.25">
      <c r="B56" s="358"/>
      <c r="G56" s="358"/>
      <c r="K56" s="321">
        <v>48</v>
      </c>
      <c r="L56" s="341">
        <v>3</v>
      </c>
      <c r="M56" s="342" t="s">
        <v>51</v>
      </c>
      <c r="N56" s="342" t="s">
        <v>28</v>
      </c>
      <c r="O56" s="363"/>
      <c r="P56" s="342"/>
    </row>
    <row r="57" spans="2:16" x14ac:dyDescent="0.25">
      <c r="B57" s="57"/>
      <c r="K57" s="361">
        <v>48</v>
      </c>
      <c r="L57" s="247">
        <v>3</v>
      </c>
      <c r="M57" s="248" t="s">
        <v>675</v>
      </c>
      <c r="N57" s="248" t="s">
        <v>28</v>
      </c>
      <c r="O57" s="250"/>
      <c r="P57" s="248"/>
    </row>
    <row r="58" spans="2:16" x14ac:dyDescent="0.25">
      <c r="B58" s="358"/>
      <c r="K58" s="361">
        <v>53</v>
      </c>
      <c r="L58" s="247">
        <v>2</v>
      </c>
      <c r="M58" s="248" t="s">
        <v>13</v>
      </c>
      <c r="N58" s="248" t="s">
        <v>14</v>
      </c>
      <c r="O58" s="250">
        <f>L58/G13</f>
        <v>6.2893081761006293E-3</v>
      </c>
      <c r="P58" s="248">
        <v>3</v>
      </c>
    </row>
    <row r="59" spans="2:16" x14ac:dyDescent="0.25">
      <c r="B59" s="358"/>
      <c r="K59" s="361">
        <v>54</v>
      </c>
      <c r="L59" s="341">
        <v>1</v>
      </c>
      <c r="M59" s="342" t="s">
        <v>80</v>
      </c>
      <c r="N59" s="342" t="s">
        <v>30</v>
      </c>
      <c r="O59" s="363"/>
      <c r="P59" s="342"/>
    </row>
    <row r="60" spans="2:16" x14ac:dyDescent="0.25">
      <c r="B60" s="57"/>
      <c r="K60" s="361">
        <v>54</v>
      </c>
      <c r="L60" s="341">
        <v>1</v>
      </c>
      <c r="M60" s="342" t="s">
        <v>81</v>
      </c>
      <c r="N60" s="342" t="s">
        <v>30</v>
      </c>
      <c r="O60" s="363"/>
      <c r="P60" s="342"/>
    </row>
    <row r="61" spans="2:16" x14ac:dyDescent="0.25">
      <c r="B61" s="57"/>
      <c r="L61" s="226">
        <f>SUM(L6:L60)</f>
        <v>2074</v>
      </c>
    </row>
    <row r="62" spans="2:16" x14ac:dyDescent="0.25">
      <c r="B62" s="57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O33 O6:O27 O35:O46 O48:O56 O58:O60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7" customWidth="1"/>
    <col min="14" max="14" width="8.28515625" style="57" customWidth="1"/>
    <col min="15" max="15" width="4.5703125" style="57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412</v>
      </c>
      <c r="AA1" t="s">
        <v>413</v>
      </c>
      <c r="AD1" t="s">
        <v>414</v>
      </c>
    </row>
    <row r="2" spans="1:31" x14ac:dyDescent="0.25">
      <c r="B2" s="73">
        <v>44035</v>
      </c>
      <c r="X2" s="200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415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5">
        <v>1</v>
      </c>
      <c r="M3" s="195">
        <v>0.5</v>
      </c>
      <c r="N3" s="79" t="s">
        <v>423</v>
      </c>
      <c r="O3" s="197" t="s">
        <v>14</v>
      </c>
      <c r="P3" s="197" t="s">
        <v>407</v>
      </c>
      <c r="Q3" s="197" t="s">
        <v>487</v>
      </c>
      <c r="R3" s="196" t="s">
        <v>418</v>
      </c>
      <c r="S3" s="196" t="s">
        <v>419</v>
      </c>
      <c r="T3" s="196" t="s">
        <v>121</v>
      </c>
      <c r="U3" s="196" t="s">
        <v>486</v>
      </c>
      <c r="V3" s="197" t="s">
        <v>122</v>
      </c>
      <c r="W3" s="199" t="s">
        <v>21</v>
      </c>
      <c r="X3" s="198" t="s">
        <v>421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str">
        <f>PLANTILLA!A16</f>
        <v>#16</v>
      </c>
      <c r="B4" s="50" t="str">
        <f>PLANTILLA!D16</f>
        <v>I. Vanags</v>
      </c>
      <c r="C4" s="4">
        <f>PLANTILLA!E16</f>
        <v>28</v>
      </c>
      <c r="D4" s="262">
        <f ca="1">PLANTILLA!F16</f>
        <v>87</v>
      </c>
      <c r="E4" s="48">
        <f>PLANTILLA!X16</f>
        <v>0</v>
      </c>
      <c r="F4" s="48">
        <f>PLANTILLA!Y16</f>
        <v>10</v>
      </c>
      <c r="G4" s="48">
        <f>PLANTILLA!Z16</f>
        <v>15</v>
      </c>
      <c r="H4" s="48">
        <f>PLANTILLA!AA16</f>
        <v>3</v>
      </c>
      <c r="I4" s="48">
        <f>PLANTILLA!AB16</f>
        <v>4</v>
      </c>
      <c r="J4" s="48">
        <f>PLANTILLA!AC16</f>
        <v>8.375</v>
      </c>
      <c r="K4" s="48">
        <f>PLANTILLA!AD16</f>
        <v>19.399999999999999</v>
      </c>
      <c r="L4" s="94">
        <f>1/12.5</f>
        <v>0.08</v>
      </c>
      <c r="M4" s="94">
        <f t="shared" ref="M4:M14" si="0">L4*0.5</f>
        <v>0.04</v>
      </c>
      <c r="N4" s="94">
        <f t="shared" ref="N4:N14" si="1">L4*0.125</f>
        <v>0.01</v>
      </c>
      <c r="O4" s="114"/>
      <c r="P4" s="114"/>
      <c r="Q4" s="114"/>
      <c r="R4" s="114"/>
      <c r="S4" s="114"/>
      <c r="T4" s="114">
        <f t="shared" ref="T4:T9" si="2">L4*1</f>
        <v>0.08</v>
      </c>
      <c r="U4" s="114">
        <f>L4*0.631</f>
        <v>5.0480000000000004E-2</v>
      </c>
      <c r="V4" s="114"/>
      <c r="W4" s="114"/>
      <c r="X4" s="114">
        <f t="shared" ref="X4:X22" si="3">MAX(O4:W4)</f>
        <v>0.08</v>
      </c>
      <c r="AA4" t="s">
        <v>406</v>
      </c>
      <c r="AB4" t="s">
        <v>422</v>
      </c>
      <c r="AD4" t="s">
        <v>406</v>
      </c>
      <c r="AE4" t="str">
        <f>AB4</f>
        <v>B. Pinczehelyi</v>
      </c>
    </row>
    <row r="5" spans="1:31" x14ac:dyDescent="0.25">
      <c r="A5" s="4" t="str">
        <f>PLANTILLA!A17</f>
        <v>#8</v>
      </c>
      <c r="B5" s="50" t="str">
        <f>PLANTILLA!D17</f>
        <v>I. Stone</v>
      </c>
      <c r="C5" s="4">
        <f>PLANTILLA!E17</f>
        <v>28</v>
      </c>
      <c r="D5" s="262">
        <f ca="1">PLANTILLA!F17</f>
        <v>30</v>
      </c>
      <c r="E5" s="48">
        <f>PLANTILLA!X17</f>
        <v>0</v>
      </c>
      <c r="F5" s="48">
        <f>PLANTILLA!Y17</f>
        <v>8.3333333333333339</v>
      </c>
      <c r="G5" s="48">
        <f>PLANTILLA!Z17</f>
        <v>14</v>
      </c>
      <c r="H5" s="48">
        <f>PLANTILLA!AA17</f>
        <v>2</v>
      </c>
      <c r="I5" s="48">
        <f>PLANTILLA!AB17</f>
        <v>6</v>
      </c>
      <c r="J5" s="48">
        <f>PLANTILLA!AC17</f>
        <v>10.199999999999999</v>
      </c>
      <c r="K5" s="48">
        <f>PLANTILLA!AD17</f>
        <v>19</v>
      </c>
      <c r="L5" s="94">
        <f>1/11</f>
        <v>9.0909090909090912E-2</v>
      </c>
      <c r="M5" s="94">
        <f t="shared" si="0"/>
        <v>4.5454545454545456E-2</v>
      </c>
      <c r="N5" s="94">
        <f t="shared" si="1"/>
        <v>1.1363636363636364E-2</v>
      </c>
      <c r="O5" s="114"/>
      <c r="P5" s="114"/>
      <c r="Q5" s="114"/>
      <c r="R5" s="114"/>
      <c r="S5" s="114"/>
      <c r="T5" s="114">
        <f t="shared" si="2"/>
        <v>9.0909090909090912E-2</v>
      </c>
      <c r="U5" s="114">
        <f t="shared" ref="U5:U9" si="4">L5*0.631</f>
        <v>5.7363636363636367E-2</v>
      </c>
      <c r="V5" s="114"/>
      <c r="W5" s="114"/>
      <c r="X5" s="114">
        <f t="shared" si="3"/>
        <v>9.0909090909090912E-2</v>
      </c>
      <c r="AA5" t="s">
        <v>407</v>
      </c>
      <c r="AB5" t="s">
        <v>176</v>
      </c>
      <c r="AD5" t="s">
        <v>411</v>
      </c>
      <c r="AE5" t="s">
        <v>175</v>
      </c>
    </row>
    <row r="6" spans="1:31" x14ac:dyDescent="0.25">
      <c r="A6" s="4" t="str">
        <f>PLANTILLA!A15</f>
        <v>#12</v>
      </c>
      <c r="B6" s="50" t="str">
        <f>PLANTILLA!D15</f>
        <v>P. Tuderek</v>
      </c>
      <c r="C6" s="4">
        <f>PLANTILLA!E15</f>
        <v>28</v>
      </c>
      <c r="D6" s="262">
        <f ca="1">PLANTILLA!F15</f>
        <v>89</v>
      </c>
      <c r="E6" s="48">
        <f>PLANTILLA!X15</f>
        <v>0</v>
      </c>
      <c r="F6" s="48">
        <f>PLANTILLA!Y15</f>
        <v>11.307692307692308</v>
      </c>
      <c r="G6" s="48">
        <f>PLANTILLA!Z15</f>
        <v>14.333333333333334</v>
      </c>
      <c r="H6" s="48">
        <f>PLANTILLA!AA15</f>
        <v>2</v>
      </c>
      <c r="I6" s="48">
        <f>PLANTILLA!AB15</f>
        <v>3</v>
      </c>
      <c r="J6" s="48">
        <f>PLANTILLA!AC15</f>
        <v>8</v>
      </c>
      <c r="K6" s="48">
        <f>PLANTILLA!AD15</f>
        <v>20.166666666666668</v>
      </c>
      <c r="L6" s="94">
        <f>1/11</f>
        <v>9.0909090909090912E-2</v>
      </c>
      <c r="M6" s="94">
        <f t="shared" si="0"/>
        <v>4.5454545454545456E-2</v>
      </c>
      <c r="N6" s="94">
        <f t="shared" si="1"/>
        <v>1.1363636363636364E-2</v>
      </c>
      <c r="O6" s="114"/>
      <c r="P6" s="114"/>
      <c r="Q6" s="114"/>
      <c r="R6" s="114"/>
      <c r="S6" s="114"/>
      <c r="T6" s="114">
        <f t="shared" si="2"/>
        <v>9.0909090909090912E-2</v>
      </c>
      <c r="U6" s="114">
        <f t="shared" si="4"/>
        <v>5.7363636363636367E-2</v>
      </c>
      <c r="V6" s="114"/>
      <c r="W6" s="114"/>
      <c r="X6" s="114">
        <f t="shared" si="3"/>
        <v>9.0909090909090912E-2</v>
      </c>
      <c r="AA6" t="s">
        <v>406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PLANTILLA!A18</f>
        <v>#14</v>
      </c>
      <c r="B7" s="50" t="str">
        <f>PLANTILLA!D18</f>
        <v>G. Piscaer</v>
      </c>
      <c r="C7" s="4">
        <f>PLANTILLA!E18</f>
        <v>28</v>
      </c>
      <c r="D7" s="262">
        <f ca="1">PLANTILLA!F18</f>
        <v>103</v>
      </c>
      <c r="E7" s="48">
        <f>PLANTILLA!X18</f>
        <v>0</v>
      </c>
      <c r="F7" s="48">
        <f>PLANTILLA!Y18</f>
        <v>9.5</v>
      </c>
      <c r="G7" s="48">
        <f>PLANTILLA!Z18</f>
        <v>15.19047619047619</v>
      </c>
      <c r="H7" s="48">
        <f>PLANTILLA!AA18</f>
        <v>3</v>
      </c>
      <c r="I7" s="48">
        <f>PLANTILLA!AB18</f>
        <v>2</v>
      </c>
      <c r="J7" s="48">
        <f>PLANTILLA!AC18</f>
        <v>9.25</v>
      </c>
      <c r="K7" s="48">
        <f>PLANTILLA!AD18</f>
        <v>18.666666666666668</v>
      </c>
      <c r="L7" s="94">
        <f>1/13</f>
        <v>7.6923076923076927E-2</v>
      </c>
      <c r="M7" s="94">
        <f t="shared" si="0"/>
        <v>3.8461538461538464E-2</v>
      </c>
      <c r="N7" s="94">
        <f t="shared" si="1"/>
        <v>9.6153846153846159E-3</v>
      </c>
      <c r="O7" s="114"/>
      <c r="P7" s="114"/>
      <c r="Q7" s="114"/>
      <c r="R7" s="114"/>
      <c r="S7" s="114"/>
      <c r="T7" s="114">
        <f t="shared" si="2"/>
        <v>7.6923076923076927E-2</v>
      </c>
      <c r="U7" s="114">
        <f t="shared" si="4"/>
        <v>4.8538461538461544E-2</v>
      </c>
      <c r="V7" s="114"/>
      <c r="W7" s="114"/>
      <c r="X7" s="114">
        <f t="shared" si="3"/>
        <v>7.6923076923076927E-2</v>
      </c>
      <c r="AA7" t="s">
        <v>250</v>
      </c>
      <c r="AB7" t="s">
        <v>130</v>
      </c>
      <c r="AD7" t="s">
        <v>411</v>
      </c>
      <c r="AE7" t="s">
        <v>174</v>
      </c>
    </row>
    <row r="8" spans="1:31" x14ac:dyDescent="0.25">
      <c r="A8" s="4" t="str">
        <f>PLANTILLA!A19</f>
        <v>#9</v>
      </c>
      <c r="B8" s="50" t="str">
        <f>PLANTILLA!D19</f>
        <v>M. Bondarewski</v>
      </c>
      <c r="C8" s="4">
        <f>PLANTILLA!E19</f>
        <v>28</v>
      </c>
      <c r="D8" s="262">
        <f ca="1">PLANTILLA!F19</f>
        <v>103</v>
      </c>
      <c r="E8" s="48">
        <f>PLANTILLA!X19</f>
        <v>0</v>
      </c>
      <c r="F8" s="48">
        <f>PLANTILLA!Y19</f>
        <v>8.3333333333333339</v>
      </c>
      <c r="G8" s="48">
        <f>PLANTILLA!Z19</f>
        <v>15</v>
      </c>
      <c r="H8" s="48">
        <f>PLANTILLA!AA19</f>
        <v>5</v>
      </c>
      <c r="I8" s="48">
        <f>PLANTILLA!AB19</f>
        <v>4</v>
      </c>
      <c r="J8" s="48">
        <f>PLANTILLA!AC19</f>
        <v>9.125</v>
      </c>
      <c r="K8" s="48">
        <f>PLANTILLA!AD19</f>
        <v>20.166666666666668</v>
      </c>
      <c r="L8" s="94">
        <f>1/13</f>
        <v>7.6923076923076927E-2</v>
      </c>
      <c r="M8" s="94">
        <f t="shared" si="0"/>
        <v>3.8461538461538464E-2</v>
      </c>
      <c r="N8" s="94">
        <f t="shared" si="1"/>
        <v>9.6153846153846159E-3</v>
      </c>
      <c r="O8" s="114"/>
      <c r="P8" s="114"/>
      <c r="Q8" s="114"/>
      <c r="R8" s="114"/>
      <c r="S8" s="114"/>
      <c r="T8" s="114">
        <f t="shared" si="2"/>
        <v>7.6923076923076927E-2</v>
      </c>
      <c r="U8" s="114">
        <f t="shared" si="4"/>
        <v>4.8538461538461544E-2</v>
      </c>
      <c r="V8" s="114"/>
      <c r="W8" s="114"/>
      <c r="X8" s="114">
        <f t="shared" si="3"/>
        <v>7.6923076923076927E-2</v>
      </c>
      <c r="AA8" t="s">
        <v>121</v>
      </c>
      <c r="AB8" t="s">
        <v>179</v>
      </c>
      <c r="AD8" t="s">
        <v>406</v>
      </c>
      <c r="AE8" t="s">
        <v>129</v>
      </c>
    </row>
    <row r="9" spans="1:31" x14ac:dyDescent="0.25">
      <c r="A9" s="4" t="str">
        <f>PLANTILLA!A13</f>
        <v>#10</v>
      </c>
      <c r="B9" s="50" t="str">
        <f>PLANTILLA!D13</f>
        <v>R. Forsyth</v>
      </c>
      <c r="C9" s="4">
        <f>PLANTILLA!E13</f>
        <v>29</v>
      </c>
      <c r="D9" s="262">
        <f ca="1">PLANTILLA!F13</f>
        <v>32</v>
      </c>
      <c r="E9" s="48">
        <f>PLANTILLA!X13</f>
        <v>0</v>
      </c>
      <c r="F9" s="48">
        <f>PLANTILLA!Y13</f>
        <v>11.76923076923077</v>
      </c>
      <c r="G9" s="48">
        <f>PLANTILLA!Z13</f>
        <v>15</v>
      </c>
      <c r="H9" s="48">
        <f>PLANTILLA!AA13</f>
        <v>3</v>
      </c>
      <c r="I9" s="48">
        <f>PLANTILLA!AB13</f>
        <v>4</v>
      </c>
      <c r="J9" s="48">
        <f>PLANTILLA!AC13</f>
        <v>7.5</v>
      </c>
      <c r="K9" s="48">
        <f>PLANTILLA!AD13</f>
        <v>19</v>
      </c>
      <c r="L9" s="94">
        <f>1/13</f>
        <v>7.6923076923076927E-2</v>
      </c>
      <c r="M9" s="94">
        <f t="shared" si="0"/>
        <v>3.8461538461538464E-2</v>
      </c>
      <c r="N9" s="94">
        <f t="shared" si="1"/>
        <v>9.6153846153846159E-3</v>
      </c>
      <c r="O9" s="114"/>
      <c r="P9" s="114"/>
      <c r="Q9" s="114"/>
      <c r="R9" s="114"/>
      <c r="S9" s="114"/>
      <c r="T9" s="114">
        <f t="shared" si="2"/>
        <v>7.6923076923076927E-2</v>
      </c>
      <c r="U9" s="114">
        <f t="shared" si="4"/>
        <v>4.8538461538461544E-2</v>
      </c>
      <c r="V9" s="114"/>
      <c r="W9" s="114"/>
      <c r="X9" s="114">
        <f t="shared" si="3"/>
        <v>7.6923076923076927E-2</v>
      </c>
      <c r="AA9" t="s">
        <v>250</v>
      </c>
      <c r="AB9" t="s">
        <v>177</v>
      </c>
      <c r="AD9" t="s">
        <v>250</v>
      </c>
      <c r="AE9" t="s">
        <v>177</v>
      </c>
    </row>
    <row r="10" spans="1:31" x14ac:dyDescent="0.25">
      <c r="A10" s="4" t="str">
        <f>PLANTILLA!A7</f>
        <v>#2</v>
      </c>
      <c r="B10" s="50" t="str">
        <f>PLANTILLA!D7</f>
        <v>S. Swärdborn</v>
      </c>
      <c r="C10" s="4">
        <f>PLANTILLA!E7</f>
        <v>28</v>
      </c>
      <c r="D10" s="262">
        <f ca="1">PLANTILLA!F7</f>
        <v>88</v>
      </c>
      <c r="E10" s="48">
        <f>PLANTILLA!X7</f>
        <v>0</v>
      </c>
      <c r="F10" s="48">
        <f>PLANTILLA!Y7</f>
        <v>14.85</v>
      </c>
      <c r="G10" s="48">
        <f>PLANTILLA!Z7</f>
        <v>10</v>
      </c>
      <c r="H10" s="48">
        <f>PLANTILLA!AA7</f>
        <v>1</v>
      </c>
      <c r="I10" s="48">
        <f>PLANTILLA!AB7</f>
        <v>3</v>
      </c>
      <c r="J10" s="48">
        <f>PLANTILLA!AC7</f>
        <v>7.916666666666667</v>
      </c>
      <c r="K10" s="48">
        <f>PLANTILLA!AD7</f>
        <v>18.75</v>
      </c>
      <c r="L10" s="94">
        <f>1/5.5</f>
        <v>0.18181818181818182</v>
      </c>
      <c r="M10" s="94">
        <f t="shared" si="0"/>
        <v>9.0909090909090912E-2</v>
      </c>
      <c r="N10" s="94">
        <f t="shared" si="1"/>
        <v>2.2727272727272728E-2</v>
      </c>
      <c r="O10" s="114"/>
      <c r="P10" s="114">
        <f>L10*0.236</f>
        <v>4.2909090909090911E-2</v>
      </c>
      <c r="Q10" s="114">
        <f>L10*0.363</f>
        <v>6.6000000000000003E-2</v>
      </c>
      <c r="R10" s="114">
        <f>L10*0.165</f>
        <v>3.0000000000000002E-2</v>
      </c>
      <c r="S10" s="114">
        <f>L10*0.167</f>
        <v>3.0363636363636367E-2</v>
      </c>
      <c r="T10" s="114"/>
      <c r="U10" s="114"/>
      <c r="V10" s="114"/>
      <c r="W10" s="114"/>
      <c r="X10" s="114">
        <f t="shared" si="3"/>
        <v>6.6000000000000003E-2</v>
      </c>
      <c r="AA10" t="s">
        <v>253</v>
      </c>
      <c r="AB10" t="s">
        <v>129</v>
      </c>
      <c r="AD10" t="s">
        <v>250</v>
      </c>
      <c r="AE10" t="s">
        <v>130</v>
      </c>
    </row>
    <row r="11" spans="1:31" x14ac:dyDescent="0.25">
      <c r="A11" s="4" t="str">
        <f>PLANTILLA!A8</f>
        <v>#19</v>
      </c>
      <c r="B11" s="50" t="str">
        <f>PLANTILLA!D8</f>
        <v>A. Grimaud</v>
      </c>
      <c r="C11" s="4">
        <f>PLANTILLA!E8</f>
        <v>28</v>
      </c>
      <c r="D11" s="262">
        <f ca="1">PLANTILLA!F8</f>
        <v>111</v>
      </c>
      <c r="E11" s="48">
        <f>PLANTILLA!X8</f>
        <v>0</v>
      </c>
      <c r="F11" s="48">
        <f>PLANTILLA!Y8</f>
        <v>14.9</v>
      </c>
      <c r="G11" s="48">
        <f>PLANTILLA!Z8</f>
        <v>10.222222222222221</v>
      </c>
      <c r="H11" s="48">
        <f>PLANTILLA!AA8</f>
        <v>3</v>
      </c>
      <c r="I11" s="48">
        <f>PLANTILLA!AB8</f>
        <v>3</v>
      </c>
      <c r="J11" s="48">
        <f>PLANTILLA!AC8</f>
        <v>7.25</v>
      </c>
      <c r="K11" s="48">
        <f>PLANTILLA!AD8</f>
        <v>18.2</v>
      </c>
      <c r="L11" s="94">
        <f>1/5.5</f>
        <v>0.18181818181818182</v>
      </c>
      <c r="M11" s="94">
        <f t="shared" si="0"/>
        <v>9.0909090909090912E-2</v>
      </c>
      <c r="N11" s="94">
        <f t="shared" si="1"/>
        <v>2.2727272727272728E-2</v>
      </c>
      <c r="O11" s="114"/>
      <c r="P11" s="114">
        <f>L11*0.236</f>
        <v>4.2909090909090911E-2</v>
      </c>
      <c r="Q11" s="114">
        <f t="shared" ref="Q11:Q14" si="5">L11*0.363</f>
        <v>6.6000000000000003E-2</v>
      </c>
      <c r="R11" s="114">
        <f>L11*0.165</f>
        <v>3.0000000000000002E-2</v>
      </c>
      <c r="S11" s="114">
        <f>L11*0.167</f>
        <v>3.0363636363636367E-2</v>
      </c>
      <c r="T11" s="114"/>
      <c r="U11" s="114"/>
      <c r="V11" s="114"/>
      <c r="W11" s="114"/>
      <c r="X11" s="114">
        <f t="shared" si="3"/>
        <v>6.6000000000000003E-2</v>
      </c>
      <c r="AA11" t="s">
        <v>253</v>
      </c>
      <c r="AB11" t="s">
        <v>180</v>
      </c>
      <c r="AD11" t="s">
        <v>253</v>
      </c>
      <c r="AE11" t="s">
        <v>180</v>
      </c>
    </row>
    <row r="12" spans="1:31" x14ac:dyDescent="0.25">
      <c r="A12" s="4" t="str">
        <f>PLANTILLA!A9</f>
        <v>#4</v>
      </c>
      <c r="B12" s="50" t="str">
        <f>PLANTILLA!D9</f>
        <v>E. Deus</v>
      </c>
      <c r="C12" s="4">
        <f>PLANTILLA!E9</f>
        <v>28</v>
      </c>
      <c r="D12" s="262">
        <f ca="1">PLANTILLA!F9</f>
        <v>27</v>
      </c>
      <c r="E12" s="48">
        <f>PLANTILLA!X9</f>
        <v>0</v>
      </c>
      <c r="F12" s="48">
        <f>PLANTILLA!Y9</f>
        <v>14.1</v>
      </c>
      <c r="G12" s="48">
        <f>PLANTILLA!Z9</f>
        <v>9.375</v>
      </c>
      <c r="H12" s="48">
        <f>PLANTILLA!AA9</f>
        <v>1</v>
      </c>
      <c r="I12" s="48">
        <f>PLANTILLA!AB9</f>
        <v>6</v>
      </c>
      <c r="J12" s="48">
        <f>PLANTILLA!AC9</f>
        <v>6.4</v>
      </c>
      <c r="K12" s="48">
        <f>PLANTILLA!AD9</f>
        <v>19.2</v>
      </c>
      <c r="L12" s="94">
        <f>1/5.5</f>
        <v>0.18181818181818182</v>
      </c>
      <c r="M12" s="94">
        <f t="shared" si="0"/>
        <v>9.0909090909090912E-2</v>
      </c>
      <c r="N12" s="94">
        <f t="shared" si="1"/>
        <v>2.2727272727272728E-2</v>
      </c>
      <c r="O12" s="114"/>
      <c r="P12" s="114">
        <f>L12*0.236</f>
        <v>4.2909090909090911E-2</v>
      </c>
      <c r="Q12" s="114">
        <f t="shared" si="5"/>
        <v>6.6000000000000003E-2</v>
      </c>
      <c r="R12" s="114">
        <f>L12*0.165</f>
        <v>3.0000000000000002E-2</v>
      </c>
      <c r="S12" s="114">
        <f>L12*0.167</f>
        <v>3.0363636363636367E-2</v>
      </c>
      <c r="T12" s="114"/>
      <c r="U12" s="114"/>
      <c r="V12" s="114"/>
      <c r="W12" s="114"/>
      <c r="X12" s="114">
        <f t="shared" si="3"/>
        <v>6.6000000000000003E-2</v>
      </c>
      <c r="AA12" t="s">
        <v>21</v>
      </c>
      <c r="AB12" t="s">
        <v>178</v>
      </c>
      <c r="AD12" t="s">
        <v>253</v>
      </c>
      <c r="AE12" t="s">
        <v>158</v>
      </c>
    </row>
    <row r="13" spans="1:31" x14ac:dyDescent="0.25">
      <c r="A13" s="4" t="str">
        <f>PLANTILLA!A6</f>
        <v>#22</v>
      </c>
      <c r="B13" s="50" t="str">
        <f>PLANTILLA!D6</f>
        <v>V. Gardner</v>
      </c>
      <c r="C13" s="4">
        <f>PLANTILLA!E6</f>
        <v>28</v>
      </c>
      <c r="D13" s="262">
        <f ca="1">PLANTILLA!F6</f>
        <v>100</v>
      </c>
      <c r="E13" s="48">
        <f>PLANTILLA!X6</f>
        <v>0</v>
      </c>
      <c r="F13" s="48">
        <f>PLANTILLA!Y6</f>
        <v>15</v>
      </c>
      <c r="G13" s="48">
        <f>PLANTILLA!Z6</f>
        <v>8.375</v>
      </c>
      <c r="H13" s="48">
        <f>PLANTILLA!AA6</f>
        <v>3</v>
      </c>
      <c r="I13" s="48">
        <f>PLANTILLA!AB6</f>
        <v>5</v>
      </c>
      <c r="J13" s="48">
        <f>PLANTILLA!AC6</f>
        <v>7.333333333333333</v>
      </c>
      <c r="K13" s="48">
        <f>PLANTILLA!AD6</f>
        <v>19</v>
      </c>
      <c r="L13" s="94">
        <f>1/5.5</f>
        <v>0.18181818181818182</v>
      </c>
      <c r="M13" s="94">
        <f t="shared" si="0"/>
        <v>9.0909090909090912E-2</v>
      </c>
      <c r="N13" s="94">
        <f t="shared" si="1"/>
        <v>2.2727272727272728E-2</v>
      </c>
      <c r="O13" s="114"/>
      <c r="P13" s="114"/>
      <c r="Q13" s="114">
        <f>L13*0.363</f>
        <v>6.6000000000000003E-2</v>
      </c>
      <c r="R13" s="114">
        <f>L13*0.165</f>
        <v>3.0000000000000002E-2</v>
      </c>
      <c r="S13" s="114">
        <f>L13*0.167</f>
        <v>3.0363636363636367E-2</v>
      </c>
      <c r="T13" s="114"/>
      <c r="U13" s="114"/>
      <c r="V13" s="114"/>
      <c r="W13" s="114"/>
      <c r="X13" s="114">
        <f t="shared" si="3"/>
        <v>6.6000000000000003E-2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62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1/5.5</f>
        <v>0.18181818181818182</v>
      </c>
      <c r="M14" s="94">
        <f t="shared" si="0"/>
        <v>9.0909090909090912E-2</v>
      </c>
      <c r="N14" s="94">
        <f t="shared" si="1"/>
        <v>2.2727272727272728E-2</v>
      </c>
      <c r="O14" s="114"/>
      <c r="P14" s="114"/>
      <c r="Q14" s="114">
        <f t="shared" si="5"/>
        <v>6.6000000000000003E-2</v>
      </c>
      <c r="R14" s="114">
        <f>L14*0.165</f>
        <v>3.0000000000000002E-2</v>
      </c>
      <c r="S14" s="114">
        <f>L14*0.167</f>
        <v>3.0363636363636367E-2</v>
      </c>
      <c r="T14" s="114"/>
      <c r="U14" s="114"/>
      <c r="V14" s="114"/>
      <c r="W14" s="114"/>
      <c r="X14" s="114">
        <f t="shared" si="3"/>
        <v>6.6000000000000003E-2</v>
      </c>
    </row>
    <row r="15" spans="1:31" x14ac:dyDescent="0.25">
      <c r="A15" s="4" t="str">
        <f>PLANTILLA!A5</f>
        <v>#15</v>
      </c>
      <c r="B15" s="50" t="str">
        <f>PLANTILLA!D5</f>
        <v>I. Shirazi</v>
      </c>
      <c r="C15" s="4">
        <f>PLANTILLA!E5</f>
        <v>20</v>
      </c>
      <c r="D15" s="262">
        <f ca="1">PLANTILLA!F5</f>
        <v>88</v>
      </c>
      <c r="E15" s="48">
        <f>PLANTILLA!X5</f>
        <v>7</v>
      </c>
      <c r="F15" s="48">
        <f>PLANTILLA!Y5</f>
        <v>5</v>
      </c>
      <c r="G15" s="48">
        <f>PLANTILLA!Z5</f>
        <v>0</v>
      </c>
      <c r="H15" s="48">
        <f>PLANTILLA!AA5</f>
        <v>0</v>
      </c>
      <c r="I15" s="48">
        <f>PLANTILLA!AB5</f>
        <v>0</v>
      </c>
      <c r="J15" s="48">
        <f>PLANTILLA!AC5</f>
        <v>0</v>
      </c>
      <c r="K15" s="48">
        <f>PLANTILLA!AD5</f>
        <v>12</v>
      </c>
      <c r="L15" s="94"/>
      <c r="M15" s="94"/>
      <c r="N15" s="94"/>
      <c r="O15" s="114"/>
      <c r="P15" s="114"/>
      <c r="Q15" s="114"/>
      <c r="R15" s="114"/>
      <c r="S15" s="114"/>
      <c r="T15" s="114"/>
      <c r="U15" s="114"/>
      <c r="V15" s="114"/>
      <c r="W15" s="114"/>
      <c r="X15" s="114">
        <f t="shared" si="3"/>
        <v>0</v>
      </c>
    </row>
    <row r="16" spans="1:31" x14ac:dyDescent="0.25">
      <c r="A16" s="4" t="str">
        <f>PLANTILLA!A4</f>
        <v>#1</v>
      </c>
      <c r="B16" s="50" t="str">
        <f>PLANTILLA!D4</f>
        <v>L. Guangwei</v>
      </c>
      <c r="C16" s="4">
        <f>PLANTILLA!E4</f>
        <v>29</v>
      </c>
      <c r="D16" s="262">
        <f ca="1">PLANTILLA!F4</f>
        <v>59</v>
      </c>
      <c r="E16" s="48">
        <f>PLANTILLA!X4</f>
        <v>15</v>
      </c>
      <c r="F16" s="48">
        <f>PLANTILLA!Y4</f>
        <v>9.4444444444444446</v>
      </c>
      <c r="G16" s="48">
        <f>PLANTILLA!Z4</f>
        <v>3</v>
      </c>
      <c r="H16" s="48">
        <f>PLANTILLA!AA4</f>
        <v>1</v>
      </c>
      <c r="I16" s="48">
        <f>PLANTILLA!AB4</f>
        <v>5</v>
      </c>
      <c r="J16" s="48">
        <f>PLANTILLA!AC4</f>
        <v>5.6</v>
      </c>
      <c r="K16" s="48">
        <f>PLANTILLA!AD4</f>
        <v>22</v>
      </c>
      <c r="L16" s="94"/>
      <c r="M16" s="94"/>
      <c r="N16" s="9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3"/>
        <v>0</v>
      </c>
    </row>
    <row r="17" spans="1:24" x14ac:dyDescent="0.25">
      <c r="A17" s="4" t="str">
        <f>PLANTILLA!A12</f>
        <v>#2</v>
      </c>
      <c r="B17" s="50" t="str">
        <f>PLANTILLA!D12</f>
        <v>T. McPhail</v>
      </c>
      <c r="C17" s="4">
        <f>PLANTILLA!E12</f>
        <v>28</v>
      </c>
      <c r="D17" s="262">
        <f ca="1">PLANTILLA!F12</f>
        <v>8</v>
      </c>
      <c r="E17" s="48">
        <f>PLANTILLA!X12</f>
        <v>0</v>
      </c>
      <c r="F17" s="48">
        <f>PLANTILLA!Y12</f>
        <v>13</v>
      </c>
      <c r="G17" s="48">
        <f>PLANTILLA!Z12</f>
        <v>14</v>
      </c>
      <c r="H17" s="48">
        <f>PLANTILLA!AA12</f>
        <v>4</v>
      </c>
      <c r="I17" s="48">
        <f>PLANTILLA!AB12</f>
        <v>5</v>
      </c>
      <c r="J17" s="48">
        <f>PLANTILLA!AC12</f>
        <v>9</v>
      </c>
      <c r="K17" s="48">
        <f>PLANTILLA!AD12</f>
        <v>16</v>
      </c>
      <c r="L17"/>
      <c r="M17" s="94"/>
      <c r="N17" s="9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62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4"/>
      <c r="M18" s="94"/>
      <c r="N18" s="9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3"/>
        <v>0</v>
      </c>
    </row>
    <row r="19" spans="1:24" x14ac:dyDescent="0.25">
      <c r="A19" s="4" t="str">
        <f>PLANTILLA!A10</f>
        <v>#3</v>
      </c>
      <c r="B19" s="50" t="str">
        <f>PLANTILLA!D10</f>
        <v>K. Polyukhov</v>
      </c>
      <c r="C19" s="4">
        <f>PLANTILLA!E10</f>
        <v>30</v>
      </c>
      <c r="D19" s="262">
        <f ca="1">PLANTILLA!F10</f>
        <v>98</v>
      </c>
      <c r="E19" s="48">
        <f>PLANTILLA!X10</f>
        <v>0</v>
      </c>
      <c r="F19" s="48">
        <f>PLANTILLA!Y10</f>
        <v>14.590909090909092</v>
      </c>
      <c r="G19" s="48">
        <f>PLANTILLA!Z10</f>
        <v>13</v>
      </c>
      <c r="H19" s="48">
        <f>PLANTILLA!AA10</f>
        <v>1</v>
      </c>
      <c r="I19" s="48">
        <f>PLANTILLA!AB10</f>
        <v>9</v>
      </c>
      <c r="J19" s="48">
        <f>PLANTILLA!AC10</f>
        <v>9</v>
      </c>
      <c r="K19" s="48">
        <f>PLANTILLA!AD10</f>
        <v>16</v>
      </c>
      <c r="L19" s="94"/>
      <c r="M19" s="94"/>
      <c r="N19" s="9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62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9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62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9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62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4"/>
      <c r="M22" s="94"/>
      <c r="N22" s="9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7" customWidth="1"/>
    <col min="13" max="13" width="8.28515625" style="57" customWidth="1"/>
    <col min="14" max="14" width="4.5703125" style="57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412</v>
      </c>
      <c r="AB1" t="s">
        <v>413</v>
      </c>
      <c r="AE1" t="s">
        <v>414</v>
      </c>
    </row>
    <row r="2" spans="1:32" x14ac:dyDescent="0.25">
      <c r="B2" s="73">
        <v>44035</v>
      </c>
      <c r="X2" s="200">
        <f>SUM(X4:X14)</f>
        <v>0.38748802083333334</v>
      </c>
      <c r="Y2" s="200">
        <f>SUM(Y4:Y14)</f>
        <v>1.6239345238095169</v>
      </c>
      <c r="Z2" s="200" t="e">
        <f>SUM(Z4:Z14)</f>
        <v>#REF!</v>
      </c>
      <c r="AA2" s="451" t="e">
        <f>Z2+Y2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415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5">
        <v>1</v>
      </c>
      <c r="M3" s="79" t="s">
        <v>416</v>
      </c>
      <c r="N3" s="197" t="s">
        <v>14</v>
      </c>
      <c r="O3" s="197" t="s">
        <v>407</v>
      </c>
      <c r="P3" s="196" t="s">
        <v>417</v>
      </c>
      <c r="Q3" s="196" t="s">
        <v>418</v>
      </c>
      <c r="R3" s="196" t="s">
        <v>419</v>
      </c>
      <c r="S3" s="196" t="s">
        <v>121</v>
      </c>
      <c r="T3" s="196" t="s">
        <v>250</v>
      </c>
      <c r="U3" s="196" t="s">
        <v>420</v>
      </c>
      <c r="V3" s="197" t="s">
        <v>122</v>
      </c>
      <c r="W3" s="197" t="s">
        <v>21</v>
      </c>
      <c r="X3" s="198" t="s">
        <v>424</v>
      </c>
      <c r="Y3" s="198" t="s">
        <v>425</v>
      </c>
      <c r="Z3" s="198" t="s">
        <v>426</v>
      </c>
      <c r="AB3" t="s">
        <v>14</v>
      </c>
      <c r="AC3" t="s">
        <v>125</v>
      </c>
      <c r="AE3" t="s">
        <v>14</v>
      </c>
      <c r="AF3" t="s">
        <v>125</v>
      </c>
    </row>
    <row r="4" spans="1:32" x14ac:dyDescent="0.25">
      <c r="A4" s="4" t="str">
        <f>PLANTILLA!A8</f>
        <v>#19</v>
      </c>
      <c r="B4" s="251" t="str">
        <f>PLANTILLA!D8</f>
        <v>A. Grimaud</v>
      </c>
      <c r="C4" s="4">
        <f>PLANTILLA!E8</f>
        <v>28</v>
      </c>
      <c r="D4" s="262">
        <f ca="1">PLANTILLA!F8</f>
        <v>111</v>
      </c>
      <c r="E4" s="48">
        <f>PLANTILLA!X8</f>
        <v>0</v>
      </c>
      <c r="F4" s="48">
        <f>PLANTILLA!Y8</f>
        <v>14.9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4">
        <f>1/5</f>
        <v>0.2</v>
      </c>
      <c r="M4" s="94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/>
      <c r="Y4" s="114"/>
      <c r="Z4" s="114">
        <f t="shared" ref="Z4:Z8" si="1">(1.66*(J4+M4)+0.55*(K4)-7.6)-(1.66*(J4)+0.55*(K4)-7.6)</f>
        <v>5.5333333333329904E-2</v>
      </c>
      <c r="AB4" t="s">
        <v>406</v>
      </c>
      <c r="AC4" t="s">
        <v>422</v>
      </c>
      <c r="AE4" t="s">
        <v>406</v>
      </c>
      <c r="AF4" t="str">
        <f>AC4</f>
        <v>B. Pinczehelyi</v>
      </c>
    </row>
    <row r="5" spans="1:32" x14ac:dyDescent="0.25">
      <c r="A5" s="4" t="str">
        <f>PLANTILLA!A9</f>
        <v>#4</v>
      </c>
      <c r="B5" s="251" t="str">
        <f>PLANTILLA!D9</f>
        <v>E. Deus</v>
      </c>
      <c r="C5" s="4">
        <f>PLANTILLA!E9</f>
        <v>28</v>
      </c>
      <c r="D5" s="262">
        <f ca="1">PLANTILLA!F9</f>
        <v>27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1/4</f>
        <v>0.25</v>
      </c>
      <c r="M5" s="94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/>
      <c r="Y5" s="114"/>
      <c r="Z5" s="114">
        <f t="shared" si="1"/>
        <v>6.9166666666664156E-2</v>
      </c>
      <c r="AB5" t="s">
        <v>407</v>
      </c>
      <c r="AC5" t="s">
        <v>176</v>
      </c>
      <c r="AE5" t="s">
        <v>411</v>
      </c>
      <c r="AF5" t="s">
        <v>175</v>
      </c>
    </row>
    <row r="6" spans="1:32" x14ac:dyDescent="0.25">
      <c r="A6" s="4" t="str">
        <f>PLANTILLA!A7</f>
        <v>#2</v>
      </c>
      <c r="B6" s="251" t="str">
        <f>PLANTILLA!D7</f>
        <v>S. Swärdborn</v>
      </c>
      <c r="C6" s="4">
        <f>PLANTILLA!E7</f>
        <v>28</v>
      </c>
      <c r="D6" s="262">
        <f ca="1">PLANTILLA!F7</f>
        <v>88</v>
      </c>
      <c r="E6" s="48">
        <f>PLANTILLA!X7</f>
        <v>0</v>
      </c>
      <c r="F6" s="48">
        <f>PLANTILLA!Y7</f>
        <v>14.85</v>
      </c>
      <c r="G6" s="48">
        <f>PLANTILLA!Z7</f>
        <v>10</v>
      </c>
      <c r="H6" s="48">
        <f>PLANTILLA!AA7</f>
        <v>1</v>
      </c>
      <c r="I6" s="48">
        <f>PLANTILLA!AB7</f>
        <v>3</v>
      </c>
      <c r="J6" s="48">
        <f>PLANTILLA!AC7</f>
        <v>7.916666666666667</v>
      </c>
      <c r="K6" s="48">
        <f>PLANTILLA!AD7</f>
        <v>18.75</v>
      </c>
      <c r="L6" s="94">
        <f>1/6</f>
        <v>0.16666666666666666</v>
      </c>
      <c r="M6" s="94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/>
      <c r="Y6" s="114"/>
      <c r="Z6" s="114">
        <f t="shared" si="1"/>
        <v>4.6111111111109437E-2</v>
      </c>
      <c r="AB6" t="s">
        <v>406</v>
      </c>
      <c r="AC6" t="s">
        <v>128</v>
      </c>
      <c r="AE6" t="s">
        <v>120</v>
      </c>
      <c r="AF6" t="s">
        <v>128</v>
      </c>
    </row>
    <row r="7" spans="1:32" x14ac:dyDescent="0.25">
      <c r="A7" s="4" t="str">
        <f>PLANTILLA!A6</f>
        <v>#22</v>
      </c>
      <c r="B7" s="251" t="str">
        <f>PLANTILLA!D6</f>
        <v>V. Gardner</v>
      </c>
      <c r="C7" s="4">
        <f>PLANTILLA!E6</f>
        <v>28</v>
      </c>
      <c r="D7" s="262">
        <f ca="1">PLANTILLA!F6</f>
        <v>100</v>
      </c>
      <c r="E7" s="48">
        <f>PLANTILLA!X6</f>
        <v>0</v>
      </c>
      <c r="F7" s="48">
        <f>PLANTILLA!Y6</f>
        <v>15</v>
      </c>
      <c r="G7" s="48">
        <f>PLANTILLA!Z6</f>
        <v>8.375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4">
        <f>1/6</f>
        <v>0.16666666666666666</v>
      </c>
      <c r="M7" s="94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/>
      <c r="Y7" s="114"/>
      <c r="Z7" s="114">
        <f t="shared" si="1"/>
        <v>4.6111111111109437E-2</v>
      </c>
      <c r="AB7" t="s">
        <v>250</v>
      </c>
      <c r="AC7" t="s">
        <v>130</v>
      </c>
      <c r="AE7" t="s">
        <v>411</v>
      </c>
      <c r="AF7" t="s">
        <v>174</v>
      </c>
    </row>
    <row r="8" spans="1:32" x14ac:dyDescent="0.25">
      <c r="A8" s="4" t="e">
        <f>PLANTILLA!#REF!</f>
        <v>#REF!</v>
      </c>
      <c r="B8" s="251" t="e">
        <f>PLANTILLA!#REF!</f>
        <v>#REF!</v>
      </c>
      <c r="C8" s="4" t="e">
        <f>PLANTILLA!#REF!</f>
        <v>#REF!</v>
      </c>
      <c r="D8" s="262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94">
        <f>1/5</f>
        <v>0.2</v>
      </c>
      <c r="M8" s="94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14"/>
      <c r="Y8" s="114"/>
      <c r="Z8" s="114" t="e">
        <f t="shared" si="1"/>
        <v>#REF!</v>
      </c>
      <c r="AB8" t="s">
        <v>121</v>
      </c>
      <c r="AC8" t="s">
        <v>179</v>
      </c>
      <c r="AE8" t="s">
        <v>406</v>
      </c>
      <c r="AF8" t="s">
        <v>129</v>
      </c>
    </row>
    <row r="9" spans="1:32" x14ac:dyDescent="0.25">
      <c r="A9" s="4" t="str">
        <f>PLANTILLA!A16</f>
        <v>#16</v>
      </c>
      <c r="B9" s="251" t="str">
        <f>PLANTILLA!D16</f>
        <v>I. Vanags</v>
      </c>
      <c r="C9" s="4">
        <f>PLANTILLA!E16</f>
        <v>28</v>
      </c>
      <c r="D9" s="262">
        <f ca="1">PLANTILLA!F16</f>
        <v>87</v>
      </c>
      <c r="E9" s="48">
        <f>PLANTILLA!X16</f>
        <v>0</v>
      </c>
      <c r="F9" s="48">
        <f>PLANTILLA!Y16</f>
        <v>10</v>
      </c>
      <c r="G9" s="48">
        <f>PLANTILLA!Z16</f>
        <v>15</v>
      </c>
      <c r="H9" s="48">
        <f>PLANTILLA!AA16</f>
        <v>3</v>
      </c>
      <c r="I9" s="48">
        <f>PLANTILLA!AB16</f>
        <v>4</v>
      </c>
      <c r="J9" s="48">
        <f>PLANTILLA!AC16</f>
        <v>8.375</v>
      </c>
      <c r="K9" s="48">
        <f>PLANTILLA!AD16</f>
        <v>19.399999999999999</v>
      </c>
      <c r="L9" s="94">
        <f>1/6.4</f>
        <v>0.15625</v>
      </c>
      <c r="M9" s="94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14">
        <f t="shared" ref="X9:X14" si="6">MAX(N9:W9)</f>
        <v>6.5401278409090907E-2</v>
      </c>
      <c r="Y9" s="114">
        <f t="shared" ref="Y9:Y14" si="7">(1.66*(J9+L9)+0.55*(K9)-7.6)-(1.66*(J9)+0.55*(K9)-7.6)</f>
        <v>0.25937499999999858</v>
      </c>
      <c r="Z9" s="114"/>
      <c r="AB9" t="s">
        <v>250</v>
      </c>
      <c r="AC9" t="s">
        <v>177</v>
      </c>
      <c r="AE9" t="s">
        <v>250</v>
      </c>
      <c r="AF9" t="s">
        <v>177</v>
      </c>
    </row>
    <row r="10" spans="1:32" x14ac:dyDescent="0.25">
      <c r="A10" s="4" t="str">
        <f>PLANTILLA!A15</f>
        <v>#12</v>
      </c>
      <c r="B10" s="251" t="str">
        <f>PLANTILLA!D15</f>
        <v>P. Tuderek</v>
      </c>
      <c r="C10" s="4">
        <f>PLANTILLA!E15</f>
        <v>28</v>
      </c>
      <c r="D10" s="262">
        <f ca="1">PLANTILLA!F15</f>
        <v>89</v>
      </c>
      <c r="E10" s="48">
        <f>PLANTILLA!X15</f>
        <v>0</v>
      </c>
      <c r="F10" s="48">
        <f>PLANTILLA!Y15</f>
        <v>11.307692307692308</v>
      </c>
      <c r="G10" s="48">
        <f>PLANTILLA!Z15</f>
        <v>14.333333333333334</v>
      </c>
      <c r="H10" s="48">
        <f>PLANTILLA!AA15</f>
        <v>2</v>
      </c>
      <c r="I10" s="48">
        <f>PLANTILLA!AB15</f>
        <v>3</v>
      </c>
      <c r="J10" s="48">
        <f>PLANTILLA!AC15</f>
        <v>8</v>
      </c>
      <c r="K10" s="48">
        <f>PLANTILLA!AD15</f>
        <v>20.166666666666668</v>
      </c>
      <c r="L10" s="94">
        <f>1/6</f>
        <v>0.16666666666666666</v>
      </c>
      <c r="M10" s="94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14">
        <f t="shared" si="6"/>
        <v>6.2753787878787881E-2</v>
      </c>
      <c r="Y10" s="114">
        <f t="shared" si="7"/>
        <v>0.27666666666666373</v>
      </c>
      <c r="Z10" s="114"/>
      <c r="AB10" t="s">
        <v>253</v>
      </c>
      <c r="AC10" t="s">
        <v>129</v>
      </c>
      <c r="AE10" t="s">
        <v>250</v>
      </c>
      <c r="AF10" t="s">
        <v>130</v>
      </c>
    </row>
    <row r="11" spans="1:32" x14ac:dyDescent="0.25">
      <c r="A11" s="4" t="str">
        <f>PLANTILLA!A13</f>
        <v>#10</v>
      </c>
      <c r="B11" s="251" t="str">
        <f>PLANTILLA!D13</f>
        <v>R. Forsyth</v>
      </c>
      <c r="C11" s="4">
        <f>PLANTILLA!E13</f>
        <v>29</v>
      </c>
      <c r="D11" s="262">
        <f ca="1">PLANTILLA!F13</f>
        <v>32</v>
      </c>
      <c r="E11" s="48">
        <f>PLANTILLA!X13</f>
        <v>0</v>
      </c>
      <c r="F11" s="48">
        <f>PLANTILLA!Y13</f>
        <v>11.76923076923077</v>
      </c>
      <c r="G11" s="48">
        <f>PLANTILLA!Z13</f>
        <v>15</v>
      </c>
      <c r="H11" s="48">
        <f>PLANTILLA!AA13</f>
        <v>3</v>
      </c>
      <c r="I11" s="48">
        <f>PLANTILLA!AB13</f>
        <v>4</v>
      </c>
      <c r="J11" s="48">
        <f>PLANTILLA!AC13</f>
        <v>7.5</v>
      </c>
      <c r="K11" s="48">
        <f>PLANTILLA!AD13</f>
        <v>19</v>
      </c>
      <c r="L11" s="94">
        <f>1/5</f>
        <v>0.2</v>
      </c>
      <c r="M11" s="94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14">
        <f t="shared" si="6"/>
        <v>7.5304545454545457E-2</v>
      </c>
      <c r="Y11" s="114">
        <f t="shared" si="7"/>
        <v>0.33200000000000074</v>
      </c>
      <c r="Z11" s="114"/>
      <c r="AB11" t="s">
        <v>253</v>
      </c>
      <c r="AC11" t="s">
        <v>180</v>
      </c>
      <c r="AE11" t="s">
        <v>253</v>
      </c>
      <c r="AF11" t="s">
        <v>180</v>
      </c>
    </row>
    <row r="12" spans="1:32" x14ac:dyDescent="0.25">
      <c r="A12" s="4" t="str">
        <f>PLANTILLA!A19</f>
        <v>#9</v>
      </c>
      <c r="B12" s="251" t="str">
        <f>PLANTILLA!D19</f>
        <v>M. Bondarewski</v>
      </c>
      <c r="C12" s="4">
        <f>PLANTILLA!E19</f>
        <v>28</v>
      </c>
      <c r="D12" s="262">
        <f ca="1">PLANTILLA!F19</f>
        <v>103</v>
      </c>
      <c r="E12" s="48">
        <f>PLANTILLA!X19</f>
        <v>0</v>
      </c>
      <c r="F12" s="48">
        <f>PLANTILLA!Y19</f>
        <v>8.3333333333333339</v>
      </c>
      <c r="G12" s="48">
        <f>PLANTILLA!Z19</f>
        <v>15</v>
      </c>
      <c r="H12" s="48">
        <f>PLANTILLA!AA19</f>
        <v>5</v>
      </c>
      <c r="I12" s="48">
        <f>PLANTILLA!AB19</f>
        <v>4</v>
      </c>
      <c r="J12" s="48">
        <f>PLANTILLA!AC19</f>
        <v>9.125</v>
      </c>
      <c r="K12" s="48">
        <f>PLANTILLA!AD19</f>
        <v>20.166666666666668</v>
      </c>
      <c r="L12" s="94">
        <f>1/6.4</f>
        <v>0.15625</v>
      </c>
      <c r="M12" s="94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14">
        <f t="shared" si="6"/>
        <v>6.5401278409090907E-2</v>
      </c>
      <c r="Y12" s="114">
        <f t="shared" si="7"/>
        <v>0.25937499999999858</v>
      </c>
      <c r="Z12" s="114"/>
      <c r="AB12" t="s">
        <v>21</v>
      </c>
      <c r="AC12" t="s">
        <v>178</v>
      </c>
      <c r="AE12" t="s">
        <v>253</v>
      </c>
      <c r="AF12" t="s">
        <v>158</v>
      </c>
    </row>
    <row r="13" spans="1:32" x14ac:dyDescent="0.25">
      <c r="A13" s="4" t="str">
        <f>PLANTILLA!A18</f>
        <v>#14</v>
      </c>
      <c r="B13" s="251" t="str">
        <f>PLANTILLA!D18</f>
        <v>G. Piscaer</v>
      </c>
      <c r="C13" s="4">
        <f>PLANTILLA!E18</f>
        <v>28</v>
      </c>
      <c r="D13" s="262">
        <f ca="1">PLANTILLA!F18</f>
        <v>103</v>
      </c>
      <c r="E13" s="48">
        <f>PLANTILLA!X18</f>
        <v>0</v>
      </c>
      <c r="F13" s="48">
        <f>PLANTILLA!Y18</f>
        <v>9.5</v>
      </c>
      <c r="G13" s="48">
        <f>PLANTILLA!Z18</f>
        <v>15.19047619047619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4">
        <f>1/6.4</f>
        <v>0.15625</v>
      </c>
      <c r="M13" s="94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14">
        <f t="shared" si="6"/>
        <v>5.8831676136363635E-2</v>
      </c>
      <c r="Y13" s="114">
        <f t="shared" si="7"/>
        <v>0.25937499999999858</v>
      </c>
      <c r="Z13" s="114"/>
      <c r="AB13" t="s">
        <v>21</v>
      </c>
      <c r="AC13" t="s">
        <v>158</v>
      </c>
      <c r="AE13" t="s">
        <v>21</v>
      </c>
      <c r="AF13" t="s">
        <v>178</v>
      </c>
    </row>
    <row r="14" spans="1:32" x14ac:dyDescent="0.25">
      <c r="A14" s="4" t="str">
        <f>PLANTILLA!A17</f>
        <v>#8</v>
      </c>
      <c r="B14" s="251" t="str">
        <f>PLANTILLA!D17</f>
        <v>I. Stone</v>
      </c>
      <c r="C14" s="4">
        <f>PLANTILLA!E17</f>
        <v>28</v>
      </c>
      <c r="D14" s="262">
        <f ca="1">PLANTILLA!F17</f>
        <v>30</v>
      </c>
      <c r="E14" s="48">
        <f>PLANTILLA!X17</f>
        <v>0</v>
      </c>
      <c r="F14" s="48">
        <f>PLANTILLA!Y17</f>
        <v>8.3333333333333339</v>
      </c>
      <c r="G14" s="48">
        <f>PLANTILLA!Z17</f>
        <v>14</v>
      </c>
      <c r="H14" s="48">
        <f>PLANTILLA!AA17</f>
        <v>2</v>
      </c>
      <c r="I14" s="48">
        <f>PLANTILLA!AB17</f>
        <v>6</v>
      </c>
      <c r="J14" s="48">
        <f>PLANTILLA!AC17</f>
        <v>10.199999999999999</v>
      </c>
      <c r="K14" s="48">
        <f>PLANTILLA!AD17</f>
        <v>19</v>
      </c>
      <c r="L14" s="94">
        <f>1/7</f>
        <v>0.14285714285714285</v>
      </c>
      <c r="M14" s="94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14">
        <f t="shared" si="6"/>
        <v>5.9795454545454547E-2</v>
      </c>
      <c r="Y14" s="114">
        <f t="shared" si="7"/>
        <v>0.23714285714285666</v>
      </c>
      <c r="Z14" s="114"/>
    </row>
  </sheetData>
  <sortState xmlns:xlrd2="http://schemas.microsoft.com/office/spreadsheetml/2017/richdata2"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412</v>
      </c>
      <c r="O1"/>
      <c r="AA1" t="s">
        <v>413</v>
      </c>
      <c r="AD1" t="s">
        <v>414</v>
      </c>
    </row>
    <row r="2" spans="1:31" x14ac:dyDescent="0.25">
      <c r="B2" s="201">
        <v>44035</v>
      </c>
      <c r="O2"/>
      <c r="X2" s="200">
        <f>SUM(X4:X14)</f>
        <v>0.19899864907819456</v>
      </c>
      <c r="Y2" s="451" t="e">
        <f>SUM(Y4:Y14)</f>
        <v>#REF!</v>
      </c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415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5">
        <v>0.5</v>
      </c>
      <c r="M3" s="195" t="s">
        <v>170</v>
      </c>
      <c r="N3" s="197" t="s">
        <v>14</v>
      </c>
      <c r="O3" s="197" t="s">
        <v>407</v>
      </c>
      <c r="P3" s="196" t="s">
        <v>417</v>
      </c>
      <c r="Q3" s="196" t="s">
        <v>418</v>
      </c>
      <c r="R3" s="196" t="s">
        <v>419</v>
      </c>
      <c r="S3" s="196" t="s">
        <v>121</v>
      </c>
      <c r="T3" s="196" t="s">
        <v>250</v>
      </c>
      <c r="U3" s="196" t="s">
        <v>420</v>
      </c>
      <c r="V3" s="197" t="s">
        <v>122</v>
      </c>
      <c r="W3" s="197" t="s">
        <v>21</v>
      </c>
      <c r="X3" s="198" t="s">
        <v>424</v>
      </c>
      <c r="Y3" s="198" t="s">
        <v>427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str">
        <f>PLANTILLA!A8</f>
        <v>#19</v>
      </c>
      <c r="B4" s="251" t="str">
        <f>PLANTILLA!D8</f>
        <v>A. Grimaud</v>
      </c>
      <c r="C4" s="4">
        <f>PLANTILLA!E8</f>
        <v>28</v>
      </c>
      <c r="D4" s="262">
        <f ca="1">PLANTILLA!F8</f>
        <v>111</v>
      </c>
      <c r="E4" s="48">
        <f>PLANTILLA!X8</f>
        <v>0</v>
      </c>
      <c r="F4" s="48">
        <f>PLANTILLA!Y8</f>
        <v>14.9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4">
        <f>1/9</f>
        <v>0.1111111111111111</v>
      </c>
      <c r="M4" s="94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>
        <f t="shared" ref="X4:X14" si="0">MAX(N4:W4)</f>
        <v>0</v>
      </c>
      <c r="Y4" s="114">
        <f t="shared" ref="Y4:Y14" si="1">(1.66*(J4+L4)+0.55*(K4+M4)-7.6)-(1.66*(J4)+0.55*(K4)-7.6)</f>
        <v>0.20481481481481367</v>
      </c>
      <c r="AA4" t="s">
        <v>406</v>
      </c>
      <c r="AB4" t="s">
        <v>422</v>
      </c>
      <c r="AD4" t="s">
        <v>406</v>
      </c>
      <c r="AE4" t="str">
        <f>AB4</f>
        <v>B. Pinczehelyi</v>
      </c>
    </row>
    <row r="5" spans="1:31" x14ac:dyDescent="0.25">
      <c r="A5" s="4" t="str">
        <f>PLANTILLA!A9</f>
        <v>#4</v>
      </c>
      <c r="B5" s="251" t="str">
        <f>PLANTILLA!D9</f>
        <v>E. Deus</v>
      </c>
      <c r="C5" s="4">
        <f>PLANTILLA!E9</f>
        <v>28</v>
      </c>
      <c r="D5" s="262">
        <f ca="1">PLANTILLA!F9</f>
        <v>27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1/9</f>
        <v>0.1111111111111111</v>
      </c>
      <c r="M5" s="94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>
        <f t="shared" si="0"/>
        <v>0</v>
      </c>
      <c r="Y5" s="114">
        <f t="shared" si="1"/>
        <v>0.20015873015872998</v>
      </c>
      <c r="AA5" t="s">
        <v>407</v>
      </c>
      <c r="AB5" t="s">
        <v>176</v>
      </c>
      <c r="AD5" t="s">
        <v>411</v>
      </c>
      <c r="AE5" t="s">
        <v>175</v>
      </c>
    </row>
    <row r="6" spans="1:31" x14ac:dyDescent="0.25">
      <c r="A6" s="4" t="str">
        <f>PLANTILLA!A7</f>
        <v>#2</v>
      </c>
      <c r="B6" s="251" t="str">
        <f>PLANTILLA!D7</f>
        <v>S. Swärdborn</v>
      </c>
      <c r="C6" s="4">
        <f>PLANTILLA!E7</f>
        <v>28</v>
      </c>
      <c r="D6" s="262">
        <f ca="1">PLANTILLA!F7</f>
        <v>88</v>
      </c>
      <c r="E6" s="48">
        <f>PLANTILLA!X7</f>
        <v>0</v>
      </c>
      <c r="F6" s="48">
        <f>PLANTILLA!Y7</f>
        <v>14.85</v>
      </c>
      <c r="G6" s="48">
        <f>PLANTILLA!Z7</f>
        <v>10</v>
      </c>
      <c r="H6" s="48">
        <f>PLANTILLA!AA7</f>
        <v>1</v>
      </c>
      <c r="I6" s="48">
        <f>PLANTILLA!AB7</f>
        <v>3</v>
      </c>
      <c r="J6" s="48">
        <f>PLANTILLA!AC7</f>
        <v>7.916666666666667</v>
      </c>
      <c r="K6" s="48">
        <f>PLANTILLA!AD7</f>
        <v>18.75</v>
      </c>
      <c r="L6" s="94">
        <f>1/11</f>
        <v>9.0909090909090912E-2</v>
      </c>
      <c r="M6" s="94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>
        <f t="shared" si="0"/>
        <v>0</v>
      </c>
      <c r="Y6" s="114">
        <f t="shared" si="1"/>
        <v>0.16662337662337556</v>
      </c>
      <c r="AA6" t="s">
        <v>406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PLANTILLA!A6</f>
        <v>#22</v>
      </c>
      <c r="B7" s="251" t="str">
        <f>PLANTILLA!D6</f>
        <v>V. Gardner</v>
      </c>
      <c r="C7" s="4">
        <f>PLANTILLA!E6</f>
        <v>28</v>
      </c>
      <c r="D7" s="262">
        <f ca="1">PLANTILLA!F6</f>
        <v>100</v>
      </c>
      <c r="E7" s="48">
        <f>PLANTILLA!X6</f>
        <v>0</v>
      </c>
      <c r="F7" s="48">
        <f>PLANTILLA!Y6</f>
        <v>15</v>
      </c>
      <c r="G7" s="48">
        <f>PLANTILLA!Z6</f>
        <v>8.375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4">
        <f>1/11</f>
        <v>9.0909090909090912E-2</v>
      </c>
      <c r="M7" s="94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>
        <f t="shared" si="0"/>
        <v>0</v>
      </c>
      <c r="Y7" s="114">
        <f t="shared" si="1"/>
        <v>0.16662337662337379</v>
      </c>
      <c r="AA7" t="s">
        <v>250</v>
      </c>
      <c r="AB7" t="s">
        <v>130</v>
      </c>
      <c r="AD7" t="s">
        <v>411</v>
      </c>
      <c r="AE7" t="s">
        <v>174</v>
      </c>
    </row>
    <row r="8" spans="1:31" x14ac:dyDescent="0.25">
      <c r="A8" s="4" t="str">
        <f>PLANTILLA!A13</f>
        <v>#10</v>
      </c>
      <c r="B8" s="251" t="str">
        <f>PLANTILLA!D13</f>
        <v>R. Forsyth</v>
      </c>
      <c r="C8" s="4">
        <f>PLANTILLA!E13</f>
        <v>29</v>
      </c>
      <c r="D8" s="262">
        <f ca="1">PLANTILLA!F13</f>
        <v>32</v>
      </c>
      <c r="E8" s="48">
        <f>PLANTILLA!X13</f>
        <v>0</v>
      </c>
      <c r="F8" s="48">
        <f>PLANTILLA!Y13</f>
        <v>11.76923076923077</v>
      </c>
      <c r="G8" s="48">
        <f>PLANTILLA!Z13</f>
        <v>15</v>
      </c>
      <c r="H8" s="48">
        <f>PLANTILLA!AA13</f>
        <v>3</v>
      </c>
      <c r="I8" s="48">
        <f>PLANTILLA!AB13</f>
        <v>4</v>
      </c>
      <c r="J8" s="48">
        <f>PLANTILLA!AC13</f>
        <v>7.5</v>
      </c>
      <c r="K8" s="48">
        <f>PLANTILLA!AD13</f>
        <v>19</v>
      </c>
      <c r="L8" s="94">
        <f>1/10</f>
        <v>0.1</v>
      </c>
      <c r="M8" s="94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14">
        <f t="shared" si="0"/>
        <v>3.7652272727272729E-2</v>
      </c>
      <c r="Y8" s="114">
        <f t="shared" si="1"/>
        <v>0.18637037037037274</v>
      </c>
      <c r="AA8" t="s">
        <v>121</v>
      </c>
      <c r="AB8" t="s">
        <v>179</v>
      </c>
      <c r="AD8" t="s">
        <v>406</v>
      </c>
      <c r="AE8" t="s">
        <v>129</v>
      </c>
    </row>
    <row r="9" spans="1:31" x14ac:dyDescent="0.25">
      <c r="A9" s="4" t="e">
        <f>PLANTILLA!#REF!</f>
        <v>#REF!</v>
      </c>
      <c r="B9" s="251" t="e">
        <f>PLANTILLA!#REF!</f>
        <v>#REF!</v>
      </c>
      <c r="C9" s="4" t="e">
        <f>PLANTILLA!#REF!</f>
        <v>#REF!</v>
      </c>
      <c r="D9" s="262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94">
        <f>1/10</f>
        <v>0.1</v>
      </c>
      <c r="M9" s="94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14">
        <f t="shared" si="0"/>
        <v>0</v>
      </c>
      <c r="Y9" s="114" t="e">
        <f t="shared" si="1"/>
        <v>#REF!</v>
      </c>
      <c r="AA9" t="s">
        <v>250</v>
      </c>
      <c r="AB9" t="s">
        <v>177</v>
      </c>
      <c r="AD9" t="s">
        <v>250</v>
      </c>
      <c r="AE9" t="s">
        <v>177</v>
      </c>
    </row>
    <row r="10" spans="1:31" x14ac:dyDescent="0.25">
      <c r="A10" s="4" t="str">
        <f>PLANTILLA!A15</f>
        <v>#12</v>
      </c>
      <c r="B10" s="251" t="str">
        <f>PLANTILLA!D15</f>
        <v>P. Tuderek</v>
      </c>
      <c r="C10" s="4">
        <f>PLANTILLA!E15</f>
        <v>28</v>
      </c>
      <c r="D10" s="262">
        <f ca="1">PLANTILLA!F15</f>
        <v>89</v>
      </c>
      <c r="E10" s="48">
        <f>PLANTILLA!X15</f>
        <v>0</v>
      </c>
      <c r="F10" s="48">
        <f>PLANTILLA!Y15</f>
        <v>11.307692307692308</v>
      </c>
      <c r="G10" s="48">
        <f>PLANTILLA!Z15</f>
        <v>14.333333333333334</v>
      </c>
      <c r="H10" s="48">
        <f>PLANTILLA!AA15</f>
        <v>2</v>
      </c>
      <c r="I10" s="48">
        <f>PLANTILLA!AB15</f>
        <v>3</v>
      </c>
      <c r="J10" s="48">
        <f>PLANTILLA!AC15</f>
        <v>8</v>
      </c>
      <c r="K10" s="48">
        <f>PLANTILLA!AD15</f>
        <v>20.166666666666668</v>
      </c>
      <c r="L10" s="94">
        <f>1/11</f>
        <v>9.0909090909090912E-2</v>
      </c>
      <c r="M10" s="94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14">
        <f t="shared" si="0"/>
        <v>3.4229338842975209E-2</v>
      </c>
      <c r="Y10" s="114">
        <f t="shared" si="1"/>
        <v>0.15778409090908951</v>
      </c>
      <c r="AA10" t="s">
        <v>253</v>
      </c>
      <c r="AB10" t="s">
        <v>129</v>
      </c>
      <c r="AD10" t="s">
        <v>250</v>
      </c>
      <c r="AE10" t="s">
        <v>130</v>
      </c>
    </row>
    <row r="11" spans="1:31" x14ac:dyDescent="0.25">
      <c r="A11" s="4" t="str">
        <f>PLANTILLA!A16</f>
        <v>#16</v>
      </c>
      <c r="B11" s="251" t="str">
        <f>PLANTILLA!D16</f>
        <v>I. Vanags</v>
      </c>
      <c r="C11" s="4">
        <f>PLANTILLA!E16</f>
        <v>28</v>
      </c>
      <c r="D11" s="262">
        <f ca="1">PLANTILLA!F16</f>
        <v>87</v>
      </c>
      <c r="E11" s="48">
        <f>PLANTILLA!X16</f>
        <v>0</v>
      </c>
      <c r="F11" s="48">
        <f>PLANTILLA!Y16</f>
        <v>10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8.375</v>
      </c>
      <c r="K11" s="48">
        <f>PLANTILLA!AD16</f>
        <v>19.399999999999999</v>
      </c>
      <c r="L11" s="94">
        <f>1/11</f>
        <v>9.0909090909090912E-2</v>
      </c>
      <c r="M11" s="94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14">
        <f t="shared" si="0"/>
        <v>3.8051652892561988E-2</v>
      </c>
      <c r="Y11" s="114">
        <f t="shared" si="1"/>
        <v>0.16313131313131635</v>
      </c>
      <c r="AA11" t="s">
        <v>253</v>
      </c>
      <c r="AB11" t="s">
        <v>180</v>
      </c>
      <c r="AD11" t="s">
        <v>253</v>
      </c>
      <c r="AE11" t="s">
        <v>180</v>
      </c>
    </row>
    <row r="12" spans="1:31" x14ac:dyDescent="0.25">
      <c r="A12" s="4" t="str">
        <f>PLANTILLA!A18</f>
        <v>#14</v>
      </c>
      <c r="B12" s="251" t="str">
        <f>PLANTILLA!D18</f>
        <v>G. Piscaer</v>
      </c>
      <c r="C12" s="4">
        <f>PLANTILLA!E18</f>
        <v>28</v>
      </c>
      <c r="D12" s="262">
        <f ca="1">PLANTILLA!F18</f>
        <v>103</v>
      </c>
      <c r="E12" s="48">
        <f>PLANTILLA!X18</f>
        <v>0</v>
      </c>
      <c r="F12" s="48">
        <f>PLANTILLA!Y18</f>
        <v>9.5</v>
      </c>
      <c r="G12" s="48">
        <f>PLANTILLA!Z18</f>
        <v>15.19047619047619</v>
      </c>
      <c r="H12" s="48">
        <f>PLANTILLA!AA18</f>
        <v>3</v>
      </c>
      <c r="I12" s="48">
        <f>PLANTILLA!AB18</f>
        <v>2</v>
      </c>
      <c r="J12" s="48">
        <f>PLANTILLA!AC18</f>
        <v>9.25</v>
      </c>
      <c r="K12" s="48">
        <f>PLANTILLA!AD18</f>
        <v>18.666666666666668</v>
      </c>
      <c r="L12" s="94">
        <f>1/13</f>
        <v>7.6923076923076927E-2</v>
      </c>
      <c r="M12" s="94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14">
        <f t="shared" si="0"/>
        <v>2.8963286713286719E-2</v>
      </c>
      <c r="Y12" s="114">
        <f t="shared" si="1"/>
        <v>0.14806267806267925</v>
      </c>
      <c r="AA12" t="s">
        <v>21</v>
      </c>
      <c r="AB12" t="s">
        <v>178</v>
      </c>
      <c r="AD12" t="s">
        <v>253</v>
      </c>
      <c r="AE12" t="s">
        <v>158</v>
      </c>
    </row>
    <row r="13" spans="1:31" x14ac:dyDescent="0.25">
      <c r="A13" s="4" t="str">
        <f>PLANTILLA!A19</f>
        <v>#9</v>
      </c>
      <c r="B13" s="251" t="str">
        <f>PLANTILLA!D19</f>
        <v>M. Bondarewski</v>
      </c>
      <c r="C13" s="4">
        <f>PLANTILLA!E19</f>
        <v>28</v>
      </c>
      <c r="D13" s="262">
        <f ca="1">PLANTILLA!F19</f>
        <v>103</v>
      </c>
      <c r="E13" s="48">
        <f>PLANTILLA!X19</f>
        <v>0</v>
      </c>
      <c r="F13" s="48">
        <f>PLANTILLA!Y19</f>
        <v>8.3333333333333339</v>
      </c>
      <c r="G13" s="48">
        <f>PLANTILLA!Z19</f>
        <v>15</v>
      </c>
      <c r="H13" s="48">
        <f>PLANTILLA!AA19</f>
        <v>5</v>
      </c>
      <c r="I13" s="48">
        <f>PLANTILLA!AB19</f>
        <v>4</v>
      </c>
      <c r="J13" s="48">
        <f>PLANTILLA!AC19</f>
        <v>9.125</v>
      </c>
      <c r="K13" s="48">
        <f>PLANTILLA!AD19</f>
        <v>20.166666666666668</v>
      </c>
      <c r="L13" s="94">
        <f>1/13</f>
        <v>7.6923076923076927E-2</v>
      </c>
      <c r="M13" s="94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14">
        <f t="shared" si="0"/>
        <v>3.2197552447552451E-2</v>
      </c>
      <c r="Y13" s="114">
        <f t="shared" si="1"/>
        <v>0.13991452991452746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str">
        <f>PLANTILLA!A17</f>
        <v>#8</v>
      </c>
      <c r="B14" s="251" t="str">
        <f>PLANTILLA!D17</f>
        <v>I. Stone</v>
      </c>
      <c r="C14" s="4">
        <f>PLANTILLA!E17</f>
        <v>28</v>
      </c>
      <c r="D14" s="262">
        <f ca="1">PLANTILLA!F17</f>
        <v>30</v>
      </c>
      <c r="E14" s="48">
        <f>PLANTILLA!X17</f>
        <v>0</v>
      </c>
      <c r="F14" s="48">
        <f>PLANTILLA!Y17</f>
        <v>8.3333333333333339</v>
      </c>
      <c r="G14" s="48">
        <f>PLANTILLA!Z17</f>
        <v>14</v>
      </c>
      <c r="H14" s="48">
        <f>PLANTILLA!AA17</f>
        <v>2</v>
      </c>
      <c r="I14" s="48">
        <f>PLANTILLA!AB17</f>
        <v>6</v>
      </c>
      <c r="J14" s="48">
        <f>PLANTILLA!AC17</f>
        <v>10.199999999999999</v>
      </c>
      <c r="K14" s="48">
        <f>PLANTILLA!AD17</f>
        <v>19</v>
      </c>
      <c r="L14" s="94">
        <f>1/15</f>
        <v>6.6666666666666666E-2</v>
      </c>
      <c r="M14" s="94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14">
        <f t="shared" si="0"/>
        <v>2.7904545454545456E-2</v>
      </c>
      <c r="Y14" s="114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412</v>
      </c>
      <c r="O1"/>
      <c r="AB1" t="s">
        <v>413</v>
      </c>
      <c r="AE1" t="s">
        <v>414</v>
      </c>
    </row>
    <row r="2" spans="1:32" x14ac:dyDescent="0.25">
      <c r="B2" s="201">
        <v>44035</v>
      </c>
      <c r="O2"/>
      <c r="X2" s="200" t="e">
        <f>SUM(X4:X14)</f>
        <v>#REF!</v>
      </c>
      <c r="Y2" s="200">
        <f>SUM(Y4:Y14)</f>
        <v>0.10999999999999943</v>
      </c>
      <c r="Z2" s="451" t="e">
        <f>Y2+X2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415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5">
        <v>1</v>
      </c>
      <c r="M3" s="195">
        <v>1.25</v>
      </c>
      <c r="N3" s="197" t="s">
        <v>14</v>
      </c>
      <c r="O3" s="197" t="s">
        <v>407</v>
      </c>
      <c r="P3" s="196" t="s">
        <v>417</v>
      </c>
      <c r="Q3" s="196" t="s">
        <v>418</v>
      </c>
      <c r="R3" s="196" t="s">
        <v>419</v>
      </c>
      <c r="S3" s="196" t="s">
        <v>121</v>
      </c>
      <c r="T3" s="196" t="s">
        <v>250</v>
      </c>
      <c r="U3" s="196" t="s">
        <v>420</v>
      </c>
      <c r="V3" s="197" t="s">
        <v>122</v>
      </c>
      <c r="W3" s="197" t="s">
        <v>21</v>
      </c>
      <c r="X3" s="198" t="s">
        <v>425</v>
      </c>
      <c r="Y3" s="198" t="s">
        <v>583</v>
      </c>
      <c r="Z3" s="200"/>
      <c r="AB3" t="s">
        <v>14</v>
      </c>
      <c r="AC3" t="s">
        <v>125</v>
      </c>
      <c r="AE3" t="s">
        <v>14</v>
      </c>
      <c r="AF3" t="s">
        <v>125</v>
      </c>
    </row>
    <row r="4" spans="1:32" x14ac:dyDescent="0.25">
      <c r="A4" s="4" t="str">
        <f>PLANTILLA!A8</f>
        <v>#19</v>
      </c>
      <c r="B4" s="251" t="str">
        <f>PLANTILLA!D8</f>
        <v>A. Grimaud</v>
      </c>
      <c r="C4" s="4">
        <f>PLANTILLA!E8</f>
        <v>28</v>
      </c>
      <c r="D4" s="262">
        <f ca="1">PLANTILLA!F8</f>
        <v>111</v>
      </c>
      <c r="E4" s="48">
        <f>PLANTILLA!X8</f>
        <v>0</v>
      </c>
      <c r="F4" s="48">
        <f>PLANTILLA!Y8</f>
        <v>14.9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4">
        <f>1/3</f>
        <v>0.33333333333333331</v>
      </c>
      <c r="M4" s="94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14">
        <f t="shared" ref="X4:X14" si="0">(1.66*(J4)+0.55*(K4+L4)-7.6)-(1.66*(J4)+0.55*(K4)-7.6)</f>
        <v>0.18333333333333002</v>
      </c>
      <c r="Y4" s="114"/>
      <c r="Z4" s="114"/>
      <c r="AB4" t="s">
        <v>406</v>
      </c>
      <c r="AC4" t="s">
        <v>422</v>
      </c>
      <c r="AE4" t="s">
        <v>406</v>
      </c>
      <c r="AF4" t="str">
        <f>AC4</f>
        <v>B. Pinczehelyi</v>
      </c>
    </row>
    <row r="5" spans="1:32" x14ac:dyDescent="0.25">
      <c r="A5" s="4" t="str">
        <f>PLANTILLA!A13</f>
        <v>#10</v>
      </c>
      <c r="B5" s="251" t="str">
        <f>PLANTILLA!D13</f>
        <v>R. Forsyth</v>
      </c>
      <c r="C5" s="4">
        <f>PLANTILLA!E13</f>
        <v>29</v>
      </c>
      <c r="D5" s="262">
        <f ca="1">PLANTILLA!F13</f>
        <v>32</v>
      </c>
      <c r="E5" s="48">
        <f>PLANTILLA!X13</f>
        <v>0</v>
      </c>
      <c r="F5" s="48">
        <f>PLANTILLA!Y13</f>
        <v>11.76923076923077</v>
      </c>
      <c r="G5" s="48">
        <f>PLANTILLA!Z13</f>
        <v>15</v>
      </c>
      <c r="H5" s="48">
        <f>PLANTILLA!AA13</f>
        <v>3</v>
      </c>
      <c r="I5" s="48">
        <f>PLANTILLA!AB13</f>
        <v>4</v>
      </c>
      <c r="J5" s="48">
        <f>PLANTILLA!AC13</f>
        <v>7.5</v>
      </c>
      <c r="K5" s="48">
        <f>PLANTILLA!AD13</f>
        <v>19</v>
      </c>
      <c r="L5" s="94">
        <f>1/4</f>
        <v>0.25</v>
      </c>
      <c r="M5" s="94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14">
        <f t="shared" si="0"/>
        <v>0.13750000000000284</v>
      </c>
      <c r="Y5" s="114"/>
      <c r="Z5" s="114"/>
      <c r="AB5" t="s">
        <v>407</v>
      </c>
      <c r="AC5" t="s">
        <v>176</v>
      </c>
      <c r="AE5" t="s">
        <v>411</v>
      </c>
      <c r="AF5" t="s">
        <v>175</v>
      </c>
    </row>
    <row r="6" spans="1:32" x14ac:dyDescent="0.25">
      <c r="A6" s="4" t="str">
        <f>PLANTILLA!A18</f>
        <v>#14</v>
      </c>
      <c r="B6" s="251" t="str">
        <f>PLANTILLA!D18</f>
        <v>G. Piscaer</v>
      </c>
      <c r="C6" s="4">
        <f>PLANTILLA!E18</f>
        <v>28</v>
      </c>
      <c r="D6" s="262">
        <f ca="1">PLANTILLA!F18</f>
        <v>103</v>
      </c>
      <c r="E6" s="48">
        <f>PLANTILLA!X18</f>
        <v>0</v>
      </c>
      <c r="F6" s="48">
        <f>PLANTILLA!Y18</f>
        <v>9.5</v>
      </c>
      <c r="G6" s="48">
        <f>PLANTILLA!Z18</f>
        <v>15.19047619047619</v>
      </c>
      <c r="H6" s="48">
        <f>PLANTILLA!AA18</f>
        <v>3</v>
      </c>
      <c r="I6" s="48">
        <f>PLANTILLA!AB18</f>
        <v>2</v>
      </c>
      <c r="J6" s="48">
        <f>PLANTILLA!AC18</f>
        <v>9.25</v>
      </c>
      <c r="K6" s="48">
        <f>PLANTILLA!AD18</f>
        <v>18.666666666666668</v>
      </c>
      <c r="L6" s="94">
        <f>1/3</f>
        <v>0.33333333333333331</v>
      </c>
      <c r="M6" s="94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14">
        <f t="shared" si="0"/>
        <v>0.18333333333333002</v>
      </c>
      <c r="Y6" s="114"/>
      <c r="Z6" s="114"/>
      <c r="AB6" t="s">
        <v>406</v>
      </c>
      <c r="AC6" t="s">
        <v>128</v>
      </c>
      <c r="AE6" t="s">
        <v>120</v>
      </c>
      <c r="AF6" t="s">
        <v>128</v>
      </c>
    </row>
    <row r="7" spans="1:32" x14ac:dyDescent="0.25">
      <c r="A7" s="4" t="str">
        <f>PLANTILLA!A19</f>
        <v>#9</v>
      </c>
      <c r="B7" s="251" t="str">
        <f>PLANTILLA!D19</f>
        <v>M. Bondarewski</v>
      </c>
      <c r="C7" s="4">
        <f>PLANTILLA!E19</f>
        <v>28</v>
      </c>
      <c r="D7" s="262">
        <f ca="1">PLANTILLA!F19</f>
        <v>103</v>
      </c>
      <c r="E7" s="48">
        <f>PLANTILLA!X19</f>
        <v>0</v>
      </c>
      <c r="F7" s="48">
        <f>PLANTILLA!Y19</f>
        <v>8.3333333333333339</v>
      </c>
      <c r="G7" s="48">
        <f>PLANTILLA!Z19</f>
        <v>15</v>
      </c>
      <c r="H7" s="48">
        <f>PLANTILLA!AA19</f>
        <v>5</v>
      </c>
      <c r="I7" s="48">
        <f>PLANTILLA!AB19</f>
        <v>4</v>
      </c>
      <c r="J7" s="48">
        <f>PLANTILLA!AC19</f>
        <v>9.125</v>
      </c>
      <c r="K7" s="48">
        <f>PLANTILLA!AD19</f>
        <v>20.166666666666668</v>
      </c>
      <c r="L7" s="94">
        <f>1/6</f>
        <v>0.16666666666666666</v>
      </c>
      <c r="M7" s="94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14"/>
      <c r="Y7" s="114">
        <f>(1.66*(J7)+0.55*(K7+M7)-7.6)-(1.66*(J7)+0.55*(K7)-7.6)</f>
        <v>0.10999999999999943</v>
      </c>
      <c r="Z7" s="114"/>
      <c r="AB7" t="s">
        <v>250</v>
      </c>
      <c r="AC7" t="s">
        <v>130</v>
      </c>
      <c r="AE7" t="s">
        <v>411</v>
      </c>
      <c r="AF7" t="s">
        <v>174</v>
      </c>
    </row>
    <row r="8" spans="1:32" x14ac:dyDescent="0.25">
      <c r="A8" s="4" t="str">
        <f>PLANTILLA!A7</f>
        <v>#2</v>
      </c>
      <c r="B8" s="251" t="str">
        <f>PLANTILLA!D7</f>
        <v>S. Swärdborn</v>
      </c>
      <c r="C8" s="4">
        <f>PLANTILLA!E7</f>
        <v>28</v>
      </c>
      <c r="D8" s="262">
        <f ca="1">PLANTILLA!F7</f>
        <v>88</v>
      </c>
      <c r="E8" s="48">
        <f>PLANTILLA!X7</f>
        <v>0</v>
      </c>
      <c r="F8" s="48">
        <f>PLANTILLA!Y7</f>
        <v>14.85</v>
      </c>
      <c r="G8" s="48">
        <f>PLANTILLA!Z7</f>
        <v>10</v>
      </c>
      <c r="H8" s="48">
        <f>PLANTILLA!AA7</f>
        <v>1</v>
      </c>
      <c r="I8" s="48">
        <f>PLANTILLA!AB7</f>
        <v>3</v>
      </c>
      <c r="J8" s="48">
        <f>PLANTILLA!AC7</f>
        <v>7.916666666666667</v>
      </c>
      <c r="K8" s="48">
        <f>PLANTILLA!AD7</f>
        <v>18.75</v>
      </c>
      <c r="L8" s="94">
        <f>1/4</f>
        <v>0.25</v>
      </c>
      <c r="M8" s="94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14">
        <f t="shared" si="0"/>
        <v>0.13750000000000284</v>
      </c>
      <c r="Y8" s="114"/>
      <c r="Z8" s="114"/>
      <c r="AB8" t="s">
        <v>121</v>
      </c>
      <c r="AC8" t="s">
        <v>179</v>
      </c>
      <c r="AE8" t="s">
        <v>406</v>
      </c>
      <c r="AF8" t="s">
        <v>129</v>
      </c>
    </row>
    <row r="9" spans="1:32" x14ac:dyDescent="0.25">
      <c r="A9" s="4" t="str">
        <f>PLANTILLA!A6</f>
        <v>#22</v>
      </c>
      <c r="B9" s="251" t="str">
        <f>PLANTILLA!D6</f>
        <v>V. Gardner</v>
      </c>
      <c r="C9" s="4">
        <f>PLANTILLA!E6</f>
        <v>28</v>
      </c>
      <c r="D9" s="262">
        <f ca="1">PLANTILLA!F6</f>
        <v>100</v>
      </c>
      <c r="E9" s="48">
        <f>PLANTILLA!X6</f>
        <v>0</v>
      </c>
      <c r="F9" s="48">
        <f>PLANTILLA!Y6</f>
        <v>15</v>
      </c>
      <c r="G9" s="48">
        <f>PLANTILLA!Z6</f>
        <v>8.375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4">
        <f>1/4</f>
        <v>0.25</v>
      </c>
      <c r="M9" s="94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14">
        <f t="shared" si="0"/>
        <v>0.13749999999999574</v>
      </c>
      <c r="Y9" s="114"/>
      <c r="Z9" s="114"/>
      <c r="AB9" t="s">
        <v>250</v>
      </c>
      <c r="AC9" t="s">
        <v>177</v>
      </c>
      <c r="AE9" t="s">
        <v>250</v>
      </c>
      <c r="AF9" t="s">
        <v>177</v>
      </c>
    </row>
    <row r="10" spans="1:32" x14ac:dyDescent="0.25">
      <c r="A10" s="4" t="str">
        <f>PLANTILLA!A9</f>
        <v>#4</v>
      </c>
      <c r="B10" s="251" t="str">
        <f>PLANTILLA!D9</f>
        <v>E. Deus</v>
      </c>
      <c r="C10" s="4">
        <f>PLANTILLA!E9</f>
        <v>28</v>
      </c>
      <c r="D10" s="262">
        <f ca="1">PLANTILLA!F9</f>
        <v>27</v>
      </c>
      <c r="E10" s="48">
        <f>PLANTILLA!X9</f>
        <v>0</v>
      </c>
      <c r="F10" s="48">
        <f>PLANTILLA!Y9</f>
        <v>14.1</v>
      </c>
      <c r="G10" s="48">
        <f>PLANTILLA!Z9</f>
        <v>9.375</v>
      </c>
      <c r="H10" s="48">
        <f>PLANTILLA!AA9</f>
        <v>1</v>
      </c>
      <c r="I10" s="48">
        <f>PLANTILLA!AB9</f>
        <v>6</v>
      </c>
      <c r="J10" s="48">
        <f>PLANTILLA!AC9</f>
        <v>6.4</v>
      </c>
      <c r="K10" s="48">
        <f>PLANTILLA!AD9</f>
        <v>19.2</v>
      </c>
      <c r="L10" s="94">
        <f>1/4</f>
        <v>0.25</v>
      </c>
      <c r="M10" s="94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14">
        <f t="shared" si="0"/>
        <v>0.13749999999999929</v>
      </c>
      <c r="Y10" s="114"/>
      <c r="Z10" s="114"/>
      <c r="AB10" t="s">
        <v>253</v>
      </c>
      <c r="AC10" t="s">
        <v>129</v>
      </c>
      <c r="AE10" t="s">
        <v>250</v>
      </c>
      <c r="AF10" t="s">
        <v>130</v>
      </c>
    </row>
    <row r="11" spans="1:32" x14ac:dyDescent="0.25">
      <c r="A11" s="4" t="str">
        <f>PLANTILLA!A16</f>
        <v>#16</v>
      </c>
      <c r="B11" s="251" t="str">
        <f>PLANTILLA!D16</f>
        <v>I. Vanags</v>
      </c>
      <c r="C11" s="4">
        <f>PLANTILLA!E16</f>
        <v>28</v>
      </c>
      <c r="D11" s="262">
        <f ca="1">PLANTILLA!F16</f>
        <v>87</v>
      </c>
      <c r="E11" s="48">
        <f>PLANTILLA!X16</f>
        <v>0</v>
      </c>
      <c r="F11" s="48">
        <f>PLANTILLA!Y16</f>
        <v>10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8.375</v>
      </c>
      <c r="K11" s="48">
        <f>PLANTILLA!AD16</f>
        <v>19.399999999999999</v>
      </c>
      <c r="L11" s="94">
        <f>1/6</f>
        <v>0.16666666666666666</v>
      </c>
      <c r="M11" s="94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14">
        <f t="shared" si="0"/>
        <v>9.1666666666668561E-2</v>
      </c>
      <c r="Y11" s="114"/>
      <c r="Z11" s="114"/>
      <c r="AB11" t="s">
        <v>253</v>
      </c>
      <c r="AC11" t="s">
        <v>180</v>
      </c>
      <c r="AE11" t="s">
        <v>253</v>
      </c>
      <c r="AF11" t="s">
        <v>180</v>
      </c>
    </row>
    <row r="12" spans="1:32" x14ac:dyDescent="0.25">
      <c r="A12" s="4" t="str">
        <f>PLANTILLA!A17</f>
        <v>#8</v>
      </c>
      <c r="B12" s="251" t="str">
        <f>PLANTILLA!D17</f>
        <v>I. Stone</v>
      </c>
      <c r="C12" s="4">
        <f>PLANTILLA!E17</f>
        <v>28</v>
      </c>
      <c r="D12" s="262">
        <f ca="1">PLANTILLA!F17</f>
        <v>30</v>
      </c>
      <c r="E12" s="48">
        <f>PLANTILLA!X17</f>
        <v>0</v>
      </c>
      <c r="F12" s="48">
        <f>PLANTILLA!Y17</f>
        <v>8.3333333333333339</v>
      </c>
      <c r="G12" s="48">
        <f>PLANTILLA!Z17</f>
        <v>14</v>
      </c>
      <c r="H12" s="48">
        <f>PLANTILLA!AA17</f>
        <v>2</v>
      </c>
      <c r="I12" s="48">
        <f>PLANTILLA!AB17</f>
        <v>6</v>
      </c>
      <c r="J12" s="48">
        <f>PLANTILLA!AC17</f>
        <v>10.199999999999999</v>
      </c>
      <c r="K12" s="48">
        <f>PLANTILLA!AD17</f>
        <v>19</v>
      </c>
      <c r="L12" s="94">
        <f>1/4</f>
        <v>0.25</v>
      </c>
      <c r="M12" s="94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14">
        <f t="shared" si="0"/>
        <v>0.13750000000000284</v>
      </c>
      <c r="Y12" s="114"/>
      <c r="Z12" s="114"/>
      <c r="AB12" t="s">
        <v>21</v>
      </c>
      <c r="AC12" t="s">
        <v>178</v>
      </c>
      <c r="AE12" t="s">
        <v>253</v>
      </c>
      <c r="AF12" t="s">
        <v>158</v>
      </c>
    </row>
    <row r="13" spans="1:32" x14ac:dyDescent="0.25">
      <c r="A13" s="4" t="str">
        <f>PLANTILLA!A15</f>
        <v>#12</v>
      </c>
      <c r="B13" s="251" t="str">
        <f>PLANTILLA!D15</f>
        <v>P. Tuderek</v>
      </c>
      <c r="C13" s="4">
        <f>PLANTILLA!E15</f>
        <v>28</v>
      </c>
      <c r="D13" s="262">
        <f ca="1">PLANTILLA!F15</f>
        <v>89</v>
      </c>
      <c r="E13" s="48">
        <f>PLANTILLA!X15</f>
        <v>0</v>
      </c>
      <c r="F13" s="48">
        <f>PLANTILLA!Y15</f>
        <v>11.307692307692308</v>
      </c>
      <c r="G13" s="48">
        <f>PLANTILLA!Z15</f>
        <v>14.333333333333334</v>
      </c>
      <c r="H13" s="48">
        <f>PLANTILLA!AA15</f>
        <v>2</v>
      </c>
      <c r="I13" s="48">
        <f>PLANTILLA!AB15</f>
        <v>3</v>
      </c>
      <c r="J13" s="48">
        <f>PLANTILLA!AC15</f>
        <v>8</v>
      </c>
      <c r="K13" s="48">
        <f>PLANTILLA!AD15</f>
        <v>20.166666666666668</v>
      </c>
      <c r="L13" s="94">
        <f>1/6</f>
        <v>0.16666666666666666</v>
      </c>
      <c r="M13" s="94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14">
        <f t="shared" si="0"/>
        <v>9.1666666666668561E-2</v>
      </c>
      <c r="Y13" s="114"/>
      <c r="Z13" s="114"/>
      <c r="AB13" t="s">
        <v>21</v>
      </c>
      <c r="AC13" t="s">
        <v>158</v>
      </c>
      <c r="AE13" t="s">
        <v>21</v>
      </c>
      <c r="AF13" t="s">
        <v>178</v>
      </c>
    </row>
    <row r="14" spans="1:32" x14ac:dyDescent="0.25">
      <c r="A14" s="4" t="e">
        <f>PLANTILLA!#REF!</f>
        <v>#REF!</v>
      </c>
      <c r="B14" s="251" t="e">
        <f>PLANTILLA!#REF!</f>
        <v>#REF!</v>
      </c>
      <c r="C14" s="4" t="e">
        <f>PLANTILLA!#REF!</f>
        <v>#REF!</v>
      </c>
      <c r="D14" s="262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1/6</f>
        <v>0.16666666666666666</v>
      </c>
      <c r="M14" s="94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14" t="e">
        <f t="shared" si="0"/>
        <v>#REF!</v>
      </c>
      <c r="Y14" s="114"/>
      <c r="Z14" s="114"/>
    </row>
  </sheetData>
  <sortState xmlns:xlrd2="http://schemas.microsoft.com/office/spreadsheetml/2017/richdata2"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12" sqref="F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428</v>
      </c>
      <c r="N1" s="7" t="s">
        <v>429</v>
      </c>
      <c r="O1" s="7" t="s">
        <v>430</v>
      </c>
      <c r="P1" s="7" t="s">
        <v>431</v>
      </c>
      <c r="Q1" s="7" t="s">
        <v>432</v>
      </c>
      <c r="R1" s="7" t="s">
        <v>433</v>
      </c>
      <c r="S1" s="7" t="s">
        <v>434</v>
      </c>
    </row>
    <row r="2" spans="1:30" x14ac:dyDescent="0.25">
      <c r="C2" s="8" t="s">
        <v>435</v>
      </c>
      <c r="D2" s="561" t="s">
        <v>436</v>
      </c>
      <c r="E2" s="561"/>
      <c r="F2" s="562" t="s">
        <v>437</v>
      </c>
      <c r="G2" s="562"/>
      <c r="H2" s="563" t="s">
        <v>438</v>
      </c>
      <c r="I2" s="563"/>
      <c r="K2" t="s">
        <v>439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ht="15.75" thickBot="1" x14ac:dyDescent="0.3">
      <c r="A3" s="12" t="s">
        <v>440</v>
      </c>
      <c r="B3" s="13">
        <f>B4+B5+B6+B7</f>
        <v>62221</v>
      </c>
      <c r="C3" s="14">
        <f>C4+C5+C6+C7</f>
        <v>71200.2</v>
      </c>
      <c r="D3" s="4" t="s">
        <v>441</v>
      </c>
      <c r="E3" s="4" t="s">
        <v>442</v>
      </c>
      <c r="F3" s="4" t="s">
        <v>441</v>
      </c>
      <c r="G3" s="4" t="s">
        <v>443</v>
      </c>
      <c r="H3" s="4" t="s">
        <v>441</v>
      </c>
      <c r="I3" s="5" t="s">
        <v>444</v>
      </c>
      <c r="J3" s="4" t="s">
        <v>445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635</v>
      </c>
      <c r="V3" t="s">
        <v>636</v>
      </c>
      <c r="W3" t="s">
        <v>637</v>
      </c>
    </row>
    <row r="4" spans="1:30" x14ac:dyDescent="0.25">
      <c r="A4" s="12" t="s">
        <v>446</v>
      </c>
      <c r="B4" s="13">
        <v>35404</v>
      </c>
      <c r="C4" s="68">
        <v>40513.199999999997</v>
      </c>
      <c r="D4" s="17">
        <v>45</v>
      </c>
      <c r="E4" s="4">
        <f>D4*(C4-B4)</f>
        <v>229913.99999999988</v>
      </c>
      <c r="F4" s="18">
        <v>0.5</v>
      </c>
      <c r="G4" s="4">
        <f>(C4-B4)*F4</f>
        <v>2554.5999999999985</v>
      </c>
      <c r="H4" s="18">
        <v>7</v>
      </c>
      <c r="I4" s="5">
        <f>(C4-B4)*H4</f>
        <v>35764.39999999998</v>
      </c>
      <c r="J4" s="4">
        <f>H4*C4</f>
        <v>283592.39999999997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447</v>
      </c>
      <c r="B5" s="13">
        <v>13589</v>
      </c>
      <c r="C5" s="21">
        <v>15550.199999999999</v>
      </c>
      <c r="D5" s="19">
        <v>75</v>
      </c>
      <c r="E5" s="4">
        <f>D5*(C5-B5)</f>
        <v>147089.99999999991</v>
      </c>
      <c r="F5" s="20">
        <v>0.7</v>
      </c>
      <c r="G5" s="4">
        <f>(C5-B5)*F5</f>
        <v>1372.8399999999992</v>
      </c>
      <c r="H5" s="20">
        <v>10</v>
      </c>
      <c r="I5" s="5">
        <f>(C5-B5)*H5</f>
        <v>19611.999999999989</v>
      </c>
      <c r="J5" s="4">
        <f>H5*C5</f>
        <v>155502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448</v>
      </c>
      <c r="B6" s="13">
        <v>11811</v>
      </c>
      <c r="C6" s="21">
        <v>13515</v>
      </c>
      <c r="D6" s="17">
        <v>90</v>
      </c>
      <c r="E6" s="4">
        <f>D6*(C6-B6)</f>
        <v>153360</v>
      </c>
      <c r="F6" s="18">
        <v>1</v>
      </c>
      <c r="G6" s="4">
        <f>(C6-B6)*F6</f>
        <v>1704</v>
      </c>
      <c r="H6" s="18">
        <v>19</v>
      </c>
      <c r="I6" s="5">
        <f>(C6-B6)*H6</f>
        <v>32376</v>
      </c>
      <c r="J6" s="4">
        <f>H6*C6</f>
        <v>256785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ht="15.75" thickBot="1" x14ac:dyDescent="0.3">
      <c r="A7" s="12" t="s">
        <v>449</v>
      </c>
      <c r="B7" s="13">
        <v>1417</v>
      </c>
      <c r="C7" s="22">
        <v>1621.8</v>
      </c>
      <c r="D7" s="19">
        <v>300</v>
      </c>
      <c r="E7" s="4">
        <f>D7*(C7-B7)</f>
        <v>61439.999999999985</v>
      </c>
      <c r="F7" s="20">
        <v>2.5</v>
      </c>
      <c r="G7" s="4">
        <f>(C7-B7)*F7</f>
        <v>511.99999999999989</v>
      </c>
      <c r="H7" s="20">
        <v>35</v>
      </c>
      <c r="I7" s="5">
        <f>(C7-B7)*H7</f>
        <v>7167.9999999999982</v>
      </c>
      <c r="J7" s="4">
        <f>H7*C7</f>
        <v>56763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752642.39999999991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0.21840107190710137</v>
      </c>
      <c r="E9" s="36">
        <v>35404.46</v>
      </c>
      <c r="F9" s="49">
        <f>E9-B4</f>
        <v>0.45999999999912689</v>
      </c>
      <c r="G9" s="49">
        <f>C4-B4</f>
        <v>5109.1999999999971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1.6616705771314254E-2</v>
      </c>
      <c r="C10" s="25">
        <f>C6/$C$3</f>
        <v>0.18981688253684681</v>
      </c>
      <c r="E10" s="36">
        <v>13589.31</v>
      </c>
      <c r="F10" s="49">
        <f t="shared" ref="F10:F12" si="3">E10-B5</f>
        <v>0.30999999999949068</v>
      </c>
      <c r="G10" s="49">
        <f t="shared" ref="G10:G12" si="4">C5-B5</f>
        <v>1961.1999999999989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450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-0.25</v>
      </c>
      <c r="G11" s="49">
        <f t="shared" si="4"/>
        <v>1704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451</v>
      </c>
      <c r="B12" s="29">
        <f>E7+E6+E5+E4</f>
        <v>591803.99999999977</v>
      </c>
      <c r="E12" s="36">
        <v>1417.29</v>
      </c>
      <c r="F12" s="49">
        <f t="shared" si="3"/>
        <v>0.28999999999996362</v>
      </c>
      <c r="G12" s="49">
        <f t="shared" si="4"/>
        <v>204.79999999999995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242</v>
      </c>
      <c r="B13" s="31">
        <f>B11+B12</f>
        <v>601803.99999999977</v>
      </c>
    </row>
    <row r="15" spans="1:30" x14ac:dyDescent="0.25">
      <c r="A15" s="2"/>
      <c r="B15" s="32" t="s">
        <v>195</v>
      </c>
      <c r="C15" s="32" t="s">
        <v>196</v>
      </c>
      <c r="D15" s="32" t="s">
        <v>197</v>
      </c>
      <c r="E15" s="32" t="s">
        <v>198</v>
      </c>
      <c r="F15" s="32" t="s">
        <v>199</v>
      </c>
      <c r="G15" s="32" t="s">
        <v>200</v>
      </c>
      <c r="H15" s="32" t="s">
        <v>201</v>
      </c>
      <c r="I15" s="32" t="s">
        <v>202</v>
      </c>
      <c r="J15" s="32" t="s">
        <v>203</v>
      </c>
      <c r="K15" s="32" t="s">
        <v>204</v>
      </c>
      <c r="L15" s="32" t="s">
        <v>205</v>
      </c>
      <c r="M15" s="32" t="s">
        <v>206</v>
      </c>
      <c r="N15" s="32" t="s">
        <v>207</v>
      </c>
      <c r="O15" s="32" t="s">
        <v>208</v>
      </c>
      <c r="P15" s="32" t="s">
        <v>209</v>
      </c>
      <c r="Q15" s="32" t="s">
        <v>194</v>
      </c>
      <c r="R15" s="32" t="s">
        <v>195</v>
      </c>
      <c r="S15" s="32" t="s">
        <v>196</v>
      </c>
      <c r="T15" s="32" t="s">
        <v>197</v>
      </c>
      <c r="U15" s="32" t="s">
        <v>198</v>
      </c>
      <c r="V15" s="32" t="s">
        <v>199</v>
      </c>
      <c r="W15" s="32" t="s">
        <v>200</v>
      </c>
      <c r="X15" s="32" t="s">
        <v>201</v>
      </c>
      <c r="Y15" s="32" t="s">
        <v>202</v>
      </c>
      <c r="Z15" s="32" t="s">
        <v>203</v>
      </c>
      <c r="AA15" s="32" t="s">
        <v>204</v>
      </c>
      <c r="AB15" s="32" t="s">
        <v>205</v>
      </c>
      <c r="AC15" s="32" t="s">
        <v>206</v>
      </c>
      <c r="AD15" s="32" t="s">
        <v>207</v>
      </c>
    </row>
    <row r="16" spans="1:30" x14ac:dyDescent="0.25">
      <c r="A16" s="33" t="s">
        <v>452</v>
      </c>
      <c r="B16" s="33">
        <v>3180</v>
      </c>
      <c r="C16" s="33">
        <f>B16+0</f>
        <v>3180</v>
      </c>
      <c r="D16" s="33">
        <f>C16+1</f>
        <v>3181</v>
      </c>
      <c r="E16" s="33">
        <v>3403</v>
      </c>
      <c r="F16" s="33">
        <f t="shared" ref="F16" si="5">E16+0</f>
        <v>3403</v>
      </c>
      <c r="G16" s="33">
        <f t="shared" ref="G16" si="6">F16+1</f>
        <v>3404</v>
      </c>
      <c r="H16" s="33">
        <v>3404</v>
      </c>
      <c r="I16" s="33">
        <f t="shared" ref="I16" si="7">H16+0</f>
        <v>3404</v>
      </c>
      <c r="J16" s="33">
        <f t="shared" ref="J16" si="8">I16+1</f>
        <v>3405</v>
      </c>
      <c r="K16" s="33">
        <v>3405</v>
      </c>
      <c r="L16" s="33">
        <f t="shared" ref="L16" si="9">K16+0</f>
        <v>3405</v>
      </c>
      <c r="M16" s="33">
        <f t="shared" ref="M16" si="10">L16+1</f>
        <v>3406</v>
      </c>
      <c r="N16" s="33">
        <v>3406</v>
      </c>
      <c r="O16" s="33">
        <f t="shared" ref="O16" si="11">N16+0</f>
        <v>3406</v>
      </c>
      <c r="P16" s="33">
        <f t="shared" ref="P16" si="12">O16+1</f>
        <v>3407</v>
      </c>
      <c r="Q16" s="33">
        <v>3407</v>
      </c>
      <c r="R16" s="33">
        <f t="shared" ref="R16" si="13">Q16+0</f>
        <v>3407</v>
      </c>
      <c r="S16" s="33">
        <f t="shared" ref="S16" si="14">R16+1</f>
        <v>3408</v>
      </c>
      <c r="T16" s="33">
        <v>3408</v>
      </c>
      <c r="U16" s="33">
        <f t="shared" ref="U16:AD16" si="15">T16+2</f>
        <v>3410</v>
      </c>
      <c r="V16" s="33">
        <f t="shared" si="15"/>
        <v>3412</v>
      </c>
      <c r="W16" s="33">
        <f t="shared" si="15"/>
        <v>3414</v>
      </c>
      <c r="X16" s="33">
        <f t="shared" si="15"/>
        <v>3416</v>
      </c>
      <c r="Y16" s="33">
        <f t="shared" si="15"/>
        <v>3418</v>
      </c>
      <c r="Z16" s="33">
        <f t="shared" si="15"/>
        <v>3420</v>
      </c>
      <c r="AA16" s="33">
        <f t="shared" si="15"/>
        <v>3422</v>
      </c>
      <c r="AB16" s="33">
        <f t="shared" si="15"/>
        <v>3424</v>
      </c>
      <c r="AC16" s="33">
        <f t="shared" si="15"/>
        <v>3426</v>
      </c>
      <c r="AD16" s="33">
        <f t="shared" si="15"/>
        <v>3428</v>
      </c>
    </row>
    <row r="17" spans="1:30" x14ac:dyDescent="0.25">
      <c r="A17" s="33"/>
      <c r="B17" s="34">
        <f t="shared" ref="B17:AD17" si="16">B18+B19+B20+B21</f>
        <v>71200.2</v>
      </c>
      <c r="C17" s="34">
        <f t="shared" si="16"/>
        <v>71200.2</v>
      </c>
      <c r="D17" s="34">
        <f t="shared" si="16"/>
        <v>71222.59</v>
      </c>
      <c r="E17" s="34">
        <f t="shared" si="16"/>
        <v>76193.17</v>
      </c>
      <c r="F17" s="34">
        <f t="shared" si="16"/>
        <v>76193.17</v>
      </c>
      <c r="G17" s="34">
        <f t="shared" si="16"/>
        <v>76215.559999999983</v>
      </c>
      <c r="H17" s="34">
        <f t="shared" si="16"/>
        <v>76215.559999999983</v>
      </c>
      <c r="I17" s="34">
        <f t="shared" si="16"/>
        <v>76215.559999999983</v>
      </c>
      <c r="J17" s="34">
        <f t="shared" si="16"/>
        <v>76237.95</v>
      </c>
      <c r="K17" s="34">
        <f t="shared" si="16"/>
        <v>76237.95</v>
      </c>
      <c r="L17" s="34">
        <f t="shared" si="16"/>
        <v>76237.95</v>
      </c>
      <c r="M17" s="34">
        <f t="shared" si="16"/>
        <v>76260.34</v>
      </c>
      <c r="N17" s="34">
        <f t="shared" si="16"/>
        <v>76260.34</v>
      </c>
      <c r="O17" s="34">
        <f t="shared" si="16"/>
        <v>76260.34</v>
      </c>
      <c r="P17" s="34">
        <f t="shared" si="16"/>
        <v>76282.73000000001</v>
      </c>
      <c r="Q17" s="34">
        <f t="shared" si="16"/>
        <v>76282.73000000001</v>
      </c>
      <c r="R17" s="34">
        <f t="shared" si="16"/>
        <v>76282.73000000001</v>
      </c>
      <c r="S17" s="34">
        <f t="shared" si="16"/>
        <v>76305.119999999995</v>
      </c>
      <c r="T17" s="34">
        <f t="shared" si="16"/>
        <v>76305.119999999995</v>
      </c>
      <c r="U17" s="34">
        <f t="shared" si="16"/>
        <v>76349.900000000009</v>
      </c>
      <c r="V17" s="34">
        <f t="shared" si="16"/>
        <v>76394.679999999993</v>
      </c>
      <c r="W17" s="34">
        <f t="shared" si="16"/>
        <v>76439.460000000006</v>
      </c>
      <c r="X17" s="34">
        <f t="shared" si="16"/>
        <v>76484.240000000005</v>
      </c>
      <c r="Y17" s="34">
        <f t="shared" si="16"/>
        <v>76529.01999999999</v>
      </c>
      <c r="Z17" s="34">
        <f t="shared" si="16"/>
        <v>76573.8</v>
      </c>
      <c r="AA17" s="34">
        <f t="shared" si="16"/>
        <v>76618.58</v>
      </c>
      <c r="AB17" s="34">
        <f t="shared" si="16"/>
        <v>76663.360000000001</v>
      </c>
      <c r="AC17" s="34">
        <f t="shared" si="16"/>
        <v>76708.14</v>
      </c>
      <c r="AD17" s="34">
        <f t="shared" si="16"/>
        <v>76752.92</v>
      </c>
    </row>
    <row r="18" spans="1:30" x14ac:dyDescent="0.25">
      <c r="A18" s="35" t="s">
        <v>453</v>
      </c>
      <c r="B18" s="36">
        <f>B16*$N$5</f>
        <v>40513.199999999997</v>
      </c>
      <c r="C18" s="36">
        <f t="shared" ref="C18:AD18" si="17">C16*$N$5</f>
        <v>40513.199999999997</v>
      </c>
      <c r="D18" s="36">
        <f t="shared" si="17"/>
        <v>40525.94</v>
      </c>
      <c r="E18" s="36">
        <f t="shared" si="17"/>
        <v>43354.22</v>
      </c>
      <c r="F18" s="36">
        <f t="shared" si="17"/>
        <v>43354.22</v>
      </c>
      <c r="G18" s="36">
        <f t="shared" si="17"/>
        <v>43366.96</v>
      </c>
      <c r="H18" s="36">
        <f t="shared" si="17"/>
        <v>43366.96</v>
      </c>
      <c r="I18" s="36">
        <f t="shared" si="17"/>
        <v>43366.96</v>
      </c>
      <c r="J18" s="36">
        <f t="shared" si="17"/>
        <v>43379.7</v>
      </c>
      <c r="K18" s="36">
        <f t="shared" si="17"/>
        <v>43379.7</v>
      </c>
      <c r="L18" s="36">
        <f t="shared" si="17"/>
        <v>43379.7</v>
      </c>
      <c r="M18" s="36">
        <f t="shared" si="17"/>
        <v>43392.44</v>
      </c>
      <c r="N18" s="36">
        <f t="shared" si="17"/>
        <v>43392.44</v>
      </c>
      <c r="O18" s="36">
        <f t="shared" si="17"/>
        <v>43392.44</v>
      </c>
      <c r="P18" s="36">
        <f t="shared" si="17"/>
        <v>43405.18</v>
      </c>
      <c r="Q18" s="36">
        <f t="shared" si="17"/>
        <v>43405.18</v>
      </c>
      <c r="R18" s="36">
        <f t="shared" si="17"/>
        <v>43405.18</v>
      </c>
      <c r="S18" s="36">
        <f t="shared" si="17"/>
        <v>43417.919999999998</v>
      </c>
      <c r="T18" s="36">
        <f t="shared" si="17"/>
        <v>43417.919999999998</v>
      </c>
      <c r="U18" s="36">
        <f t="shared" si="17"/>
        <v>43443.4</v>
      </c>
      <c r="V18" s="36">
        <f t="shared" si="17"/>
        <v>43468.88</v>
      </c>
      <c r="W18" s="36">
        <f t="shared" si="17"/>
        <v>43494.36</v>
      </c>
      <c r="X18" s="36">
        <f t="shared" si="17"/>
        <v>43519.840000000004</v>
      </c>
      <c r="Y18" s="36">
        <f t="shared" si="17"/>
        <v>43545.32</v>
      </c>
      <c r="Z18" s="36">
        <f t="shared" si="17"/>
        <v>43570.8</v>
      </c>
      <c r="AA18" s="36">
        <f t="shared" si="17"/>
        <v>43596.28</v>
      </c>
      <c r="AB18" s="36">
        <f t="shared" si="17"/>
        <v>43621.760000000002</v>
      </c>
      <c r="AC18" s="36">
        <f t="shared" si="17"/>
        <v>43647.24</v>
      </c>
      <c r="AD18" s="36">
        <f t="shared" si="17"/>
        <v>43672.72</v>
      </c>
    </row>
    <row r="19" spans="1:30" x14ac:dyDescent="0.25">
      <c r="A19" s="35" t="s">
        <v>454</v>
      </c>
      <c r="B19" s="36">
        <f>B16*$O$5</f>
        <v>15550.199999999999</v>
      </c>
      <c r="C19" s="36">
        <f t="shared" ref="C19:AD19" si="18">C16*$O$5</f>
        <v>15550.199999999999</v>
      </c>
      <c r="D19" s="36">
        <f t="shared" si="18"/>
        <v>15555.089999999998</v>
      </c>
      <c r="E19" s="36">
        <f t="shared" si="18"/>
        <v>16640.669999999998</v>
      </c>
      <c r="F19" s="36">
        <f t="shared" si="18"/>
        <v>16640.669999999998</v>
      </c>
      <c r="G19" s="36">
        <f t="shared" si="18"/>
        <v>16645.559999999998</v>
      </c>
      <c r="H19" s="36">
        <f t="shared" si="18"/>
        <v>16645.559999999998</v>
      </c>
      <c r="I19" s="36">
        <f t="shared" si="18"/>
        <v>16645.559999999998</v>
      </c>
      <c r="J19" s="36">
        <f t="shared" si="18"/>
        <v>16650.45</v>
      </c>
      <c r="K19" s="36">
        <f t="shared" si="18"/>
        <v>16650.45</v>
      </c>
      <c r="L19" s="36">
        <f t="shared" si="18"/>
        <v>16650.45</v>
      </c>
      <c r="M19" s="36">
        <f t="shared" si="18"/>
        <v>16655.34</v>
      </c>
      <c r="N19" s="36">
        <f t="shared" si="18"/>
        <v>16655.34</v>
      </c>
      <c r="O19" s="36">
        <f t="shared" si="18"/>
        <v>16655.34</v>
      </c>
      <c r="P19" s="36">
        <f t="shared" si="18"/>
        <v>16660.23</v>
      </c>
      <c r="Q19" s="36">
        <f t="shared" si="18"/>
        <v>16660.23</v>
      </c>
      <c r="R19" s="36">
        <f t="shared" si="18"/>
        <v>16660.23</v>
      </c>
      <c r="S19" s="36">
        <f t="shared" si="18"/>
        <v>16665.12</v>
      </c>
      <c r="T19" s="36">
        <f t="shared" si="18"/>
        <v>16665.12</v>
      </c>
      <c r="U19" s="36">
        <f t="shared" si="18"/>
        <v>16674.899999999998</v>
      </c>
      <c r="V19" s="36">
        <f t="shared" si="18"/>
        <v>16684.68</v>
      </c>
      <c r="W19" s="36">
        <f t="shared" si="18"/>
        <v>16694.46</v>
      </c>
      <c r="X19" s="36">
        <f t="shared" si="18"/>
        <v>16704.239999999998</v>
      </c>
      <c r="Y19" s="36">
        <f t="shared" si="18"/>
        <v>16714.02</v>
      </c>
      <c r="Z19" s="36">
        <f t="shared" si="18"/>
        <v>16723.8</v>
      </c>
      <c r="AA19" s="36">
        <f t="shared" si="18"/>
        <v>16733.579999999998</v>
      </c>
      <c r="AB19" s="36">
        <f t="shared" si="18"/>
        <v>16743.36</v>
      </c>
      <c r="AC19" s="36">
        <f t="shared" si="18"/>
        <v>16753.14</v>
      </c>
      <c r="AD19" s="36">
        <f t="shared" si="18"/>
        <v>16762.919999999998</v>
      </c>
    </row>
    <row r="20" spans="1:30" x14ac:dyDescent="0.25">
      <c r="A20" s="35" t="s">
        <v>455</v>
      </c>
      <c r="B20" s="36">
        <f>B16*$P$5</f>
        <v>13515</v>
      </c>
      <c r="C20" s="36">
        <f t="shared" ref="C20:AD20" si="19">C16*$P$5</f>
        <v>13515</v>
      </c>
      <c r="D20" s="36">
        <f t="shared" si="19"/>
        <v>13519.25</v>
      </c>
      <c r="E20" s="36">
        <f t="shared" si="19"/>
        <v>14462.75</v>
      </c>
      <c r="F20" s="36">
        <f t="shared" si="19"/>
        <v>14462.75</v>
      </c>
      <c r="G20" s="36">
        <f t="shared" si="19"/>
        <v>14467</v>
      </c>
      <c r="H20" s="36">
        <f t="shared" si="19"/>
        <v>14467</v>
      </c>
      <c r="I20" s="36">
        <f t="shared" si="19"/>
        <v>14467</v>
      </c>
      <c r="J20" s="36">
        <f t="shared" si="19"/>
        <v>14471.25</v>
      </c>
      <c r="K20" s="36">
        <f t="shared" si="19"/>
        <v>14471.25</v>
      </c>
      <c r="L20" s="36">
        <f t="shared" si="19"/>
        <v>14471.25</v>
      </c>
      <c r="M20" s="36">
        <f t="shared" si="19"/>
        <v>14475.5</v>
      </c>
      <c r="N20" s="36">
        <f t="shared" si="19"/>
        <v>14475.5</v>
      </c>
      <c r="O20" s="36">
        <f t="shared" si="19"/>
        <v>14475.5</v>
      </c>
      <c r="P20" s="36">
        <f t="shared" si="19"/>
        <v>14479.75</v>
      </c>
      <c r="Q20" s="36">
        <f t="shared" si="19"/>
        <v>14479.75</v>
      </c>
      <c r="R20" s="36">
        <f t="shared" si="19"/>
        <v>14479.75</v>
      </c>
      <c r="S20" s="36">
        <f t="shared" si="19"/>
        <v>14484</v>
      </c>
      <c r="T20" s="36">
        <f t="shared" si="19"/>
        <v>14484</v>
      </c>
      <c r="U20" s="36">
        <f t="shared" si="19"/>
        <v>14492.5</v>
      </c>
      <c r="V20" s="36">
        <f t="shared" si="19"/>
        <v>14501</v>
      </c>
      <c r="W20" s="36">
        <f t="shared" si="19"/>
        <v>14509.5</v>
      </c>
      <c r="X20" s="36">
        <f t="shared" si="19"/>
        <v>14518</v>
      </c>
      <c r="Y20" s="36">
        <f t="shared" si="19"/>
        <v>14526.5</v>
      </c>
      <c r="Z20" s="36">
        <f t="shared" si="19"/>
        <v>14535</v>
      </c>
      <c r="AA20" s="36">
        <f t="shared" si="19"/>
        <v>14543.5</v>
      </c>
      <c r="AB20" s="36">
        <f t="shared" si="19"/>
        <v>14552</v>
      </c>
      <c r="AC20" s="36">
        <f t="shared" si="19"/>
        <v>14560.5</v>
      </c>
      <c r="AD20" s="36">
        <f t="shared" si="19"/>
        <v>14569</v>
      </c>
    </row>
    <row r="21" spans="1:30" x14ac:dyDescent="0.25">
      <c r="A21" s="35" t="s">
        <v>456</v>
      </c>
      <c r="B21" s="36">
        <f>B16*$Q$5</f>
        <v>1621.8</v>
      </c>
      <c r="C21" s="36">
        <f t="shared" ref="C21:AD21" si="20">C16*$Q$5</f>
        <v>1621.8</v>
      </c>
      <c r="D21" s="36">
        <f t="shared" si="20"/>
        <v>1622.31</v>
      </c>
      <c r="E21" s="36">
        <f t="shared" si="20"/>
        <v>1735.53</v>
      </c>
      <c r="F21" s="36">
        <f t="shared" si="20"/>
        <v>1735.53</v>
      </c>
      <c r="G21" s="36">
        <f t="shared" si="20"/>
        <v>1736.04</v>
      </c>
      <c r="H21" s="36">
        <f t="shared" si="20"/>
        <v>1736.04</v>
      </c>
      <c r="I21" s="36">
        <f t="shared" si="20"/>
        <v>1736.04</v>
      </c>
      <c r="J21" s="36">
        <f t="shared" si="20"/>
        <v>1736.55</v>
      </c>
      <c r="K21" s="36">
        <f t="shared" si="20"/>
        <v>1736.55</v>
      </c>
      <c r="L21" s="36">
        <f t="shared" si="20"/>
        <v>1736.55</v>
      </c>
      <c r="M21" s="36">
        <f t="shared" si="20"/>
        <v>1737.06</v>
      </c>
      <c r="N21" s="36">
        <f t="shared" si="20"/>
        <v>1737.06</v>
      </c>
      <c r="O21" s="36">
        <f t="shared" si="20"/>
        <v>1737.06</v>
      </c>
      <c r="P21" s="36">
        <f t="shared" si="20"/>
        <v>1737.57</v>
      </c>
      <c r="Q21" s="36">
        <f t="shared" si="20"/>
        <v>1737.57</v>
      </c>
      <c r="R21" s="36">
        <f t="shared" si="20"/>
        <v>1737.57</v>
      </c>
      <c r="S21" s="36">
        <f t="shared" si="20"/>
        <v>1738.08</v>
      </c>
      <c r="T21" s="36">
        <f t="shared" si="20"/>
        <v>1738.08</v>
      </c>
      <c r="U21" s="36">
        <f t="shared" si="20"/>
        <v>1739.1000000000001</v>
      </c>
      <c r="V21" s="36">
        <f t="shared" si="20"/>
        <v>1740.1200000000001</v>
      </c>
      <c r="W21" s="36">
        <f t="shared" si="20"/>
        <v>1741.14</v>
      </c>
      <c r="X21" s="36">
        <f t="shared" si="20"/>
        <v>1742.16</v>
      </c>
      <c r="Y21" s="36">
        <f t="shared" si="20"/>
        <v>1743.18</v>
      </c>
      <c r="Z21" s="36">
        <f t="shared" si="20"/>
        <v>1744.2</v>
      </c>
      <c r="AA21" s="36">
        <f t="shared" si="20"/>
        <v>1745.22</v>
      </c>
      <c r="AB21" s="36">
        <f t="shared" si="20"/>
        <v>1746.24</v>
      </c>
      <c r="AC21" s="36">
        <f t="shared" si="20"/>
        <v>1747.26</v>
      </c>
      <c r="AD21" s="36">
        <f t="shared" si="20"/>
        <v>1748.28</v>
      </c>
    </row>
    <row r="22" spans="1:30" x14ac:dyDescent="0.25">
      <c r="A22" s="35" t="s">
        <v>457</v>
      </c>
      <c r="B22" s="36">
        <f t="shared" ref="B22:AD22" si="21">MIN(B$18,$C$4)</f>
        <v>40513.199999999997</v>
      </c>
      <c r="C22" s="36">
        <f t="shared" si="21"/>
        <v>40513.199999999997</v>
      </c>
      <c r="D22" s="36">
        <f t="shared" si="21"/>
        <v>40513.199999999997</v>
      </c>
      <c r="E22" s="36">
        <f t="shared" si="21"/>
        <v>40513.199999999997</v>
      </c>
      <c r="F22" s="36">
        <f t="shared" si="21"/>
        <v>40513.199999999997</v>
      </c>
      <c r="G22" s="36">
        <f t="shared" si="21"/>
        <v>40513.199999999997</v>
      </c>
      <c r="H22" s="36">
        <f t="shared" si="21"/>
        <v>40513.199999999997</v>
      </c>
      <c r="I22" s="36">
        <f t="shared" si="21"/>
        <v>40513.199999999997</v>
      </c>
      <c r="J22" s="36">
        <f t="shared" si="21"/>
        <v>40513.199999999997</v>
      </c>
      <c r="K22" s="36">
        <f t="shared" si="21"/>
        <v>40513.199999999997</v>
      </c>
      <c r="L22" s="36">
        <f t="shared" si="21"/>
        <v>40513.199999999997</v>
      </c>
      <c r="M22" s="36">
        <f t="shared" si="21"/>
        <v>40513.199999999997</v>
      </c>
      <c r="N22" s="36">
        <f t="shared" si="21"/>
        <v>40513.199999999997</v>
      </c>
      <c r="O22" s="36">
        <f t="shared" si="21"/>
        <v>40513.199999999997</v>
      </c>
      <c r="P22" s="36">
        <f t="shared" si="21"/>
        <v>40513.199999999997</v>
      </c>
      <c r="Q22" s="36">
        <f t="shared" si="21"/>
        <v>40513.199999999997</v>
      </c>
      <c r="R22" s="36">
        <f t="shared" si="21"/>
        <v>40513.199999999997</v>
      </c>
      <c r="S22" s="36">
        <f t="shared" si="21"/>
        <v>40513.199999999997</v>
      </c>
      <c r="T22" s="36">
        <f t="shared" si="21"/>
        <v>40513.199999999997</v>
      </c>
      <c r="U22" s="36">
        <f t="shared" si="21"/>
        <v>40513.199999999997</v>
      </c>
      <c r="V22" s="36">
        <f t="shared" si="21"/>
        <v>40513.199999999997</v>
      </c>
      <c r="W22" s="36">
        <f t="shared" si="21"/>
        <v>40513.199999999997</v>
      </c>
      <c r="X22" s="36">
        <f t="shared" si="21"/>
        <v>40513.199999999997</v>
      </c>
      <c r="Y22" s="36">
        <f t="shared" si="21"/>
        <v>40513.199999999997</v>
      </c>
      <c r="Z22" s="36">
        <f t="shared" si="21"/>
        <v>40513.199999999997</v>
      </c>
      <c r="AA22" s="36">
        <f t="shared" si="21"/>
        <v>40513.199999999997</v>
      </c>
      <c r="AB22" s="36">
        <f t="shared" si="21"/>
        <v>40513.199999999997</v>
      </c>
      <c r="AC22" s="36">
        <f t="shared" si="21"/>
        <v>40513.199999999997</v>
      </c>
      <c r="AD22" s="36">
        <f t="shared" si="21"/>
        <v>40513.199999999997</v>
      </c>
    </row>
    <row r="23" spans="1:30" x14ac:dyDescent="0.25">
      <c r="A23" s="35" t="s">
        <v>458</v>
      </c>
      <c r="B23" s="36">
        <f t="shared" ref="B23:AD23" si="22">MIN(B$19,$C$5)</f>
        <v>15550.199999999999</v>
      </c>
      <c r="C23" s="36">
        <f t="shared" si="22"/>
        <v>15550.199999999999</v>
      </c>
      <c r="D23" s="36">
        <f t="shared" si="22"/>
        <v>15550.199999999999</v>
      </c>
      <c r="E23" s="36">
        <f t="shared" si="22"/>
        <v>15550.199999999999</v>
      </c>
      <c r="F23" s="36">
        <f t="shared" si="22"/>
        <v>15550.199999999999</v>
      </c>
      <c r="G23" s="36">
        <f t="shared" si="22"/>
        <v>15550.199999999999</v>
      </c>
      <c r="H23" s="36">
        <f t="shared" si="22"/>
        <v>15550.199999999999</v>
      </c>
      <c r="I23" s="36">
        <f t="shared" si="22"/>
        <v>15550.199999999999</v>
      </c>
      <c r="J23" s="36">
        <f t="shared" si="22"/>
        <v>15550.199999999999</v>
      </c>
      <c r="K23" s="36">
        <f t="shared" si="22"/>
        <v>15550.199999999999</v>
      </c>
      <c r="L23" s="36">
        <f t="shared" si="22"/>
        <v>15550.199999999999</v>
      </c>
      <c r="M23" s="36">
        <f t="shared" si="22"/>
        <v>15550.199999999999</v>
      </c>
      <c r="N23" s="36">
        <f t="shared" si="22"/>
        <v>15550.199999999999</v>
      </c>
      <c r="O23" s="36">
        <f t="shared" si="22"/>
        <v>15550.199999999999</v>
      </c>
      <c r="P23" s="36">
        <f t="shared" si="22"/>
        <v>15550.199999999999</v>
      </c>
      <c r="Q23" s="36">
        <f t="shared" si="22"/>
        <v>15550.199999999999</v>
      </c>
      <c r="R23" s="36">
        <f t="shared" si="22"/>
        <v>15550.199999999999</v>
      </c>
      <c r="S23" s="36">
        <f t="shared" si="22"/>
        <v>15550.199999999999</v>
      </c>
      <c r="T23" s="36">
        <f t="shared" si="22"/>
        <v>15550.199999999999</v>
      </c>
      <c r="U23" s="36">
        <f t="shared" si="22"/>
        <v>15550.199999999999</v>
      </c>
      <c r="V23" s="36">
        <f t="shared" si="22"/>
        <v>15550.199999999999</v>
      </c>
      <c r="W23" s="36">
        <f t="shared" si="22"/>
        <v>15550.199999999999</v>
      </c>
      <c r="X23" s="36">
        <f t="shared" si="22"/>
        <v>15550.199999999999</v>
      </c>
      <c r="Y23" s="36">
        <f t="shared" si="22"/>
        <v>15550.199999999999</v>
      </c>
      <c r="Z23" s="36">
        <f t="shared" si="22"/>
        <v>15550.199999999999</v>
      </c>
      <c r="AA23" s="36">
        <f t="shared" si="22"/>
        <v>15550.199999999999</v>
      </c>
      <c r="AB23" s="36">
        <f t="shared" si="22"/>
        <v>15550.199999999999</v>
      </c>
      <c r="AC23" s="36">
        <f t="shared" si="22"/>
        <v>15550.199999999999</v>
      </c>
      <c r="AD23" s="36">
        <f t="shared" si="22"/>
        <v>15550.199999999999</v>
      </c>
    </row>
    <row r="24" spans="1:30" x14ac:dyDescent="0.25">
      <c r="A24" s="35" t="s">
        <v>459</v>
      </c>
      <c r="B24" s="36">
        <f t="shared" ref="B24:AD24" si="23">MIN(B$20,$C$6)</f>
        <v>13515</v>
      </c>
      <c r="C24" s="36">
        <f t="shared" si="23"/>
        <v>13515</v>
      </c>
      <c r="D24" s="36">
        <f t="shared" si="23"/>
        <v>13515</v>
      </c>
      <c r="E24" s="36">
        <f t="shared" si="23"/>
        <v>13515</v>
      </c>
      <c r="F24" s="36">
        <f t="shared" si="23"/>
        <v>13515</v>
      </c>
      <c r="G24" s="36">
        <f t="shared" si="23"/>
        <v>13515</v>
      </c>
      <c r="H24" s="36">
        <f t="shared" si="23"/>
        <v>13515</v>
      </c>
      <c r="I24" s="36">
        <f t="shared" si="23"/>
        <v>13515</v>
      </c>
      <c r="J24" s="36">
        <f t="shared" si="23"/>
        <v>13515</v>
      </c>
      <c r="K24" s="36">
        <f t="shared" si="23"/>
        <v>13515</v>
      </c>
      <c r="L24" s="36">
        <f t="shared" si="23"/>
        <v>13515</v>
      </c>
      <c r="M24" s="36">
        <f t="shared" si="23"/>
        <v>13515</v>
      </c>
      <c r="N24" s="36">
        <f t="shared" si="23"/>
        <v>13515</v>
      </c>
      <c r="O24" s="36">
        <f t="shared" si="23"/>
        <v>13515</v>
      </c>
      <c r="P24" s="36">
        <f t="shared" si="23"/>
        <v>13515</v>
      </c>
      <c r="Q24" s="36">
        <f t="shared" si="23"/>
        <v>13515</v>
      </c>
      <c r="R24" s="36">
        <f t="shared" si="23"/>
        <v>13515</v>
      </c>
      <c r="S24" s="36">
        <f t="shared" si="23"/>
        <v>13515</v>
      </c>
      <c r="T24" s="36">
        <f t="shared" si="23"/>
        <v>13515</v>
      </c>
      <c r="U24" s="36">
        <f t="shared" si="23"/>
        <v>13515</v>
      </c>
      <c r="V24" s="36">
        <f t="shared" si="23"/>
        <v>13515</v>
      </c>
      <c r="W24" s="36">
        <f t="shared" si="23"/>
        <v>13515</v>
      </c>
      <c r="X24" s="36">
        <f t="shared" si="23"/>
        <v>13515</v>
      </c>
      <c r="Y24" s="36">
        <f t="shared" si="23"/>
        <v>13515</v>
      </c>
      <c r="Z24" s="36">
        <f t="shared" si="23"/>
        <v>13515</v>
      </c>
      <c r="AA24" s="36">
        <f t="shared" si="23"/>
        <v>13515</v>
      </c>
      <c r="AB24" s="36">
        <f t="shared" si="23"/>
        <v>13515</v>
      </c>
      <c r="AC24" s="36">
        <f t="shared" si="23"/>
        <v>13515</v>
      </c>
      <c r="AD24" s="36">
        <f t="shared" si="23"/>
        <v>13515</v>
      </c>
    </row>
    <row r="25" spans="1:30" x14ac:dyDescent="0.25">
      <c r="A25" s="35" t="s">
        <v>460</v>
      </c>
      <c r="B25" s="36">
        <f t="shared" ref="B25:AD25" si="24">MIN(B$21,$C$7)</f>
        <v>1621.8</v>
      </c>
      <c r="C25" s="36">
        <f t="shared" si="24"/>
        <v>1621.8</v>
      </c>
      <c r="D25" s="36">
        <f t="shared" si="24"/>
        <v>1621.8</v>
      </c>
      <c r="E25" s="36">
        <f t="shared" si="24"/>
        <v>1621.8</v>
      </c>
      <c r="F25" s="36">
        <f t="shared" si="24"/>
        <v>1621.8</v>
      </c>
      <c r="G25" s="36">
        <f t="shared" si="24"/>
        <v>1621.8</v>
      </c>
      <c r="H25" s="36">
        <f t="shared" si="24"/>
        <v>1621.8</v>
      </c>
      <c r="I25" s="36">
        <f t="shared" si="24"/>
        <v>1621.8</v>
      </c>
      <c r="J25" s="36">
        <f t="shared" si="24"/>
        <v>1621.8</v>
      </c>
      <c r="K25" s="36">
        <f t="shared" si="24"/>
        <v>1621.8</v>
      </c>
      <c r="L25" s="36">
        <f t="shared" si="24"/>
        <v>1621.8</v>
      </c>
      <c r="M25" s="36">
        <f t="shared" si="24"/>
        <v>1621.8</v>
      </c>
      <c r="N25" s="36">
        <f t="shared" si="24"/>
        <v>1621.8</v>
      </c>
      <c r="O25" s="36">
        <f t="shared" si="24"/>
        <v>1621.8</v>
      </c>
      <c r="P25" s="36">
        <f t="shared" si="24"/>
        <v>1621.8</v>
      </c>
      <c r="Q25" s="36">
        <f t="shared" si="24"/>
        <v>1621.8</v>
      </c>
      <c r="R25" s="36">
        <f t="shared" si="24"/>
        <v>1621.8</v>
      </c>
      <c r="S25" s="36">
        <f t="shared" si="24"/>
        <v>1621.8</v>
      </c>
      <c r="T25" s="36">
        <f t="shared" si="24"/>
        <v>1621.8</v>
      </c>
      <c r="U25" s="36">
        <f t="shared" si="24"/>
        <v>1621.8</v>
      </c>
      <c r="V25" s="36">
        <f t="shared" si="24"/>
        <v>1621.8</v>
      </c>
      <c r="W25" s="36">
        <f t="shared" si="24"/>
        <v>1621.8</v>
      </c>
      <c r="X25" s="36">
        <f t="shared" si="24"/>
        <v>1621.8</v>
      </c>
      <c r="Y25" s="36">
        <f t="shared" si="24"/>
        <v>1621.8</v>
      </c>
      <c r="Z25" s="36">
        <f t="shared" si="24"/>
        <v>1621.8</v>
      </c>
      <c r="AA25" s="36">
        <f t="shared" si="24"/>
        <v>1621.8</v>
      </c>
      <c r="AB25" s="36">
        <f t="shared" si="24"/>
        <v>1621.8</v>
      </c>
      <c r="AC25" s="36">
        <f t="shared" si="24"/>
        <v>1621.8</v>
      </c>
      <c r="AD25" s="36">
        <f t="shared" si="24"/>
        <v>1621.8</v>
      </c>
    </row>
    <row r="26" spans="1:30" x14ac:dyDescent="0.25">
      <c r="A26" s="37" t="s">
        <v>461</v>
      </c>
      <c r="B26" s="38">
        <v>0</v>
      </c>
      <c r="C26" s="38">
        <f>IF(C22&gt;$B$4,(C22-$B$4)*$H$4,0)</f>
        <v>35764.39999999998</v>
      </c>
      <c r="D26" s="38">
        <v>0</v>
      </c>
      <c r="E26" s="38">
        <f>IF(E22&gt;$B$4,(E22-$B$4)*$H$4,0)</f>
        <v>35764.39999999998</v>
      </c>
      <c r="F26" s="38">
        <v>0</v>
      </c>
      <c r="G26" s="38">
        <f>IF(G22&gt;$B$4,(G22-$B$4)*$H$4,0)</f>
        <v>35764.39999999998</v>
      </c>
      <c r="H26" s="38">
        <v>0</v>
      </c>
      <c r="I26" s="38">
        <v>0</v>
      </c>
      <c r="J26" s="38">
        <f>IF(J22&gt;$B$4,(J22-$B$4)*$H$4,0)</f>
        <v>35764.39999999998</v>
      </c>
      <c r="K26" s="38">
        <v>0</v>
      </c>
      <c r="L26" s="38">
        <f>IF(L22&gt;$B$4,(L22-$B$4)*$H$4,0)</f>
        <v>35764.39999999998</v>
      </c>
      <c r="M26" s="38">
        <v>0</v>
      </c>
      <c r="N26" s="38">
        <f>IF(N22&gt;$B$4,(N22-$B$4)*$H$4,0)</f>
        <v>35764.39999999998</v>
      </c>
      <c r="O26" s="38">
        <v>0</v>
      </c>
      <c r="P26" s="38">
        <f>IF(P22&gt;$B$4,(P22-$B$4)*$H$4,0)</f>
        <v>35764.39999999998</v>
      </c>
      <c r="Q26" s="38">
        <v>0</v>
      </c>
      <c r="R26" s="38">
        <f>IF(R22&gt;$B$4,(R22-$B$4)*$H$4,0)</f>
        <v>35764.39999999998</v>
      </c>
      <c r="S26" s="38">
        <v>0</v>
      </c>
      <c r="T26" s="38">
        <f>IF(T22&gt;$B$4,(T22-$B$4)*$H$4,0)</f>
        <v>35764.39999999998</v>
      </c>
      <c r="U26" s="38">
        <v>0</v>
      </c>
      <c r="V26" s="38">
        <f>IF(V22&gt;$B$4,(V22-$B$4)*$H$4,0)</f>
        <v>35764.39999999998</v>
      </c>
      <c r="W26" s="38">
        <v>0</v>
      </c>
      <c r="X26" s="38">
        <f>IF(X22&gt;$B$4,(X22-$B$4)*$H$4,0)</f>
        <v>35764.39999999998</v>
      </c>
      <c r="Y26" s="38">
        <v>0</v>
      </c>
      <c r="Z26" s="38">
        <f>IF(Z22&gt;$B$4,(Z22-$B$4)*$H$4,0)</f>
        <v>35764.39999999998</v>
      </c>
      <c r="AA26" s="38">
        <v>0</v>
      </c>
      <c r="AB26" s="38">
        <f>IF(AB22&gt;$B$4,(AB22-$B$4)*$H$4,0)</f>
        <v>35764.39999999998</v>
      </c>
      <c r="AC26" s="38">
        <v>0</v>
      </c>
      <c r="AD26" s="38">
        <f>IF(AD22&gt;$B$4,(AD22-$B$4)*$H$4,0)</f>
        <v>35764.39999999998</v>
      </c>
    </row>
    <row r="27" spans="1:30" x14ac:dyDescent="0.25">
      <c r="A27" s="37" t="s">
        <v>462</v>
      </c>
      <c r="B27" s="38">
        <v>0</v>
      </c>
      <c r="C27" s="38">
        <f>IF(C23&gt;$B$5,(C23-$B$5)*$H$5,0)</f>
        <v>19611.999999999989</v>
      </c>
      <c r="D27" s="38">
        <v>0</v>
      </c>
      <c r="E27" s="38">
        <f>IF(E23&gt;$B$5,(E23-$B$5)*$H$5,0)</f>
        <v>19611.999999999989</v>
      </c>
      <c r="F27" s="38">
        <v>0</v>
      </c>
      <c r="G27" s="38">
        <f>IF(G23&gt;$B$5,(G23-$B$5)*$H$5,0)</f>
        <v>19611.999999999989</v>
      </c>
      <c r="H27" s="38">
        <v>0</v>
      </c>
      <c r="I27" s="38">
        <v>0</v>
      </c>
      <c r="J27" s="38">
        <f>IF(J23&gt;$B$5,(J23-$B$5)*$H$5,0)</f>
        <v>19611.999999999989</v>
      </c>
      <c r="K27" s="38">
        <v>0</v>
      </c>
      <c r="L27" s="38">
        <f>IF(L23&gt;$B$5,(L23-$B$5)*$H$5,0)</f>
        <v>19611.999999999989</v>
      </c>
      <c r="M27" s="38">
        <v>0</v>
      </c>
      <c r="N27" s="38">
        <f>IF(N23&gt;$B$5,(N23-$B$5)*$H$5,0)</f>
        <v>19611.999999999989</v>
      </c>
      <c r="O27" s="38">
        <v>0</v>
      </c>
      <c r="P27" s="38">
        <f>IF(P23&gt;$B$5,(P23-$B$5)*$H$5,0)</f>
        <v>19611.999999999989</v>
      </c>
      <c r="Q27" s="38">
        <v>0</v>
      </c>
      <c r="R27" s="38">
        <f>IF(R23&gt;$B$5,(R23-$B$5)*$H$5,0)</f>
        <v>19611.999999999989</v>
      </c>
      <c r="S27" s="38">
        <v>0</v>
      </c>
      <c r="T27" s="38">
        <f>IF(T23&gt;$B$5,(T23-$B$5)*$H$5,0)</f>
        <v>19611.999999999989</v>
      </c>
      <c r="U27" s="38">
        <v>0</v>
      </c>
      <c r="V27" s="38">
        <f>IF(V23&gt;$B$5,(V23-$B$5)*$H$5,0)</f>
        <v>19611.999999999989</v>
      </c>
      <c r="W27" s="38">
        <v>0</v>
      </c>
      <c r="X27" s="38">
        <f>IF(X23&gt;$B$5,(X23-$B$5)*$H$5,0)</f>
        <v>19611.999999999989</v>
      </c>
      <c r="Y27" s="38">
        <v>0</v>
      </c>
      <c r="Z27" s="38">
        <f>IF(Z23&gt;$B$5,(Z23-$B$5)*$H$5,0)</f>
        <v>19611.999999999989</v>
      </c>
      <c r="AA27" s="38">
        <v>0</v>
      </c>
      <c r="AB27" s="38">
        <f>IF(AB23&gt;$B$5,(AB23-$B$5)*$H$5,0)</f>
        <v>19611.999999999989</v>
      </c>
      <c r="AC27" s="38">
        <v>0</v>
      </c>
      <c r="AD27" s="38">
        <f>IF(AD23&gt;$B$5,(AD23-$B$5)*$H$5,0)</f>
        <v>19611.999999999989</v>
      </c>
    </row>
    <row r="28" spans="1:30" x14ac:dyDescent="0.25">
      <c r="A28" s="37" t="s">
        <v>463</v>
      </c>
      <c r="B28" s="38">
        <v>0</v>
      </c>
      <c r="C28" s="38">
        <f>IF(C24&gt;$B$6,(C24-$B$6)*$H$6,0)</f>
        <v>32376</v>
      </c>
      <c r="D28" s="38">
        <v>0</v>
      </c>
      <c r="E28" s="38">
        <f>IF(E24&gt;$B$6,(E24-$B$6)*$H$6,0)</f>
        <v>32376</v>
      </c>
      <c r="F28" s="38">
        <v>0</v>
      </c>
      <c r="G28" s="38">
        <f>IF(G24&gt;$B$6,(G24-$B$6)*$H$6,0)</f>
        <v>32376</v>
      </c>
      <c r="H28" s="38">
        <v>0</v>
      </c>
      <c r="I28" s="38">
        <v>0</v>
      </c>
      <c r="J28" s="38">
        <f>IF(J24&gt;$B$6,(J24-$B$6)*$H$6,0)</f>
        <v>32376</v>
      </c>
      <c r="K28" s="38">
        <v>0</v>
      </c>
      <c r="L28" s="38">
        <f>IF(L24&gt;$B$6,(L24-$B$6)*$H$6,0)</f>
        <v>32376</v>
      </c>
      <c r="M28" s="38">
        <v>0</v>
      </c>
      <c r="N28" s="38">
        <f>IF(N24&gt;$B$6,(N24-$B$6)*$H$6,0)</f>
        <v>32376</v>
      </c>
      <c r="O28" s="38">
        <v>0</v>
      </c>
      <c r="P28" s="38">
        <f>IF(P24&gt;$B$6,(P24-$B$6)*$H$6,0)</f>
        <v>32376</v>
      </c>
      <c r="Q28" s="38">
        <v>0</v>
      </c>
      <c r="R28" s="38">
        <f>IF(R24&gt;$B$6,(R24-$B$6)*$H$6,0)</f>
        <v>32376</v>
      </c>
      <c r="S28" s="38">
        <v>0</v>
      </c>
      <c r="T28" s="38">
        <f>IF(T24&gt;$B$6,(T24-$B$6)*$H$6,0)</f>
        <v>32376</v>
      </c>
      <c r="U28" s="38">
        <v>0</v>
      </c>
      <c r="V28" s="38">
        <f>IF(V24&gt;$B$6,(V24-$B$6)*$H$6,0)</f>
        <v>32376</v>
      </c>
      <c r="W28" s="38">
        <v>0</v>
      </c>
      <c r="X28" s="38">
        <f>IF(X24&gt;$B$6,(X24-$B$6)*$H$6,0)</f>
        <v>32376</v>
      </c>
      <c r="Y28" s="38">
        <v>0</v>
      </c>
      <c r="Z28" s="38">
        <f>IF(Z24&gt;$B$6,(Z24-$B$6)*$H$6,0)</f>
        <v>32376</v>
      </c>
      <c r="AA28" s="38">
        <v>0</v>
      </c>
      <c r="AB28" s="38">
        <f>IF(AB24&gt;$B$6,(AB24-$B$6)*$H$6,0)</f>
        <v>32376</v>
      </c>
      <c r="AC28" s="38">
        <v>0</v>
      </c>
      <c r="AD28" s="38">
        <f>IF(AD24&gt;$B$6,(AD24-$B$6)*$H$6,0)</f>
        <v>32376</v>
      </c>
    </row>
    <row r="29" spans="1:30" x14ac:dyDescent="0.25">
      <c r="A29" s="37" t="s">
        <v>464</v>
      </c>
      <c r="B29" s="38">
        <v>0</v>
      </c>
      <c r="C29" s="38">
        <f>IF(C25&gt;$B$7,(C25-$B$7)*$H$7,0)</f>
        <v>7167.9999999999982</v>
      </c>
      <c r="D29" s="38">
        <v>0</v>
      </c>
      <c r="E29" s="38">
        <f>IF(E25&gt;$B$7,(E25-$B$7)*$H$7,0)</f>
        <v>7167.9999999999982</v>
      </c>
      <c r="F29" s="38">
        <v>0</v>
      </c>
      <c r="G29" s="38">
        <f>IF(G25&gt;$B$7,(G25-$B$7)*$H$7,0)</f>
        <v>7167.9999999999982</v>
      </c>
      <c r="H29" s="38">
        <v>0</v>
      </c>
      <c r="I29" s="38">
        <v>0</v>
      </c>
      <c r="J29" s="38">
        <f>IF(J25&gt;$B$7,(J25-$B$7)*$H$7,0)</f>
        <v>7167.9999999999982</v>
      </c>
      <c r="K29" s="38">
        <v>0</v>
      </c>
      <c r="L29" s="38">
        <f>IF(L25&gt;$B$7,(L25-$B$7)*$H$7,0)</f>
        <v>7167.9999999999982</v>
      </c>
      <c r="M29" s="38">
        <v>0</v>
      </c>
      <c r="N29" s="38">
        <f>IF(N25&gt;$B$7,(N25-$B$7)*$H$7,0)</f>
        <v>7167.9999999999982</v>
      </c>
      <c r="O29" s="38">
        <v>0</v>
      </c>
      <c r="P29" s="38">
        <f>IF(P25&gt;$B$7,(P25-$B$7)*$H$7,0)</f>
        <v>7167.9999999999982</v>
      </c>
      <c r="Q29" s="38">
        <v>0</v>
      </c>
      <c r="R29" s="38">
        <f>IF(R25&gt;$B$7,(R25-$B$7)*$H$7,0)</f>
        <v>7167.9999999999982</v>
      </c>
      <c r="S29" s="38">
        <v>0</v>
      </c>
      <c r="T29" s="38">
        <f>IF(T25&gt;$B$7,(T25-$B$7)*$H$7,0)</f>
        <v>7167.9999999999982</v>
      </c>
      <c r="U29" s="38">
        <v>0</v>
      </c>
      <c r="V29" s="38">
        <f>IF(V25&gt;$B$7,(V25-$B$7)*$H$7,0)</f>
        <v>7167.9999999999982</v>
      </c>
      <c r="W29" s="38">
        <v>0</v>
      </c>
      <c r="X29" s="38">
        <f>IF(X25&gt;$B$7,(X25-$B$7)*$H$7,0)</f>
        <v>7167.9999999999982</v>
      </c>
      <c r="Y29" s="38">
        <v>0</v>
      </c>
      <c r="Z29" s="38">
        <f>IF(Z25&gt;$B$7,(Z25-$B$7)*$H$7,0)</f>
        <v>7167.9999999999982</v>
      </c>
      <c r="AA29" s="38">
        <v>0</v>
      </c>
      <c r="AB29" s="38">
        <f>IF(AB25&gt;$B$7,(AB25-$B$7)*$H$7,0)</f>
        <v>7167.9999999999982</v>
      </c>
      <c r="AC29" s="38">
        <v>0</v>
      </c>
      <c r="AD29" s="38">
        <f>IF(AD25&gt;$B$7,(AD25-$B$7)*$H$7,0)</f>
        <v>7167.9999999999982</v>
      </c>
    </row>
    <row r="30" spans="1:30" x14ac:dyDescent="0.25">
      <c r="A30" s="39" t="s">
        <v>465</v>
      </c>
      <c r="B30" s="40">
        <f>G4+G5+G6+G7</f>
        <v>6143.4399999999978</v>
      </c>
      <c r="C30" s="40">
        <f t="shared" ref="C30:AD30" si="25">B30</f>
        <v>6143.4399999999978</v>
      </c>
      <c r="D30" s="40">
        <f t="shared" si="25"/>
        <v>6143.4399999999978</v>
      </c>
      <c r="E30" s="40">
        <f t="shared" si="25"/>
        <v>6143.4399999999978</v>
      </c>
      <c r="F30" s="40">
        <f t="shared" si="25"/>
        <v>6143.4399999999978</v>
      </c>
      <c r="G30" s="40">
        <f t="shared" si="25"/>
        <v>6143.4399999999978</v>
      </c>
      <c r="H30" s="40">
        <f t="shared" si="25"/>
        <v>6143.4399999999978</v>
      </c>
      <c r="I30" s="40">
        <f t="shared" si="25"/>
        <v>6143.4399999999978</v>
      </c>
      <c r="J30" s="40">
        <f t="shared" si="25"/>
        <v>6143.4399999999978</v>
      </c>
      <c r="K30" s="40">
        <f t="shared" si="25"/>
        <v>6143.4399999999978</v>
      </c>
      <c r="L30" s="40">
        <f t="shared" si="25"/>
        <v>6143.4399999999978</v>
      </c>
      <c r="M30" s="40">
        <f t="shared" si="25"/>
        <v>6143.4399999999978</v>
      </c>
      <c r="N30" s="40">
        <f t="shared" si="25"/>
        <v>6143.4399999999978</v>
      </c>
      <c r="O30" s="40">
        <f t="shared" si="25"/>
        <v>6143.4399999999978</v>
      </c>
      <c r="P30" s="40">
        <f t="shared" si="25"/>
        <v>6143.4399999999978</v>
      </c>
      <c r="Q30" s="40">
        <f t="shared" si="25"/>
        <v>6143.4399999999978</v>
      </c>
      <c r="R30" s="40">
        <f t="shared" si="25"/>
        <v>6143.4399999999978</v>
      </c>
      <c r="S30" s="40">
        <f t="shared" si="25"/>
        <v>6143.4399999999978</v>
      </c>
      <c r="T30" s="40">
        <f t="shared" si="25"/>
        <v>6143.4399999999978</v>
      </c>
      <c r="U30" s="40">
        <f t="shared" si="25"/>
        <v>6143.4399999999978</v>
      </c>
      <c r="V30" s="40">
        <f t="shared" si="25"/>
        <v>6143.4399999999978</v>
      </c>
      <c r="W30" s="40">
        <f t="shared" si="25"/>
        <v>6143.4399999999978</v>
      </c>
      <c r="X30" s="40">
        <f t="shared" si="25"/>
        <v>6143.4399999999978</v>
      </c>
      <c r="Y30" s="40">
        <f t="shared" si="25"/>
        <v>6143.4399999999978</v>
      </c>
      <c r="Z30" s="40">
        <f t="shared" si="25"/>
        <v>6143.4399999999978</v>
      </c>
      <c r="AA30" s="40">
        <f t="shared" si="25"/>
        <v>6143.4399999999978</v>
      </c>
      <c r="AB30" s="40">
        <f t="shared" si="25"/>
        <v>6143.4399999999978</v>
      </c>
      <c r="AC30" s="40">
        <f t="shared" si="25"/>
        <v>6143.4399999999978</v>
      </c>
      <c r="AD30" s="40">
        <f t="shared" si="25"/>
        <v>6143.4399999999978</v>
      </c>
    </row>
    <row r="31" spans="1:30" x14ac:dyDescent="0.25">
      <c r="A31" s="41" t="s">
        <v>466</v>
      </c>
      <c r="B31" s="42">
        <f t="shared" ref="B31:AD31" si="26">B26+B27+B28+B29-B30</f>
        <v>-6143.4399999999978</v>
      </c>
      <c r="C31" s="42">
        <f t="shared" si="26"/>
        <v>88776.959999999963</v>
      </c>
      <c r="D31" s="42">
        <f t="shared" si="26"/>
        <v>-6143.4399999999978</v>
      </c>
      <c r="E31" s="42">
        <f t="shared" si="26"/>
        <v>88776.959999999963</v>
      </c>
      <c r="F31" s="42">
        <f t="shared" si="26"/>
        <v>-6143.4399999999978</v>
      </c>
      <c r="G31" s="42">
        <f t="shared" si="26"/>
        <v>88776.959999999963</v>
      </c>
      <c r="H31" s="42">
        <f t="shared" si="26"/>
        <v>-6143.4399999999978</v>
      </c>
      <c r="I31" s="42">
        <f t="shared" si="26"/>
        <v>-6143.4399999999978</v>
      </c>
      <c r="J31" s="42">
        <f t="shared" si="26"/>
        <v>88776.959999999963</v>
      </c>
      <c r="K31" s="42">
        <f t="shared" si="26"/>
        <v>-6143.4399999999978</v>
      </c>
      <c r="L31" s="42">
        <f t="shared" si="26"/>
        <v>88776.959999999963</v>
      </c>
      <c r="M31" s="42">
        <f t="shared" si="26"/>
        <v>-6143.4399999999978</v>
      </c>
      <c r="N31" s="42">
        <f t="shared" si="26"/>
        <v>88776.959999999963</v>
      </c>
      <c r="O31" s="42">
        <f t="shared" si="26"/>
        <v>-6143.4399999999978</v>
      </c>
      <c r="P31" s="42">
        <f t="shared" si="26"/>
        <v>88776.959999999963</v>
      </c>
      <c r="Q31" s="42">
        <f t="shared" si="26"/>
        <v>-6143.4399999999978</v>
      </c>
      <c r="R31" s="42">
        <f t="shared" si="26"/>
        <v>88776.959999999963</v>
      </c>
      <c r="S31" s="42">
        <f t="shared" si="26"/>
        <v>-6143.4399999999978</v>
      </c>
      <c r="T31" s="42">
        <f t="shared" si="26"/>
        <v>88776.959999999963</v>
      </c>
      <c r="U31" s="42">
        <f t="shared" si="26"/>
        <v>-6143.4399999999978</v>
      </c>
      <c r="V31" s="42">
        <f t="shared" si="26"/>
        <v>88776.959999999963</v>
      </c>
      <c r="W31" s="42">
        <f t="shared" si="26"/>
        <v>-6143.4399999999978</v>
      </c>
      <c r="X31" s="42">
        <f t="shared" si="26"/>
        <v>88776.959999999963</v>
      </c>
      <c r="Y31" s="42">
        <f t="shared" si="26"/>
        <v>-6143.4399999999978</v>
      </c>
      <c r="Z31" s="42">
        <f t="shared" si="26"/>
        <v>88776.959999999963</v>
      </c>
      <c r="AA31" s="42">
        <f t="shared" si="26"/>
        <v>-6143.4399999999978</v>
      </c>
      <c r="AB31" s="42">
        <f t="shared" si="26"/>
        <v>88776.959999999963</v>
      </c>
      <c r="AC31" s="42">
        <f t="shared" si="26"/>
        <v>-6143.4399999999978</v>
      </c>
      <c r="AD31" s="42">
        <f t="shared" si="26"/>
        <v>88776.959999999963</v>
      </c>
    </row>
    <row r="32" spans="1:30" x14ac:dyDescent="0.25">
      <c r="A32" s="43" t="s">
        <v>467</v>
      </c>
      <c r="B32" s="42">
        <f>-B12-B11+B31</f>
        <v>-607947.43999999971</v>
      </c>
      <c r="C32" s="42">
        <f t="shared" ref="C32:AD32" si="27">B32+C31</f>
        <v>-519170.47999999975</v>
      </c>
      <c r="D32" s="42">
        <f t="shared" si="27"/>
        <v>-525313.91999999969</v>
      </c>
      <c r="E32" s="42">
        <f t="shared" si="27"/>
        <v>-436536.95999999973</v>
      </c>
      <c r="F32" s="42">
        <f t="shared" si="27"/>
        <v>-442680.39999999973</v>
      </c>
      <c r="G32" s="42">
        <f t="shared" si="27"/>
        <v>-353903.43999999977</v>
      </c>
      <c r="H32" s="42">
        <f t="shared" si="27"/>
        <v>-360046.87999999977</v>
      </c>
      <c r="I32" s="42">
        <f t="shared" si="27"/>
        <v>-366190.31999999977</v>
      </c>
      <c r="J32" s="42">
        <f t="shared" si="27"/>
        <v>-277413.35999999981</v>
      </c>
      <c r="K32" s="42">
        <f t="shared" si="27"/>
        <v>-283556.79999999981</v>
      </c>
      <c r="L32" s="42">
        <f t="shared" si="27"/>
        <v>-194779.83999999985</v>
      </c>
      <c r="M32" s="42">
        <f t="shared" si="27"/>
        <v>-200923.27999999985</v>
      </c>
      <c r="N32" s="42">
        <f t="shared" si="27"/>
        <v>-112146.31999999989</v>
      </c>
      <c r="O32" s="42">
        <f t="shared" si="27"/>
        <v>-118289.75999999989</v>
      </c>
      <c r="P32" s="42">
        <f t="shared" si="27"/>
        <v>-29512.79999999993</v>
      </c>
      <c r="Q32" s="42">
        <f t="shared" si="27"/>
        <v>-35656.239999999925</v>
      </c>
      <c r="R32" s="42">
        <f t="shared" si="27"/>
        <v>53120.720000000038</v>
      </c>
      <c r="S32" s="42">
        <f t="shared" si="27"/>
        <v>46977.280000000042</v>
      </c>
      <c r="T32" s="42">
        <f t="shared" si="27"/>
        <v>135754.23999999999</v>
      </c>
      <c r="U32" s="42">
        <f t="shared" si="27"/>
        <v>129610.79999999999</v>
      </c>
      <c r="V32" s="42">
        <f t="shared" si="27"/>
        <v>218387.75999999995</v>
      </c>
      <c r="W32" s="42">
        <f t="shared" si="27"/>
        <v>212244.31999999995</v>
      </c>
      <c r="X32" s="42">
        <f t="shared" si="27"/>
        <v>301021.27999999991</v>
      </c>
      <c r="Y32" s="42">
        <f t="shared" si="27"/>
        <v>294877.83999999991</v>
      </c>
      <c r="Z32" s="42">
        <f t="shared" si="27"/>
        <v>383654.79999999987</v>
      </c>
      <c r="AA32" s="42">
        <f t="shared" si="27"/>
        <v>377511.35999999987</v>
      </c>
      <c r="AB32" s="42">
        <f t="shared" si="27"/>
        <v>466288.31999999983</v>
      </c>
      <c r="AC32" s="42">
        <f t="shared" si="27"/>
        <v>460144.87999999983</v>
      </c>
      <c r="AD32" s="42">
        <f t="shared" si="27"/>
        <v>548921.83999999985</v>
      </c>
    </row>
    <row r="33" spans="2:30" x14ac:dyDescent="0.25">
      <c r="B33" s="44">
        <f t="shared" ref="B33:AD33" si="28">B32/$B$13</f>
        <v>-1.0102083734903722</v>
      </c>
      <c r="C33" s="44">
        <f t="shared" si="28"/>
        <v>-0.86269031113119876</v>
      </c>
      <c r="D33" s="44">
        <f t="shared" si="28"/>
        <v>-0.87289868462157094</v>
      </c>
      <c r="E33" s="44">
        <f t="shared" si="28"/>
        <v>-0.72538062226239752</v>
      </c>
      <c r="F33" s="44">
        <f t="shared" si="28"/>
        <v>-0.73558899575276981</v>
      </c>
      <c r="G33" s="44">
        <f t="shared" si="28"/>
        <v>-0.5880709333935964</v>
      </c>
      <c r="H33" s="44">
        <f t="shared" si="28"/>
        <v>-0.59827930688396869</v>
      </c>
      <c r="I33" s="44">
        <f t="shared" si="28"/>
        <v>-0.60848768037434098</v>
      </c>
      <c r="J33" s="44">
        <f t="shared" si="28"/>
        <v>-0.46096961801516761</v>
      </c>
      <c r="K33" s="44">
        <f t="shared" si="28"/>
        <v>-0.47117799150553991</v>
      </c>
      <c r="L33" s="44">
        <f t="shared" si="28"/>
        <v>-0.32365992914636649</v>
      </c>
      <c r="M33" s="44">
        <f t="shared" si="28"/>
        <v>-0.33386830263673878</v>
      </c>
      <c r="N33" s="44">
        <f t="shared" si="28"/>
        <v>-0.18635024027756533</v>
      </c>
      <c r="O33" s="44">
        <f t="shared" si="28"/>
        <v>-0.19655861376793762</v>
      </c>
      <c r="P33" s="44">
        <f t="shared" si="28"/>
        <v>-4.9040551408764219E-2</v>
      </c>
      <c r="Q33" s="44">
        <f t="shared" si="28"/>
        <v>-5.9248924899136496E-2</v>
      </c>
      <c r="R33" s="44">
        <f t="shared" si="28"/>
        <v>8.8269137460036923E-2</v>
      </c>
      <c r="S33" s="44">
        <f t="shared" si="28"/>
        <v>7.8060763969664645E-2</v>
      </c>
      <c r="T33" s="44">
        <f t="shared" si="28"/>
        <v>0.22557882632883802</v>
      </c>
      <c r="U33" s="44">
        <f t="shared" si="28"/>
        <v>0.21537045283846573</v>
      </c>
      <c r="V33" s="44">
        <f t="shared" si="28"/>
        <v>0.36288851519763915</v>
      </c>
      <c r="W33" s="44">
        <f t="shared" si="28"/>
        <v>0.35268014170726686</v>
      </c>
      <c r="X33" s="44">
        <f t="shared" si="28"/>
        <v>0.50019820406644033</v>
      </c>
      <c r="Y33" s="44">
        <f t="shared" si="28"/>
        <v>0.48998983057606799</v>
      </c>
      <c r="Z33" s="44">
        <f t="shared" si="28"/>
        <v>0.63750789293524146</v>
      </c>
      <c r="AA33" s="44">
        <f t="shared" si="28"/>
        <v>0.62729951944486917</v>
      </c>
      <c r="AB33" s="44">
        <f t="shared" si="28"/>
        <v>0.77481758180404259</v>
      </c>
      <c r="AC33" s="44">
        <f t="shared" si="28"/>
        <v>0.7646092083136703</v>
      </c>
      <c r="AD33" s="44">
        <f t="shared" si="28"/>
        <v>0.91212727067284372</v>
      </c>
    </row>
    <row r="37" spans="2:30" x14ac:dyDescent="0.25">
      <c r="B37" s="112">
        <f t="shared" ref="B37:P37" si="29">B18/B17</f>
        <v>0.56900401965163017</v>
      </c>
      <c r="C37" s="112">
        <f t="shared" si="29"/>
        <v>0.56900401965163017</v>
      </c>
      <c r="D37" s="112">
        <f t="shared" si="29"/>
        <v>0.56900401965163028</v>
      </c>
      <c r="E37" s="112">
        <f t="shared" si="29"/>
        <v>0.56900401965163017</v>
      </c>
      <c r="F37" s="112">
        <f t="shared" si="29"/>
        <v>0.56900401965163017</v>
      </c>
      <c r="G37" s="112">
        <f t="shared" si="29"/>
        <v>0.56900401965163028</v>
      </c>
      <c r="H37" s="112">
        <f t="shared" si="29"/>
        <v>0.56900401965163028</v>
      </c>
      <c r="I37" s="112">
        <f t="shared" si="29"/>
        <v>0.56900401965163028</v>
      </c>
      <c r="J37" s="112">
        <f t="shared" si="29"/>
        <v>0.56900401965163017</v>
      </c>
      <c r="K37" s="112">
        <f t="shared" si="29"/>
        <v>0.56900401965163017</v>
      </c>
      <c r="L37" s="112">
        <f t="shared" si="29"/>
        <v>0.56900401965163017</v>
      </c>
      <c r="M37" s="112">
        <f t="shared" si="29"/>
        <v>0.56900401965163028</v>
      </c>
      <c r="N37" s="112">
        <f t="shared" si="29"/>
        <v>0.56900401965163028</v>
      </c>
      <c r="O37" s="112">
        <f t="shared" si="29"/>
        <v>0.56900401965163028</v>
      </c>
      <c r="P37" s="112">
        <f t="shared" si="29"/>
        <v>0.56900401965163017</v>
      </c>
    </row>
    <row r="38" spans="2:30" x14ac:dyDescent="0.25">
      <c r="B38" s="112">
        <f t="shared" ref="B38:P38" si="30">B19/B17</f>
        <v>0.21840107190710137</v>
      </c>
      <c r="C38" s="112">
        <f t="shared" si="30"/>
        <v>0.21840107190710137</v>
      </c>
      <c r="D38" s="112">
        <f t="shared" si="30"/>
        <v>0.21840107190710137</v>
      </c>
      <c r="E38" s="112">
        <f t="shared" si="30"/>
        <v>0.21840107190710137</v>
      </c>
      <c r="F38" s="112">
        <f t="shared" si="30"/>
        <v>0.21840107190710137</v>
      </c>
      <c r="G38" s="112">
        <f t="shared" si="30"/>
        <v>0.2184010719071014</v>
      </c>
      <c r="H38" s="112">
        <f t="shared" si="30"/>
        <v>0.2184010719071014</v>
      </c>
      <c r="I38" s="112">
        <f t="shared" si="30"/>
        <v>0.2184010719071014</v>
      </c>
      <c r="J38" s="112">
        <f t="shared" si="30"/>
        <v>0.2184010719071014</v>
      </c>
      <c r="K38" s="112">
        <f t="shared" si="30"/>
        <v>0.2184010719071014</v>
      </c>
      <c r="L38" s="112">
        <f t="shared" si="30"/>
        <v>0.2184010719071014</v>
      </c>
      <c r="M38" s="112">
        <f t="shared" si="30"/>
        <v>0.2184010719071014</v>
      </c>
      <c r="N38" s="112">
        <f t="shared" si="30"/>
        <v>0.2184010719071014</v>
      </c>
      <c r="O38" s="112">
        <f t="shared" si="30"/>
        <v>0.2184010719071014</v>
      </c>
      <c r="P38" s="112">
        <f t="shared" si="30"/>
        <v>0.21840107190710134</v>
      </c>
    </row>
    <row r="39" spans="2:30" x14ac:dyDescent="0.25">
      <c r="B39" s="112">
        <f t="shared" ref="B39:P39" si="31">B20/B17</f>
        <v>0.18981688253684681</v>
      </c>
      <c r="C39" s="112">
        <f t="shared" si="31"/>
        <v>0.18981688253684681</v>
      </c>
      <c r="D39" s="112">
        <f t="shared" si="31"/>
        <v>0.18981688253684681</v>
      </c>
      <c r="E39" s="112">
        <f t="shared" si="31"/>
        <v>0.18981688253684681</v>
      </c>
      <c r="F39" s="112">
        <f t="shared" si="31"/>
        <v>0.18981688253684681</v>
      </c>
      <c r="G39" s="112">
        <f t="shared" si="31"/>
        <v>0.18981688253684684</v>
      </c>
      <c r="H39" s="112">
        <f t="shared" si="31"/>
        <v>0.18981688253684684</v>
      </c>
      <c r="I39" s="112">
        <f t="shared" si="31"/>
        <v>0.18981688253684684</v>
      </c>
      <c r="J39" s="112">
        <f t="shared" si="31"/>
        <v>0.18981688253684681</v>
      </c>
      <c r="K39" s="112">
        <f t="shared" si="31"/>
        <v>0.18981688253684681</v>
      </c>
      <c r="L39" s="112">
        <f t="shared" si="31"/>
        <v>0.18981688253684681</v>
      </c>
      <c r="M39" s="112">
        <f t="shared" si="31"/>
        <v>0.18981688253684681</v>
      </c>
      <c r="N39" s="112">
        <f t="shared" si="31"/>
        <v>0.18981688253684681</v>
      </c>
      <c r="O39" s="112">
        <f t="shared" si="31"/>
        <v>0.18981688253684681</v>
      </c>
      <c r="P39" s="112">
        <f t="shared" si="31"/>
        <v>0.18981688253684678</v>
      </c>
    </row>
    <row r="40" spans="2:30" x14ac:dyDescent="0.25">
      <c r="B40" s="112">
        <f t="shared" ref="B40:P40" si="32">B21/B17</f>
        <v>2.2778025904421618E-2</v>
      </c>
      <c r="C40" s="112">
        <f t="shared" si="32"/>
        <v>2.2778025904421618E-2</v>
      </c>
      <c r="D40" s="112">
        <f t="shared" si="32"/>
        <v>2.2778025904421618E-2</v>
      </c>
      <c r="E40" s="112">
        <f t="shared" si="32"/>
        <v>2.2778025904421618E-2</v>
      </c>
      <c r="F40" s="112">
        <f t="shared" si="32"/>
        <v>2.2778025904421618E-2</v>
      </c>
      <c r="G40" s="112">
        <f t="shared" si="32"/>
        <v>2.2778025904421621E-2</v>
      </c>
      <c r="H40" s="112">
        <f t="shared" si="32"/>
        <v>2.2778025904421621E-2</v>
      </c>
      <c r="I40" s="112">
        <f t="shared" si="32"/>
        <v>2.2778025904421621E-2</v>
      </c>
      <c r="J40" s="112">
        <f t="shared" si="32"/>
        <v>2.2778025904421618E-2</v>
      </c>
      <c r="K40" s="112">
        <f t="shared" si="32"/>
        <v>2.2778025904421618E-2</v>
      </c>
      <c r="L40" s="112">
        <f t="shared" si="32"/>
        <v>2.2778025904421618E-2</v>
      </c>
      <c r="M40" s="112">
        <f t="shared" si="32"/>
        <v>2.2778025904421618E-2</v>
      </c>
      <c r="N40" s="112">
        <f t="shared" si="32"/>
        <v>2.2778025904421618E-2</v>
      </c>
      <c r="O40" s="112">
        <f t="shared" si="32"/>
        <v>2.2778025904421618E-2</v>
      </c>
      <c r="P40" s="112">
        <f t="shared" si="32"/>
        <v>2.2778025904421614E-2</v>
      </c>
    </row>
    <row r="41" spans="2:30" x14ac:dyDescent="0.25">
      <c r="G41" s="49">
        <f>G21-B7</f>
        <v>319.03999999999996</v>
      </c>
      <c r="I41" s="49">
        <f>I21-B7</f>
        <v>319.03999999999996</v>
      </c>
    </row>
    <row r="43" spans="2:30" x14ac:dyDescent="0.25">
      <c r="D43">
        <v>46500</v>
      </c>
    </row>
    <row r="44" spans="2:30" x14ac:dyDescent="0.25">
      <c r="D44">
        <f>D43*D37</f>
        <v>26458.686913800808</v>
      </c>
    </row>
    <row r="45" spans="2:30" x14ac:dyDescent="0.25">
      <c r="D45">
        <f>D38*D43</f>
        <v>10155.649843680214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24" priority="1" operator="lessThan">
      <formula>0</formula>
    </cfRule>
  </conditionalFormatting>
  <conditionalFormatting sqref="B32:AD32">
    <cfRule type="cellIs" dxfId="23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C21"/>
  <sheetViews>
    <sheetView workbookViewId="0">
      <selection activeCell="A9" sqref="A9:XFD9"/>
    </sheetView>
  </sheetViews>
  <sheetFormatPr baseColWidth="10" defaultRowHeight="15" x14ac:dyDescent="0.25"/>
  <cols>
    <col min="1" max="1" width="21.28515625" style="316" bestFit="1" customWidth="1"/>
    <col min="2" max="2" width="5.42578125" style="316" bestFit="1" customWidth="1"/>
    <col min="3" max="3" width="4.7109375" style="316" bestFit="1" customWidth="1"/>
    <col min="4" max="4" width="4.5703125" style="316" bestFit="1" customWidth="1"/>
    <col min="5" max="5" width="3.7109375" style="316" bestFit="1" customWidth="1"/>
    <col min="6" max="6" width="7.42578125" style="316" bestFit="1" customWidth="1"/>
    <col min="7" max="7" width="4.5703125" style="316" bestFit="1" customWidth="1"/>
    <col min="8" max="8" width="4.5703125" style="316" customWidth="1"/>
    <col min="9" max="9" width="4.7109375" style="316" bestFit="1" customWidth="1"/>
    <col min="10" max="11" width="5.5703125" style="316" bestFit="1" customWidth="1"/>
    <col min="12" max="12" width="4.5703125" style="316" bestFit="1" customWidth="1"/>
    <col min="13" max="15" width="5.5703125" style="316" bestFit="1" customWidth="1"/>
    <col min="16" max="19" width="7.85546875" style="316" bestFit="1" customWidth="1"/>
    <col min="20" max="22" width="6.85546875" style="316" customWidth="1"/>
    <col min="23" max="23" width="8.42578125" style="321" bestFit="1" customWidth="1"/>
    <col min="24" max="24" width="7.5703125" style="316" bestFit="1" customWidth="1"/>
    <col min="25" max="25" width="7.140625" style="316" bestFit="1" customWidth="1"/>
    <col min="26" max="26" width="7.5703125" style="316" bestFit="1" customWidth="1"/>
    <col min="27" max="27" width="9" style="316" bestFit="1" customWidth="1"/>
    <col min="28" max="28" width="6.140625" style="316" bestFit="1" customWidth="1"/>
    <col min="29" max="29" width="11.42578125" style="316"/>
  </cols>
  <sheetData>
    <row r="1" spans="1:28" x14ac:dyDescent="0.25">
      <c r="A1" s="318"/>
      <c r="B1" s="318"/>
      <c r="C1" s="318"/>
      <c r="D1" s="34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 t="s">
        <v>249</v>
      </c>
      <c r="X1" s="318"/>
      <c r="Y1" s="318"/>
      <c r="Z1" s="318"/>
      <c r="AA1" s="318"/>
      <c r="AB1" s="318"/>
    </row>
    <row r="2" spans="1:28" x14ac:dyDescent="0.25">
      <c r="A2" s="349" t="s">
        <v>84</v>
      </c>
      <c r="B2" s="349" t="s">
        <v>186</v>
      </c>
      <c r="C2" s="349" t="s">
        <v>86</v>
      </c>
      <c r="D2" s="350" t="s">
        <v>185</v>
      </c>
      <c r="E2" s="350" t="s">
        <v>490</v>
      </c>
      <c r="F2" s="351" t="s">
        <v>96</v>
      </c>
      <c r="G2" s="351" t="s">
        <v>257</v>
      </c>
      <c r="H2" s="351" t="s">
        <v>495</v>
      </c>
      <c r="I2" s="352" t="s">
        <v>14</v>
      </c>
      <c r="J2" s="352" t="s">
        <v>37</v>
      </c>
      <c r="K2" s="352" t="s">
        <v>166</v>
      </c>
      <c r="L2" s="352" t="s">
        <v>30</v>
      </c>
      <c r="M2" s="352" t="s">
        <v>168</v>
      </c>
      <c r="N2" s="352" t="s">
        <v>169</v>
      </c>
      <c r="O2" s="352" t="s">
        <v>170</v>
      </c>
      <c r="P2" s="344" t="s">
        <v>261</v>
      </c>
      <c r="Q2" s="344" t="s">
        <v>262</v>
      </c>
      <c r="R2" s="344" t="s">
        <v>261</v>
      </c>
      <c r="S2" s="344" t="s">
        <v>28</v>
      </c>
      <c r="T2" s="344" t="s">
        <v>263</v>
      </c>
      <c r="U2" s="344" t="s">
        <v>264</v>
      </c>
      <c r="V2" s="344" t="s">
        <v>263</v>
      </c>
      <c r="W2" s="353" t="s">
        <v>113</v>
      </c>
      <c r="X2" s="357" t="s">
        <v>491</v>
      </c>
      <c r="Y2" s="357" t="s">
        <v>187</v>
      </c>
      <c r="Z2" s="344" t="s">
        <v>492</v>
      </c>
      <c r="AA2" s="344" t="s">
        <v>493</v>
      </c>
      <c r="AB2" s="344" t="s">
        <v>494</v>
      </c>
    </row>
    <row r="3" spans="1:28" x14ac:dyDescent="0.25">
      <c r="A3" s="530" t="s">
        <v>496</v>
      </c>
      <c r="B3" s="316">
        <v>28</v>
      </c>
      <c r="C3" s="345">
        <v>53</v>
      </c>
      <c r="D3" s="321" t="s">
        <v>137</v>
      </c>
      <c r="E3" s="321">
        <v>4</v>
      </c>
      <c r="F3" s="355">
        <v>1</v>
      </c>
      <c r="G3" s="346">
        <v>8</v>
      </c>
      <c r="H3" s="347">
        <f t="shared" ref="H3:H14" si="0">LOG(G3+1)*4/3</f>
        <v>1.2723233459190999</v>
      </c>
      <c r="I3" s="347">
        <v>0</v>
      </c>
      <c r="J3" s="347">
        <v>8</v>
      </c>
      <c r="K3" s="347">
        <v>14</v>
      </c>
      <c r="L3" s="347">
        <v>7</v>
      </c>
      <c r="M3" s="347">
        <v>8</v>
      </c>
      <c r="N3" s="347">
        <v>9</v>
      </c>
      <c r="O3" s="347">
        <v>14</v>
      </c>
      <c r="P3" s="356">
        <f t="shared" ref="P3:P14" si="1">((J3+F3+(LOG(G3)*4/3))*0.189)</f>
        <v>1.9285786767219699</v>
      </c>
      <c r="Q3" s="356">
        <f t="shared" ref="Q3:Q14" si="2">((J3+F3+(LOG(G3)*4/3))*0.4)</f>
        <v>4.0816479930623704</v>
      </c>
      <c r="R3" s="356">
        <f t="shared" ref="R3:R14" si="3">P3/2</f>
        <v>0.96428933836098496</v>
      </c>
      <c r="S3" s="356">
        <f t="shared" ref="S3:S14" si="4">((K3+F3+(LOG(G3)*4/3))*1)</f>
        <v>16.204119982655925</v>
      </c>
      <c r="T3" s="356">
        <f t="shared" ref="T3:T14" si="5">((M3+F3+(LOG(G3)*4/3))*0.253)</f>
        <v>2.5816423556119492</v>
      </c>
      <c r="U3" s="356">
        <f t="shared" ref="U3:U14" si="6">((N3+F3+(LOG(G3)*4/3))*0.21)+((M3+F3+(LOG(G3)*4/3))*0.341)</f>
        <v>5.8324701104434151</v>
      </c>
      <c r="V3" s="356">
        <f t="shared" ref="V3:V14" si="7">T3/2</f>
        <v>1.2908211778059746</v>
      </c>
      <c r="W3" s="529">
        <f t="shared" ref="W3:W14" si="8">(1.66*(F3+H3+N3)+0.55*(F3+H3+O3)-7.6)</f>
        <v>20.061834594481205</v>
      </c>
      <c r="X3" s="316">
        <v>5380</v>
      </c>
      <c r="Y3" s="359">
        <f>29.3*0.9</f>
        <v>26.37</v>
      </c>
      <c r="Z3" s="318">
        <v>1850</v>
      </c>
      <c r="AA3" s="345">
        <f t="shared" ref="AA3:AA14" si="9">X3+(Y3*16*(32-B3-((112-C3)/112)))-Y3</f>
        <v>6819.0485714285714</v>
      </c>
      <c r="AB3" s="345">
        <f t="shared" ref="AB3:AB14" si="10">(AA3)/(32-B3+((112-C3)/112))-((Z3)/(32-B3+((112-C3)/112)))</f>
        <v>1097.6990927021695</v>
      </c>
    </row>
    <row r="4" spans="1:28" x14ac:dyDescent="0.25">
      <c r="A4" s="354" t="s">
        <v>613</v>
      </c>
      <c r="B4" s="316">
        <v>29</v>
      </c>
      <c r="C4" s="345">
        <v>17</v>
      </c>
      <c r="D4" s="321" t="s">
        <v>137</v>
      </c>
      <c r="E4" s="321">
        <v>1</v>
      </c>
      <c r="F4" s="355">
        <v>1</v>
      </c>
      <c r="G4" s="346">
        <v>8</v>
      </c>
      <c r="H4" s="347">
        <f t="shared" si="0"/>
        <v>1.2723233459190999</v>
      </c>
      <c r="I4" s="347">
        <v>0</v>
      </c>
      <c r="J4" s="347">
        <v>3</v>
      </c>
      <c r="K4" s="347">
        <v>14</v>
      </c>
      <c r="L4" s="347">
        <v>2</v>
      </c>
      <c r="M4" s="347">
        <v>11</v>
      </c>
      <c r="N4" s="347">
        <v>12</v>
      </c>
      <c r="O4" s="347">
        <v>14</v>
      </c>
      <c r="P4" s="356">
        <f t="shared" si="1"/>
        <v>0.98357867672196986</v>
      </c>
      <c r="Q4" s="356">
        <f t="shared" si="2"/>
        <v>2.0816479930623699</v>
      </c>
      <c r="R4" s="356">
        <f t="shared" si="3"/>
        <v>0.49178933836098493</v>
      </c>
      <c r="S4" s="356">
        <f t="shared" si="4"/>
        <v>16.204119982655925</v>
      </c>
      <c r="T4" s="356">
        <f t="shared" si="5"/>
        <v>3.3406423556119491</v>
      </c>
      <c r="U4" s="356">
        <f t="shared" si="6"/>
        <v>7.4854701104434156</v>
      </c>
      <c r="V4" s="356">
        <f t="shared" si="7"/>
        <v>1.6703211778059746</v>
      </c>
      <c r="W4" s="529">
        <f t="shared" si="8"/>
        <v>25.041834594481209</v>
      </c>
      <c r="X4" s="316">
        <v>7300</v>
      </c>
      <c r="Y4" s="359">
        <v>32.299999999999997</v>
      </c>
      <c r="Z4" s="318">
        <v>3800</v>
      </c>
      <c r="AA4" s="345">
        <f t="shared" si="9"/>
        <v>8379.7428571428572</v>
      </c>
      <c r="AB4" s="345">
        <f t="shared" si="10"/>
        <v>1190.0955916473317</v>
      </c>
    </row>
    <row r="5" spans="1:28" x14ac:dyDescent="0.25">
      <c r="A5" s="354" t="s">
        <v>615</v>
      </c>
      <c r="B5" s="316">
        <v>29</v>
      </c>
      <c r="C5" s="345">
        <v>75</v>
      </c>
      <c r="D5" s="321"/>
      <c r="E5" s="321">
        <v>4</v>
      </c>
      <c r="F5" s="355">
        <v>1</v>
      </c>
      <c r="G5" s="346">
        <v>11</v>
      </c>
      <c r="H5" s="347">
        <f t="shared" si="0"/>
        <v>1.4389083280634998</v>
      </c>
      <c r="I5" s="347">
        <v>0</v>
      </c>
      <c r="J5" s="347">
        <v>13</v>
      </c>
      <c r="K5" s="347">
        <v>13</v>
      </c>
      <c r="L5" s="347">
        <v>3</v>
      </c>
      <c r="M5" s="347">
        <v>5</v>
      </c>
      <c r="N5" s="347">
        <v>7</v>
      </c>
      <c r="O5" s="347">
        <v>17</v>
      </c>
      <c r="P5" s="356">
        <f t="shared" si="1"/>
        <v>2.9084309566598727</v>
      </c>
      <c r="Q5" s="356">
        <f t="shared" si="2"/>
        <v>6.1554094320843866</v>
      </c>
      <c r="R5" s="356">
        <f t="shared" si="3"/>
        <v>1.4542154783299364</v>
      </c>
      <c r="S5" s="356">
        <f t="shared" si="4"/>
        <v>15.388523580210967</v>
      </c>
      <c r="T5" s="356">
        <f t="shared" si="5"/>
        <v>1.8692964657933746</v>
      </c>
      <c r="U5" s="356">
        <f t="shared" si="6"/>
        <v>4.4910764926962425</v>
      </c>
      <c r="V5" s="356">
        <f t="shared" si="7"/>
        <v>0.9346482328966873</v>
      </c>
      <c r="W5" s="529">
        <f t="shared" si="8"/>
        <v>18.759987405020333</v>
      </c>
      <c r="X5" s="316">
        <v>4800</v>
      </c>
      <c r="Y5" s="359">
        <v>26.4</v>
      </c>
      <c r="Z5" s="318">
        <v>1900</v>
      </c>
      <c r="AA5" s="345">
        <f t="shared" si="9"/>
        <v>5901.2571428571428</v>
      </c>
      <c r="AB5" s="345">
        <f t="shared" si="10"/>
        <v>1201.4498659517426</v>
      </c>
    </row>
    <row r="6" spans="1:28" x14ac:dyDescent="0.25">
      <c r="A6" s="354" t="s">
        <v>610</v>
      </c>
      <c r="B6" s="316">
        <v>28</v>
      </c>
      <c r="C6" s="345">
        <v>103</v>
      </c>
      <c r="D6" s="321" t="s">
        <v>133</v>
      </c>
      <c r="E6" s="321">
        <v>2</v>
      </c>
      <c r="F6" s="355">
        <v>1</v>
      </c>
      <c r="G6" s="346">
        <v>10</v>
      </c>
      <c r="H6" s="347">
        <f t="shared" si="0"/>
        <v>1.3885235802109668</v>
      </c>
      <c r="I6" s="347">
        <v>0</v>
      </c>
      <c r="J6" s="347">
        <v>8</v>
      </c>
      <c r="K6" s="347">
        <v>14</v>
      </c>
      <c r="L6" s="347">
        <v>4</v>
      </c>
      <c r="M6" s="347">
        <v>7</v>
      </c>
      <c r="N6" s="347">
        <v>7</v>
      </c>
      <c r="O6" s="347">
        <v>16</v>
      </c>
      <c r="P6" s="356">
        <f t="shared" si="1"/>
        <v>1.9530000000000001</v>
      </c>
      <c r="Q6" s="356">
        <f t="shared" si="2"/>
        <v>4.1333333333333337</v>
      </c>
      <c r="R6" s="356">
        <f t="shared" si="3"/>
        <v>0.97650000000000003</v>
      </c>
      <c r="S6" s="356">
        <f t="shared" si="4"/>
        <v>16.333333333333332</v>
      </c>
      <c r="T6" s="356">
        <f t="shared" si="5"/>
        <v>2.3613333333333335</v>
      </c>
      <c r="U6" s="356">
        <f t="shared" si="6"/>
        <v>5.1426666666666669</v>
      </c>
      <c r="V6" s="356">
        <f t="shared" si="7"/>
        <v>1.1806666666666668</v>
      </c>
      <c r="W6" s="529">
        <f t="shared" si="8"/>
        <v>18.098637112266232</v>
      </c>
      <c r="X6" s="316">
        <v>4850</v>
      </c>
      <c r="Y6" s="359">
        <v>31.5</v>
      </c>
      <c r="Z6" s="318">
        <v>1850</v>
      </c>
      <c r="AA6" s="345">
        <f t="shared" si="9"/>
        <v>6794</v>
      </c>
      <c r="AB6" s="345">
        <f t="shared" si="10"/>
        <v>1211.6586433260395</v>
      </c>
    </row>
    <row r="7" spans="1:28" x14ac:dyDescent="0.25">
      <c r="A7" s="354" t="s">
        <v>611</v>
      </c>
      <c r="B7" s="316">
        <v>28</v>
      </c>
      <c r="C7" s="345">
        <v>12</v>
      </c>
      <c r="D7" s="321"/>
      <c r="E7" s="321">
        <v>3</v>
      </c>
      <c r="F7" s="355">
        <v>1</v>
      </c>
      <c r="G7" s="346">
        <v>6</v>
      </c>
      <c r="H7" s="347">
        <f t="shared" si="0"/>
        <v>1.1267973866856758</v>
      </c>
      <c r="I7" s="347">
        <v>0</v>
      </c>
      <c r="J7" s="347">
        <v>8</v>
      </c>
      <c r="K7" s="347">
        <v>15</v>
      </c>
      <c r="L7" s="347">
        <v>2</v>
      </c>
      <c r="M7" s="347">
        <v>3</v>
      </c>
      <c r="N7" s="347">
        <v>9</v>
      </c>
      <c r="O7" s="347">
        <v>18</v>
      </c>
      <c r="P7" s="356">
        <f t="shared" si="1"/>
        <v>1.8970941150966782</v>
      </c>
      <c r="Q7" s="356">
        <f t="shared" si="2"/>
        <v>4.0150140002046104</v>
      </c>
      <c r="R7" s="356">
        <f t="shared" si="3"/>
        <v>0.94854705754833912</v>
      </c>
      <c r="S7" s="356">
        <f t="shared" si="4"/>
        <v>17.037535000511525</v>
      </c>
      <c r="T7" s="356">
        <f t="shared" si="5"/>
        <v>1.2744963551294159</v>
      </c>
      <c r="U7" s="356">
        <f t="shared" si="6"/>
        <v>4.0356817852818505</v>
      </c>
      <c r="V7" s="356">
        <f t="shared" si="7"/>
        <v>0.63724817756470797</v>
      </c>
      <c r="W7" s="529">
        <f t="shared" si="8"/>
        <v>21.940222224575344</v>
      </c>
      <c r="X7" s="316">
        <v>6250</v>
      </c>
      <c r="Y7" s="359">
        <f>45.7*1.2</f>
        <v>54.84</v>
      </c>
      <c r="Z7" s="318">
        <v>2800</v>
      </c>
      <c r="AA7" s="345">
        <f t="shared" si="9"/>
        <v>8921.4914285714294</v>
      </c>
      <c r="AB7" s="345">
        <f t="shared" si="10"/>
        <v>1251.1077372262775</v>
      </c>
    </row>
    <row r="8" spans="1:28" x14ac:dyDescent="0.25">
      <c r="A8" s="354" t="s">
        <v>614</v>
      </c>
      <c r="B8" s="316">
        <v>28</v>
      </c>
      <c r="C8" s="345">
        <v>87</v>
      </c>
      <c r="D8" s="321" t="s">
        <v>155</v>
      </c>
      <c r="E8" s="321">
        <v>4</v>
      </c>
      <c r="F8" s="355">
        <v>1</v>
      </c>
      <c r="G8" s="346">
        <v>7</v>
      </c>
      <c r="H8" s="347">
        <f t="shared" si="0"/>
        <v>1.2041199826559248</v>
      </c>
      <c r="I8" s="347">
        <v>0</v>
      </c>
      <c r="J8" s="347">
        <v>5</v>
      </c>
      <c r="K8" s="347">
        <v>14</v>
      </c>
      <c r="L8" s="347">
        <v>5</v>
      </c>
      <c r="M8" s="347">
        <v>6</v>
      </c>
      <c r="N8" s="347">
        <v>12</v>
      </c>
      <c r="O8" s="347">
        <v>14</v>
      </c>
      <c r="P8" s="356">
        <f t="shared" si="1"/>
        <v>1.3469647060835925</v>
      </c>
      <c r="Q8" s="356">
        <f t="shared" si="2"/>
        <v>2.8507189546742704</v>
      </c>
      <c r="R8" s="356">
        <f t="shared" si="3"/>
        <v>0.67348235304179627</v>
      </c>
      <c r="S8" s="356">
        <f t="shared" si="4"/>
        <v>16.126797386685677</v>
      </c>
      <c r="T8" s="356">
        <f t="shared" si="5"/>
        <v>2.056079738831476</v>
      </c>
      <c r="U8" s="356">
        <f t="shared" si="6"/>
        <v>5.7378653600638074</v>
      </c>
      <c r="V8" s="356">
        <f t="shared" si="7"/>
        <v>1.028039869415738</v>
      </c>
      <c r="W8" s="529">
        <f t="shared" si="8"/>
        <v>24.891105161669593</v>
      </c>
      <c r="X8" s="316">
        <v>5750</v>
      </c>
      <c r="Y8" s="359">
        <v>37.9</v>
      </c>
      <c r="Z8" s="318">
        <v>2684</v>
      </c>
      <c r="AA8" s="345">
        <f t="shared" si="9"/>
        <v>8002.3428571428576</v>
      </c>
      <c r="AB8" s="345">
        <f t="shared" si="10"/>
        <v>1259.3116279069768</v>
      </c>
    </row>
    <row r="9" spans="1:28" x14ac:dyDescent="0.25">
      <c r="A9" s="354" t="s">
        <v>612</v>
      </c>
      <c r="B9" s="316">
        <v>28</v>
      </c>
      <c r="C9" s="345">
        <v>57</v>
      </c>
      <c r="D9" s="321" t="s">
        <v>127</v>
      </c>
      <c r="E9" s="321">
        <v>4</v>
      </c>
      <c r="F9" s="355">
        <v>1</v>
      </c>
      <c r="G9" s="346">
        <v>7</v>
      </c>
      <c r="H9" s="347">
        <f t="shared" si="0"/>
        <v>1.2041199826559248</v>
      </c>
      <c r="I9" s="347">
        <v>0</v>
      </c>
      <c r="J9" s="347">
        <v>3</v>
      </c>
      <c r="K9" s="347">
        <v>14</v>
      </c>
      <c r="L9" s="347">
        <v>4</v>
      </c>
      <c r="M9" s="347">
        <v>8</v>
      </c>
      <c r="N9" s="347">
        <v>10</v>
      </c>
      <c r="O9" s="347">
        <v>15</v>
      </c>
      <c r="P9" s="356">
        <f t="shared" si="1"/>
        <v>0.96896470608359264</v>
      </c>
      <c r="Q9" s="356">
        <f t="shared" si="2"/>
        <v>2.0507189546742701</v>
      </c>
      <c r="R9" s="356">
        <f t="shared" si="3"/>
        <v>0.48448235304179632</v>
      </c>
      <c r="S9" s="356">
        <f t="shared" si="4"/>
        <v>16.126797386685677</v>
      </c>
      <c r="T9" s="356">
        <f t="shared" si="5"/>
        <v>2.5620797388314758</v>
      </c>
      <c r="U9" s="356">
        <f t="shared" si="6"/>
        <v>5.9998653600638079</v>
      </c>
      <c r="V9" s="356">
        <f t="shared" si="7"/>
        <v>1.2810398694157379</v>
      </c>
      <c r="W9" s="529">
        <f t="shared" si="8"/>
        <v>22.12110516166959</v>
      </c>
      <c r="X9" s="316">
        <v>5500</v>
      </c>
      <c r="Y9" s="359">
        <v>30.4</v>
      </c>
      <c r="Z9" s="318">
        <v>1350</v>
      </c>
      <c r="AA9" s="345">
        <f t="shared" si="9"/>
        <v>7176.3428571428576</v>
      </c>
      <c r="AB9" s="345">
        <f t="shared" si="10"/>
        <v>1297.3168986083499</v>
      </c>
    </row>
    <row r="10" spans="1:28" x14ac:dyDescent="0.25">
      <c r="A10" s="354" t="s">
        <v>609</v>
      </c>
      <c r="B10" s="316">
        <v>26</v>
      </c>
      <c r="C10" s="345">
        <v>20</v>
      </c>
      <c r="D10" s="321" t="s">
        <v>137</v>
      </c>
      <c r="E10" s="321">
        <v>3</v>
      </c>
      <c r="F10" s="355">
        <v>1</v>
      </c>
      <c r="G10" s="346">
        <v>6</v>
      </c>
      <c r="H10" s="347">
        <f t="shared" si="0"/>
        <v>1.1267973866856758</v>
      </c>
      <c r="I10" s="347">
        <v>0</v>
      </c>
      <c r="J10" s="347">
        <v>9</v>
      </c>
      <c r="K10" s="347">
        <v>14</v>
      </c>
      <c r="L10" s="347">
        <v>3</v>
      </c>
      <c r="M10" s="347">
        <v>3</v>
      </c>
      <c r="N10" s="347">
        <v>8</v>
      </c>
      <c r="O10" s="347">
        <v>16</v>
      </c>
      <c r="P10" s="356">
        <f t="shared" si="1"/>
        <v>2.0860941150966781</v>
      </c>
      <c r="Q10" s="356">
        <f t="shared" si="2"/>
        <v>4.4150140002046099</v>
      </c>
      <c r="R10" s="356">
        <f t="shared" si="3"/>
        <v>1.043047057548339</v>
      </c>
      <c r="S10" s="356">
        <f t="shared" si="4"/>
        <v>16.037535000511525</v>
      </c>
      <c r="T10" s="356">
        <f t="shared" si="5"/>
        <v>1.2744963551294159</v>
      </c>
      <c r="U10" s="356">
        <f t="shared" si="6"/>
        <v>3.8256817852818505</v>
      </c>
      <c r="V10" s="356">
        <f t="shared" si="7"/>
        <v>0.63724817756470797</v>
      </c>
      <c r="W10" s="529">
        <f t="shared" si="8"/>
        <v>19.180222224575346</v>
      </c>
      <c r="X10" s="316">
        <v>9000</v>
      </c>
      <c r="Y10" s="359">
        <f>25.3*1.2</f>
        <v>30.36</v>
      </c>
      <c r="Z10" s="318">
        <v>2500</v>
      </c>
      <c r="AA10" s="345">
        <f t="shared" si="9"/>
        <v>11485.182857142856</v>
      </c>
      <c r="AB10" s="345">
        <f t="shared" si="10"/>
        <v>1317.1995811518323</v>
      </c>
    </row>
    <row r="11" spans="1:28" x14ac:dyDescent="0.25">
      <c r="A11" s="354" t="s">
        <v>608</v>
      </c>
      <c r="B11" s="316">
        <v>26</v>
      </c>
      <c r="C11" s="345">
        <v>38</v>
      </c>
      <c r="D11" s="321" t="s">
        <v>155</v>
      </c>
      <c r="E11" s="321">
        <v>4</v>
      </c>
      <c r="F11" s="355">
        <v>1</v>
      </c>
      <c r="G11" s="346">
        <v>6</v>
      </c>
      <c r="H11" s="347">
        <f t="shared" si="0"/>
        <v>1.1267973866856758</v>
      </c>
      <c r="I11" s="347">
        <v>0</v>
      </c>
      <c r="J11" s="347">
        <v>9</v>
      </c>
      <c r="K11" s="347">
        <v>14</v>
      </c>
      <c r="L11" s="347">
        <v>4</v>
      </c>
      <c r="M11" s="347">
        <v>3</v>
      </c>
      <c r="N11" s="347">
        <v>8</v>
      </c>
      <c r="O11" s="347">
        <v>17</v>
      </c>
      <c r="P11" s="356">
        <f t="shared" si="1"/>
        <v>2.0860941150966781</v>
      </c>
      <c r="Q11" s="356">
        <f t="shared" si="2"/>
        <v>4.4150140002046099</v>
      </c>
      <c r="R11" s="356">
        <f t="shared" si="3"/>
        <v>1.043047057548339</v>
      </c>
      <c r="S11" s="356">
        <f t="shared" si="4"/>
        <v>16.037535000511525</v>
      </c>
      <c r="T11" s="356">
        <f t="shared" si="5"/>
        <v>1.2744963551294159</v>
      </c>
      <c r="U11" s="356">
        <f t="shared" si="6"/>
        <v>3.8256817852818505</v>
      </c>
      <c r="V11" s="356">
        <f t="shared" si="7"/>
        <v>0.63724817756470797</v>
      </c>
      <c r="W11" s="529">
        <f t="shared" si="8"/>
        <v>19.730222224575343</v>
      </c>
      <c r="X11" s="316">
        <v>9000</v>
      </c>
      <c r="Y11" s="359">
        <v>28.1</v>
      </c>
      <c r="Z11" s="318">
        <v>2500</v>
      </c>
      <c r="AA11" s="345">
        <f t="shared" si="9"/>
        <v>11372.442857142856</v>
      </c>
      <c r="AB11" s="345">
        <f t="shared" si="10"/>
        <v>1332.0557640750667</v>
      </c>
    </row>
    <row r="12" spans="1:28" x14ac:dyDescent="0.25">
      <c r="A12" s="354" t="s">
        <v>607</v>
      </c>
      <c r="B12" s="316">
        <v>26</v>
      </c>
      <c r="C12" s="345">
        <v>36</v>
      </c>
      <c r="D12" s="321" t="s">
        <v>133</v>
      </c>
      <c r="E12" s="321">
        <v>1</v>
      </c>
      <c r="F12" s="355">
        <v>1</v>
      </c>
      <c r="G12" s="346">
        <v>5</v>
      </c>
      <c r="H12" s="347">
        <f t="shared" si="0"/>
        <v>1.0375350005115249</v>
      </c>
      <c r="I12" s="347">
        <v>0</v>
      </c>
      <c r="J12" s="347">
        <v>9</v>
      </c>
      <c r="K12" s="347">
        <v>14</v>
      </c>
      <c r="L12" s="347">
        <v>3</v>
      </c>
      <c r="M12" s="347">
        <v>2</v>
      </c>
      <c r="N12" s="347">
        <v>9</v>
      </c>
      <c r="O12" s="347">
        <v>16</v>
      </c>
      <c r="P12" s="356">
        <f t="shared" si="1"/>
        <v>2.0661404410926765</v>
      </c>
      <c r="Q12" s="356">
        <f t="shared" si="2"/>
        <v>4.3727840023125433</v>
      </c>
      <c r="R12" s="356">
        <f t="shared" si="3"/>
        <v>1.0330702205463382</v>
      </c>
      <c r="S12" s="356">
        <f t="shared" si="4"/>
        <v>15.931960005781358</v>
      </c>
      <c r="T12" s="356">
        <f t="shared" si="5"/>
        <v>0.99478588146268376</v>
      </c>
      <c r="U12" s="356">
        <f t="shared" si="6"/>
        <v>3.6365099631855284</v>
      </c>
      <c r="V12" s="356">
        <f t="shared" si="7"/>
        <v>0.49739294073134188</v>
      </c>
      <c r="W12" s="529">
        <f t="shared" si="8"/>
        <v>20.642952351130468</v>
      </c>
      <c r="X12" s="316">
        <v>9000</v>
      </c>
      <c r="Y12" s="359">
        <v>28.9</v>
      </c>
      <c r="Z12" s="318">
        <v>2500</v>
      </c>
      <c r="AA12" s="345">
        <f t="shared" si="9"/>
        <v>11431.728571428572</v>
      </c>
      <c r="AB12" s="345">
        <f t="shared" si="10"/>
        <v>1337.3711229946525</v>
      </c>
    </row>
    <row r="13" spans="1:28" x14ac:dyDescent="0.25">
      <c r="A13" s="354" t="s">
        <v>606</v>
      </c>
      <c r="B13" s="316">
        <v>26</v>
      </c>
      <c r="C13" s="345">
        <v>21</v>
      </c>
      <c r="D13" s="321" t="s">
        <v>127</v>
      </c>
      <c r="E13" s="321">
        <v>4</v>
      </c>
      <c r="F13" s="355">
        <v>1</v>
      </c>
      <c r="G13" s="346">
        <v>6</v>
      </c>
      <c r="H13" s="347">
        <f t="shared" si="0"/>
        <v>1.1267973866856758</v>
      </c>
      <c r="I13" s="347">
        <v>0</v>
      </c>
      <c r="J13" s="347">
        <v>9</v>
      </c>
      <c r="K13" s="347">
        <v>14</v>
      </c>
      <c r="L13" s="347">
        <v>3</v>
      </c>
      <c r="M13" s="347">
        <v>2</v>
      </c>
      <c r="N13" s="347">
        <v>9</v>
      </c>
      <c r="O13" s="347">
        <v>16</v>
      </c>
      <c r="P13" s="356">
        <f t="shared" si="1"/>
        <v>2.0860941150966781</v>
      </c>
      <c r="Q13" s="356">
        <f t="shared" si="2"/>
        <v>4.4150140002046099</v>
      </c>
      <c r="R13" s="356">
        <f t="shared" si="3"/>
        <v>1.043047057548339</v>
      </c>
      <c r="S13" s="356">
        <f t="shared" si="4"/>
        <v>16.037535000511525</v>
      </c>
      <c r="T13" s="356">
        <f t="shared" si="5"/>
        <v>1.0214963551294158</v>
      </c>
      <c r="U13" s="356">
        <f t="shared" si="6"/>
        <v>3.6946817852818503</v>
      </c>
      <c r="V13" s="356">
        <f t="shared" si="7"/>
        <v>0.51074817756470792</v>
      </c>
      <c r="W13" s="529">
        <f t="shared" si="8"/>
        <v>20.840222224575342</v>
      </c>
      <c r="X13" s="316">
        <v>9000</v>
      </c>
      <c r="Y13" s="359">
        <v>34</v>
      </c>
      <c r="Z13" s="318">
        <v>2500</v>
      </c>
      <c r="AA13" s="345">
        <f t="shared" si="9"/>
        <v>11788</v>
      </c>
      <c r="AB13" s="345">
        <f t="shared" si="10"/>
        <v>1363.3761467889908</v>
      </c>
    </row>
    <row r="14" spans="1:28" x14ac:dyDescent="0.25">
      <c r="A14" s="354" t="s">
        <v>605</v>
      </c>
      <c r="B14" s="316">
        <v>26</v>
      </c>
      <c r="C14" s="345">
        <v>59</v>
      </c>
      <c r="D14" s="321" t="s">
        <v>127</v>
      </c>
      <c r="E14" s="321">
        <v>4</v>
      </c>
      <c r="F14" s="355">
        <v>1</v>
      </c>
      <c r="G14" s="346">
        <v>5</v>
      </c>
      <c r="H14" s="347">
        <f t="shared" si="0"/>
        <v>1.0375350005115249</v>
      </c>
      <c r="I14" s="347">
        <v>0</v>
      </c>
      <c r="J14" s="347">
        <v>9</v>
      </c>
      <c r="K14" s="347">
        <v>14</v>
      </c>
      <c r="L14" s="347">
        <v>2</v>
      </c>
      <c r="M14" s="347">
        <v>4</v>
      </c>
      <c r="N14" s="347">
        <v>8</v>
      </c>
      <c r="O14" s="347">
        <v>16</v>
      </c>
      <c r="P14" s="356">
        <f t="shared" si="1"/>
        <v>2.0661404410926765</v>
      </c>
      <c r="Q14" s="356">
        <f t="shared" si="2"/>
        <v>4.3727840023125433</v>
      </c>
      <c r="R14" s="356">
        <f t="shared" si="3"/>
        <v>1.0330702205463382</v>
      </c>
      <c r="S14" s="356">
        <f t="shared" si="4"/>
        <v>15.931960005781358</v>
      </c>
      <c r="T14" s="356">
        <f t="shared" si="5"/>
        <v>1.5007858814626838</v>
      </c>
      <c r="U14" s="356">
        <f t="shared" si="6"/>
        <v>4.1085099631855284</v>
      </c>
      <c r="V14" s="356">
        <f t="shared" si="7"/>
        <v>0.75039294073134188</v>
      </c>
      <c r="W14" s="529">
        <f t="shared" si="8"/>
        <v>18.982952351130471</v>
      </c>
      <c r="X14" s="316">
        <v>9000</v>
      </c>
      <c r="Y14" s="359">
        <v>33.4</v>
      </c>
      <c r="Z14" s="318">
        <v>2300</v>
      </c>
      <c r="AA14" s="345">
        <f t="shared" si="9"/>
        <v>11920.114285714286</v>
      </c>
      <c r="AB14" s="345">
        <f t="shared" si="10"/>
        <v>1486.1417931034482</v>
      </c>
    </row>
    <row r="15" spans="1:28" x14ac:dyDescent="0.25">
      <c r="A15" s="354"/>
      <c r="C15" s="345"/>
      <c r="D15" s="321"/>
      <c r="E15" s="321"/>
      <c r="F15" s="355"/>
      <c r="G15" s="346"/>
      <c r="H15" s="347"/>
      <c r="I15" s="347"/>
      <c r="J15" s="347"/>
      <c r="K15" s="347"/>
      <c r="L15" s="347"/>
      <c r="M15" s="347"/>
      <c r="N15" s="347"/>
      <c r="O15" s="347"/>
      <c r="P15" s="356"/>
      <c r="Q15" s="356"/>
      <c r="R15" s="356"/>
      <c r="S15" s="356"/>
      <c r="T15" s="356"/>
      <c r="U15" s="356"/>
      <c r="V15" s="356"/>
      <c r="W15" s="529"/>
      <c r="Y15" s="359"/>
      <c r="Z15" s="318"/>
      <c r="AA15" s="345"/>
      <c r="AB15" s="345"/>
    </row>
    <row r="16" spans="1:28" x14ac:dyDescent="0.25">
      <c r="A16" s="354"/>
      <c r="C16" s="345"/>
      <c r="D16" s="321"/>
      <c r="E16" s="321"/>
      <c r="F16" s="355"/>
      <c r="G16" s="346"/>
      <c r="H16" s="347"/>
      <c r="I16" s="347"/>
      <c r="J16" s="347"/>
      <c r="K16" s="347"/>
      <c r="L16" s="347"/>
      <c r="M16" s="347"/>
      <c r="N16" s="347"/>
      <c r="O16" s="347"/>
      <c r="P16" s="356"/>
      <c r="Q16" s="356"/>
      <c r="R16" s="356"/>
      <c r="S16" s="356"/>
      <c r="T16" s="356"/>
      <c r="U16" s="356"/>
      <c r="V16" s="356"/>
      <c r="W16" s="529"/>
      <c r="Y16" s="359"/>
      <c r="Z16" s="318"/>
      <c r="AA16" s="345"/>
      <c r="AB16" s="345"/>
    </row>
    <row r="17" spans="1:28" x14ac:dyDescent="0.25">
      <c r="A17" s="354"/>
      <c r="C17" s="345"/>
      <c r="D17" s="321"/>
      <c r="E17" s="321"/>
      <c r="F17" s="355"/>
      <c r="G17" s="346"/>
      <c r="H17" s="347"/>
      <c r="I17" s="347"/>
      <c r="J17" s="347"/>
      <c r="K17" s="347"/>
      <c r="L17" s="347"/>
      <c r="M17" s="347"/>
      <c r="N17" s="347"/>
      <c r="O17" s="347"/>
      <c r="P17" s="356"/>
      <c r="Q17" s="356"/>
      <c r="R17" s="356"/>
      <c r="S17" s="356"/>
      <c r="T17" s="356"/>
      <c r="U17" s="356"/>
      <c r="V17" s="356"/>
      <c r="W17" s="529"/>
      <c r="Y17" s="359"/>
      <c r="Z17" s="318"/>
      <c r="AA17" s="345"/>
      <c r="AB17" s="345"/>
    </row>
    <row r="18" spans="1:28" x14ac:dyDescent="0.25">
      <c r="A18" s="354"/>
      <c r="C18" s="345"/>
      <c r="D18" s="321"/>
      <c r="E18" s="321"/>
      <c r="F18" s="355"/>
      <c r="G18" s="346"/>
      <c r="H18" s="347"/>
      <c r="I18" s="347"/>
      <c r="J18" s="347"/>
      <c r="K18" s="347"/>
      <c r="L18" s="347"/>
      <c r="M18" s="347"/>
      <c r="N18" s="347"/>
      <c r="O18" s="347"/>
      <c r="P18" s="356"/>
      <c r="Q18" s="356"/>
      <c r="R18" s="356"/>
      <c r="S18" s="356"/>
      <c r="T18" s="356"/>
      <c r="U18" s="356"/>
      <c r="V18" s="356"/>
      <c r="W18" s="529"/>
      <c r="Y18" s="359"/>
      <c r="Z18" s="318"/>
      <c r="AA18" s="345"/>
      <c r="AB18" s="345"/>
    </row>
    <row r="19" spans="1:28" x14ac:dyDescent="0.25">
      <c r="A19" s="354"/>
      <c r="C19" s="345"/>
      <c r="D19" s="321"/>
      <c r="E19" s="321"/>
      <c r="F19" s="355"/>
      <c r="G19" s="346"/>
      <c r="H19" s="347"/>
      <c r="I19" s="347"/>
      <c r="J19" s="347"/>
      <c r="K19" s="347"/>
      <c r="L19" s="347"/>
      <c r="M19" s="347"/>
      <c r="N19" s="347"/>
      <c r="O19" s="347"/>
      <c r="P19" s="356"/>
      <c r="Q19" s="356"/>
      <c r="R19" s="356"/>
      <c r="S19" s="356"/>
      <c r="T19" s="356"/>
      <c r="U19" s="356"/>
      <c r="V19" s="356"/>
      <c r="W19" s="529"/>
      <c r="Y19" s="359"/>
      <c r="Z19" s="318"/>
      <c r="AA19" s="345"/>
      <c r="AB19" s="345"/>
    </row>
    <row r="20" spans="1:28" x14ac:dyDescent="0.25">
      <c r="A20" s="354"/>
      <c r="C20" s="345"/>
      <c r="D20" s="321"/>
      <c r="E20" s="321"/>
      <c r="F20" s="355"/>
      <c r="G20" s="346"/>
      <c r="H20" s="347"/>
      <c r="I20" s="347"/>
      <c r="J20" s="347"/>
      <c r="K20" s="347"/>
      <c r="L20" s="347"/>
      <c r="M20" s="347"/>
      <c r="N20" s="347"/>
      <c r="O20" s="347"/>
      <c r="P20" s="356"/>
      <c r="Q20" s="356"/>
      <c r="R20" s="356"/>
      <c r="S20" s="356"/>
      <c r="T20" s="356"/>
      <c r="U20" s="356"/>
      <c r="V20" s="356"/>
      <c r="W20" s="529"/>
      <c r="Y20" s="359"/>
      <c r="Z20" s="318"/>
      <c r="AA20" s="345"/>
      <c r="AB20" s="345"/>
    </row>
    <row r="21" spans="1:28" x14ac:dyDescent="0.25">
      <c r="A21" s="354"/>
      <c r="C21" s="345"/>
      <c r="D21" s="321"/>
      <c r="E21" s="321"/>
      <c r="F21" s="355"/>
      <c r="G21" s="346"/>
      <c r="H21" s="347"/>
      <c r="I21" s="347"/>
      <c r="J21" s="347"/>
      <c r="K21" s="347"/>
      <c r="L21" s="347"/>
      <c r="M21" s="347"/>
      <c r="N21" s="347"/>
      <c r="O21" s="347"/>
      <c r="P21" s="356"/>
      <c r="Q21" s="356"/>
      <c r="R21" s="356"/>
      <c r="S21" s="356"/>
      <c r="T21" s="356"/>
      <c r="U21" s="356"/>
      <c r="V21" s="356"/>
      <c r="W21" s="529"/>
      <c r="Y21" s="359"/>
      <c r="Z21" s="318"/>
      <c r="AA21" s="345"/>
      <c r="AB21" s="345"/>
    </row>
  </sheetData>
  <conditionalFormatting sqref="G3:H21">
    <cfRule type="cellIs" dxfId="22" priority="20" operator="greaterThan">
      <formula>7</formula>
    </cfRule>
  </conditionalFormatting>
  <conditionalFormatting sqref="P15:V21 P3:R14 T3:V14">
    <cfRule type="cellIs" dxfId="21" priority="19" operator="greaterThan">
      <formula>12.5</formula>
    </cfRule>
  </conditionalFormatting>
  <conditionalFormatting sqref="W10:W2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8:O21">
    <cfRule type="colorScale" priority="565">
      <colorScale>
        <cfvo type="min"/>
        <cfvo type="max"/>
        <color rgb="FFFCFCFF"/>
        <color rgb="FFF8696B"/>
      </colorScale>
    </cfRule>
  </conditionalFormatting>
  <conditionalFormatting sqref="P8:R21">
    <cfRule type="colorScale" priority="567">
      <colorScale>
        <cfvo type="min"/>
        <cfvo type="max"/>
        <color rgb="FFFCFCFF"/>
        <color rgb="FFF8696B"/>
      </colorScale>
    </cfRule>
  </conditionalFormatting>
  <conditionalFormatting sqref="S15:S21">
    <cfRule type="colorScale" priority="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:V21">
    <cfRule type="colorScale" priority="571">
      <colorScale>
        <cfvo type="min"/>
        <cfvo type="max"/>
        <color rgb="FFFCFCFF"/>
        <color rgb="FF63BE7B"/>
      </colorScale>
    </cfRule>
  </conditionalFormatting>
  <conditionalFormatting sqref="I3:O7">
    <cfRule type="colorScale" priority="601">
      <colorScale>
        <cfvo type="min"/>
        <cfvo type="max"/>
        <color rgb="FFFCFCFF"/>
        <color rgb="FFF8696B"/>
      </colorScale>
    </cfRule>
  </conditionalFormatting>
  <conditionalFormatting sqref="P3:R7">
    <cfRule type="colorScale" priority="602">
      <colorScale>
        <cfvo type="min"/>
        <cfvo type="max"/>
        <color rgb="FFFCFCFF"/>
        <color rgb="FFF8696B"/>
      </colorScale>
    </cfRule>
  </conditionalFormatting>
  <conditionalFormatting sqref="T3:V7">
    <cfRule type="colorScale" priority="604">
      <colorScale>
        <cfvo type="min"/>
        <cfvo type="max"/>
        <color rgb="FFFCFCFF"/>
        <color rgb="FF63BE7B"/>
      </colorScale>
    </cfRule>
  </conditionalFormatting>
  <conditionalFormatting sqref="W3:W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AB3:AB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{87FA32BA-0320-4585-9E07-1821D16A9B46}</x14:id>
        </ext>
      </extLst>
    </cfRule>
  </conditionalFormatting>
  <conditionalFormatting sqref="AB3:AB21">
    <cfRule type="dataBar" priority="6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{53EE0BE7-505C-485E-931B-8E8603DC2A0C}</x14:id>
        </ext>
      </extLst>
    </cfRule>
  </conditionalFormatting>
  <conditionalFormatting sqref="S3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AA10:AA21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AA3:AA21</xm:sqref>
        </x14:conditionalFormatting>
        <x14:conditionalFormatting xmlns:xm="http://schemas.microsoft.com/office/excel/2006/main">
          <x14:cfRule type="dataBar" id="{87FA32BA-0320-4585-9E07-1821D16A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AB3:AB21</xm:sqref>
        </x14:conditionalFormatting>
        <x14:conditionalFormatting xmlns:xm="http://schemas.microsoft.com/office/excel/2006/main">
          <x14:cfRule type="dataBar" id="{53EE0BE7-505C-485E-931B-8E8603DC2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AB3:AB21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617</v>
      </c>
      <c r="B1" s="532">
        <v>44377</v>
      </c>
      <c r="C1" s="531"/>
    </row>
    <row r="2" spans="1:4" x14ac:dyDescent="0.25">
      <c r="A2" t="s">
        <v>618</v>
      </c>
      <c r="B2" s="532">
        <v>44392</v>
      </c>
      <c r="C2" s="531"/>
    </row>
    <row r="3" spans="1:4" x14ac:dyDescent="0.25">
      <c r="C3" s="531"/>
    </row>
    <row r="4" spans="1:4" x14ac:dyDescent="0.25">
      <c r="A4" s="3" t="s">
        <v>619</v>
      </c>
      <c r="B4" s="3" t="s">
        <v>620</v>
      </c>
      <c r="C4" s="2" t="s">
        <v>621</v>
      </c>
      <c r="D4" s="2" t="s">
        <v>622</v>
      </c>
    </row>
    <row r="5" spans="1:4" x14ac:dyDescent="0.25">
      <c r="A5" t="s">
        <v>623</v>
      </c>
      <c r="B5" t="s">
        <v>624</v>
      </c>
      <c r="C5" s="531">
        <v>2</v>
      </c>
      <c r="D5" s="531">
        <v>4</v>
      </c>
    </row>
    <row r="6" spans="1:4" x14ac:dyDescent="0.25">
      <c r="A6" t="s">
        <v>625</v>
      </c>
      <c r="B6" t="s">
        <v>626</v>
      </c>
      <c r="C6" s="531">
        <v>0</v>
      </c>
      <c r="D6" s="531">
        <v>1</v>
      </c>
    </row>
    <row r="7" spans="1:4" x14ac:dyDescent="0.25">
      <c r="A7" t="s">
        <v>627</v>
      </c>
      <c r="B7" t="s">
        <v>628</v>
      </c>
      <c r="C7" s="531">
        <v>0</v>
      </c>
      <c r="D7" s="531">
        <v>2</v>
      </c>
    </row>
    <row r="8" spans="1:4" x14ac:dyDescent="0.25">
      <c r="A8" t="s">
        <v>629</v>
      </c>
      <c r="B8" t="s">
        <v>630</v>
      </c>
      <c r="C8" s="531">
        <v>0</v>
      </c>
      <c r="D8" s="531">
        <v>2</v>
      </c>
    </row>
    <row r="9" spans="1:4" x14ac:dyDescent="0.25">
      <c r="A9" t="s">
        <v>631</v>
      </c>
      <c r="B9" t="s">
        <v>632</v>
      </c>
      <c r="C9" s="533" t="s">
        <v>633</v>
      </c>
      <c r="D9" s="5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33"/>
  <sheetViews>
    <sheetView tabSelected="1" zoomScale="120" zoomScaleNormal="120" workbookViewId="0">
      <pane xSplit="9" ySplit="3" topLeftCell="W4" activePane="bottomRight" state="frozen"/>
      <selection pane="topRight"/>
      <selection pane="bottomLeft"/>
      <selection pane="bottomRight" activeCell="AE12" sqref="AE12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8" customWidth="1"/>
    <col min="4" max="4" width="15.140625" style="52" bestFit="1" customWidth="1"/>
    <col min="5" max="5" width="5.5703125" customWidth="1"/>
    <col min="6" max="6" width="5" customWidth="1"/>
    <col min="7" max="7" width="4.5703125" style="57" customWidth="1"/>
    <col min="8" max="8" width="3.7109375" style="3" customWidth="1"/>
    <col min="9" max="9" width="4.85546875" customWidth="1"/>
    <col min="10" max="10" width="4.5703125" customWidth="1"/>
    <col min="11" max="11" width="4.7109375" style="57" customWidth="1"/>
    <col min="12" max="12" width="5.140625" customWidth="1"/>
    <col min="13" max="13" width="4.28515625" style="57" customWidth="1"/>
    <col min="14" max="14" width="5" style="57" customWidth="1"/>
    <col min="15" max="15" width="10.42578125" style="57" customWidth="1"/>
    <col min="16" max="16" width="5.5703125" style="57" customWidth="1"/>
    <col min="17" max="17" width="4.140625" style="57" customWidth="1"/>
    <col min="18" max="19" width="5.7109375" style="57" customWidth="1"/>
    <col min="20" max="20" width="12.7109375" bestFit="1" customWidth="1"/>
    <col min="21" max="21" width="10.5703125" customWidth="1"/>
    <col min="22" max="22" width="11.140625" style="46" customWidth="1"/>
    <col min="23" max="23" width="7.5703125" style="46" customWidth="1"/>
    <col min="24" max="24" width="6.140625" style="46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60" customWidth="1"/>
    <col min="34" max="34" width="7" style="374" bestFit="1" customWidth="1"/>
    <col min="35" max="35" width="7.5703125" style="260" bestFit="1" customWidth="1"/>
    <col min="36" max="36" width="6" style="260" bestFit="1" customWidth="1"/>
    <col min="37" max="37" width="6.5703125" style="260" customWidth="1"/>
    <col min="38" max="38" width="7" style="260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5" s="65" customFormat="1" x14ac:dyDescent="0.25">
      <c r="C1" s="205"/>
      <c r="D1" s="97">
        <f ca="1">TODAY()</f>
        <v>44778</v>
      </c>
      <c r="E1" s="546">
        <v>41471</v>
      </c>
      <c r="F1" s="546"/>
      <c r="G1" s="546"/>
      <c r="H1" s="66"/>
      <c r="I1" s="66"/>
      <c r="J1" s="66"/>
      <c r="K1" s="67"/>
      <c r="L1" s="66"/>
      <c r="M1" s="67"/>
      <c r="N1" s="67"/>
      <c r="O1" s="67"/>
      <c r="P1" s="67"/>
      <c r="Q1" s="205"/>
      <c r="R1" s="67"/>
      <c r="S1" s="67"/>
      <c r="T1" s="66"/>
      <c r="U1" s="66"/>
      <c r="V1" s="66"/>
      <c r="W1" s="66"/>
      <c r="X1" s="86"/>
      <c r="Y1" s="66"/>
      <c r="Z1" s="66"/>
      <c r="AA1" s="66"/>
      <c r="AB1" s="66"/>
      <c r="AC1" s="66"/>
      <c r="AD1" s="66"/>
      <c r="AE1" s="86"/>
      <c r="AF1" s="253"/>
      <c r="AG1" s="253"/>
      <c r="AH1" s="370"/>
      <c r="AI1" s="254"/>
      <c r="AJ1" s="255"/>
      <c r="AK1" s="254"/>
      <c r="AL1" s="254"/>
      <c r="AM1" s="66"/>
      <c r="AN1" s="66"/>
      <c r="AO1" s="66"/>
    </row>
    <row r="2" spans="1:45" s="2" customFormat="1" x14ac:dyDescent="0.25">
      <c r="A2" s="2">
        <v>16</v>
      </c>
      <c r="B2" s="72"/>
      <c r="C2" s="237"/>
      <c r="D2" s="238"/>
      <c r="E2" s="205"/>
      <c r="F2" s="205"/>
      <c r="I2" s="239">
        <f>AVERAGE(I4:I19)</f>
        <v>7.78125</v>
      </c>
      <c r="J2" s="205"/>
      <c r="K2" s="205"/>
      <c r="M2" s="239">
        <f>AVERAGE(M4:M19)</f>
        <v>7.1125000000000007</v>
      </c>
      <c r="N2" s="205"/>
      <c r="O2" s="205"/>
      <c r="P2" s="205"/>
      <c r="Q2" s="239">
        <f t="shared" ref="Q2:V2" si="0">AVERAGE(Q4:Q19)</f>
        <v>5.875</v>
      </c>
      <c r="R2" s="240">
        <f t="shared" si="0"/>
        <v>0.91229232706712104</v>
      </c>
      <c r="S2" s="240">
        <f t="shared" si="0"/>
        <v>0.97027574371282599</v>
      </c>
      <c r="T2" s="241">
        <f t="shared" si="0"/>
        <v>153874.375</v>
      </c>
      <c r="U2" s="241">
        <f t="shared" si="0"/>
        <v>-3736.25</v>
      </c>
      <c r="V2" s="241">
        <f t="shared" si="0"/>
        <v>30482</v>
      </c>
      <c r="W2" s="74"/>
      <c r="X2" s="242">
        <f>(X5+X4)/2</f>
        <v>11</v>
      </c>
      <c r="Y2" s="242">
        <f>AVERAGE(Y4:Y15)</f>
        <v>12.362240999740999</v>
      </c>
      <c r="Z2" s="242">
        <f>AVERAGE(Z15:Z15)</f>
        <v>14.333333333333334</v>
      </c>
      <c r="AA2" s="242">
        <f>AVERAGE(AA6:AA9)</f>
        <v>2</v>
      </c>
      <c r="AB2" s="242">
        <f>AVERAGE(AB4:AB15)</f>
        <v>4</v>
      </c>
      <c r="AC2" s="242">
        <f>AVERAGE(AC10:AC10)</f>
        <v>9</v>
      </c>
      <c r="AD2" s="242">
        <f>AVERAGE(AD4:AD15)</f>
        <v>18.130555555555556</v>
      </c>
      <c r="AE2" s="74"/>
      <c r="AF2" s="256"/>
      <c r="AG2" s="256"/>
      <c r="AH2" s="371"/>
      <c r="AI2" s="257"/>
      <c r="AJ2" s="257"/>
      <c r="AK2" s="257"/>
      <c r="AL2" s="257"/>
    </row>
    <row r="3" spans="1:45" x14ac:dyDescent="0.25">
      <c r="A3" s="79" t="s">
        <v>82</v>
      </c>
      <c r="B3" s="79" t="s">
        <v>83</v>
      </c>
      <c r="C3" s="80" t="s">
        <v>502</v>
      </c>
      <c r="D3" s="81" t="s">
        <v>84</v>
      </c>
      <c r="E3" s="79" t="s">
        <v>85</v>
      </c>
      <c r="F3" s="79" t="s">
        <v>86</v>
      </c>
      <c r="G3" s="79" t="s">
        <v>87</v>
      </c>
      <c r="H3" s="79" t="s">
        <v>88</v>
      </c>
      <c r="I3" s="79" t="s">
        <v>89</v>
      </c>
      <c r="J3" s="79" t="s">
        <v>90</v>
      </c>
      <c r="K3" s="82" t="s">
        <v>91</v>
      </c>
      <c r="L3" s="82" t="s">
        <v>92</v>
      </c>
      <c r="M3" s="79" t="s">
        <v>93</v>
      </c>
      <c r="N3" s="79" t="s">
        <v>94</v>
      </c>
      <c r="O3" s="79" t="s">
        <v>95</v>
      </c>
      <c r="P3" s="79" t="s">
        <v>96</v>
      </c>
      <c r="Q3" s="79" t="s">
        <v>97</v>
      </c>
      <c r="R3" s="144" t="s">
        <v>98</v>
      </c>
      <c r="S3" s="144" t="s">
        <v>99</v>
      </c>
      <c r="T3" s="79" t="s">
        <v>100</v>
      </c>
      <c r="U3" s="79" t="s">
        <v>101</v>
      </c>
      <c r="V3" s="79" t="s">
        <v>102</v>
      </c>
      <c r="W3" s="79" t="s">
        <v>103</v>
      </c>
      <c r="X3" s="79" t="s">
        <v>104</v>
      </c>
      <c r="Y3" s="79" t="s">
        <v>105</v>
      </c>
      <c r="Z3" s="79" t="s">
        <v>106</v>
      </c>
      <c r="AA3" s="79" t="s">
        <v>107</v>
      </c>
      <c r="AB3" s="79" t="s">
        <v>108</v>
      </c>
      <c r="AC3" s="79" t="s">
        <v>109</v>
      </c>
      <c r="AD3" s="79" t="s">
        <v>87</v>
      </c>
      <c r="AE3" s="79" t="s">
        <v>110</v>
      </c>
      <c r="AF3" s="96" t="s">
        <v>111</v>
      </c>
      <c r="AG3" s="96" t="s">
        <v>112</v>
      </c>
      <c r="AH3" s="372" t="s">
        <v>113</v>
      </c>
      <c r="AI3" s="96" t="s">
        <v>691</v>
      </c>
      <c r="AJ3" s="96" t="s">
        <v>114</v>
      </c>
      <c r="AK3" s="96" t="s">
        <v>115</v>
      </c>
      <c r="AL3" s="96" t="s">
        <v>116</v>
      </c>
      <c r="AM3" s="79" t="s">
        <v>117</v>
      </c>
      <c r="AN3" s="79" t="s">
        <v>118</v>
      </c>
      <c r="AO3" s="79" t="s">
        <v>119</v>
      </c>
      <c r="AP3" s="121" t="s">
        <v>123</v>
      </c>
      <c r="AQ3" s="233" t="s">
        <v>124</v>
      </c>
    </row>
    <row r="4" spans="1:45" x14ac:dyDescent="0.25">
      <c r="A4" s="4" t="s">
        <v>126</v>
      </c>
      <c r="B4" s="4" t="s">
        <v>14</v>
      </c>
      <c r="C4" s="109">
        <f t="shared" ref="C4:C19" ca="1" si="1">((36*112)-(E4*112)-(F4))/112</f>
        <v>6.4732142857142856</v>
      </c>
      <c r="D4" s="366" t="s">
        <v>484</v>
      </c>
      <c r="E4" s="54">
        <v>29</v>
      </c>
      <c r="F4" s="55">
        <f ca="1">82-44017+$D$1-112-112-112-112-112-112-112</f>
        <v>59</v>
      </c>
      <c r="G4" s="70" t="s">
        <v>127</v>
      </c>
      <c r="H4" s="108">
        <v>0</v>
      </c>
      <c r="I4" s="56">
        <v>9</v>
      </c>
      <c r="J4" s="141">
        <f t="shared" ref="J4:J9" si="2">LOG(I4+1)*4/3</f>
        <v>1.3333333333333333</v>
      </c>
      <c r="K4" s="83">
        <f t="shared" ref="K4:K9" si="3">(H4)*(H4)*(I4)</f>
        <v>0</v>
      </c>
      <c r="L4" s="83">
        <f t="shared" ref="L4:L9" si="4">(H4+1)*(H4+1)*I4</f>
        <v>9</v>
      </c>
      <c r="M4" s="77">
        <v>7</v>
      </c>
      <c r="N4" s="138">
        <f t="shared" ref="N4:N9" si="5">M4*10+19</f>
        <v>89</v>
      </c>
      <c r="O4" s="263">
        <v>43878</v>
      </c>
      <c r="P4" s="229">
        <f ca="1">IF((TODAY()-O4)&gt;335,1,((TODAY()-O4)^0.64)/(336^0.64))</f>
        <v>1</v>
      </c>
      <c r="Q4" s="138">
        <v>5</v>
      </c>
      <c r="R4" s="154">
        <f t="shared" ref="R4:R9" si="6">(Q4/7)^0.5</f>
        <v>0.84515425472851657</v>
      </c>
      <c r="S4" s="154">
        <f t="shared" ref="S4:S9" si="7">IF(Q4=7,1,((Q4+0.99)/7)^0.5)</f>
        <v>0.92504826128926143</v>
      </c>
      <c r="T4" s="313">
        <v>65860</v>
      </c>
      <c r="U4" s="204">
        <f>T4-AP4</f>
        <v>960</v>
      </c>
      <c r="V4" s="91">
        <v>28500</v>
      </c>
      <c r="W4" s="89">
        <f t="shared" ref="W4:W20" si="8">T4/V4</f>
        <v>2.3108771929824563</v>
      </c>
      <c r="X4" s="140">
        <v>15</v>
      </c>
      <c r="Y4" s="141">
        <f>9+4/9</f>
        <v>9.4444444444444446</v>
      </c>
      <c r="Z4" s="140">
        <v>3</v>
      </c>
      <c r="AA4" s="141">
        <v>1</v>
      </c>
      <c r="AB4" s="140">
        <v>5</v>
      </c>
      <c r="AC4" s="141">
        <f>5+3/5</f>
        <v>5.6</v>
      </c>
      <c r="AD4" s="140">
        <v>22</v>
      </c>
      <c r="AE4" s="232">
        <v>1591</v>
      </c>
      <c r="AF4" s="258">
        <f t="shared" ref="AF4:AF9" ca="1" si="9">(Z4+P4+J4)*(Q4/7)^0.5</f>
        <v>4.5074893585520881</v>
      </c>
      <c r="AG4" s="258">
        <f t="shared" ref="AG4:AG9" ca="1" si="10">(Z4+P4+J4)*(IF(Q4=7,(Q4/7)^0.5,((Q4+1)/7)^0.5))</f>
        <v>4.9377071987869403</v>
      </c>
      <c r="AH4" s="444">
        <f t="shared" ref="AH4:AH9" ca="1" si="11">(1.66*(AC4+J4+P4)+0.55*(AD4+J4+P4)-7.6)*(Q4/7)^0.5</f>
        <v>16.017926871784663</v>
      </c>
      <c r="AI4" s="89">
        <f ca="1">(1.66*(AC4+J4+P4)+0.55*(AD4+J4+P4)-7.6)</f>
        <v>18.952666666666666</v>
      </c>
      <c r="AJ4" s="442">
        <f t="shared" ref="AJ4:AJ9" ca="1" si="12">((AD4+J4+P4)*0.7+(AC4+J4+P4)*0.3)*(Q4/7)^0.5</f>
        <v>16.407261265129598</v>
      </c>
      <c r="AK4" s="259">
        <f t="shared" ref="AK4:AK9" ca="1" si="13">(AD4+P4+(LOG(I4)*4/3))*(Q4/7)^0.5</f>
        <v>20.513857347949831</v>
      </c>
      <c r="AL4" s="259">
        <f t="shared" ref="AL4:AL9" ca="1" si="14">(AD4+P4+(LOG(I4)*4/3))*(IF(Q4=7,(Q4/7)^0.5,((Q4+1)/7)^0.5))</f>
        <v>22.471804821830453</v>
      </c>
      <c r="AM4" s="138">
        <v>4</v>
      </c>
      <c r="AN4" s="138">
        <v>3</v>
      </c>
      <c r="AO4" s="154">
        <f t="shared" ref="AO4:AO9" si="15">IF(AM4=4,IF(AN4=0,0.137+0.0697,0.137+0.02),IF(AM4=3,IF(AN4=0,0.0958+0.0697,0.0958+0.02),IF(AM4=2,IF(AN4=0,0.0415+0.0697,0.0415+0.02),IF(AM4=1,IF(AN4=0,0.0294+0.0697,0.0294+0.02),IF(AM4=0,IF(AN4=0,0.0063+0.0697,0.0063+0.02))))))</f>
        <v>0.157</v>
      </c>
      <c r="AP4" s="313">
        <v>64900</v>
      </c>
      <c r="AQ4" s="234"/>
      <c r="AR4" s="110"/>
      <c r="AS4" s="112"/>
    </row>
    <row r="5" spans="1:45" x14ac:dyDescent="0.25">
      <c r="A5" s="4" t="s">
        <v>497</v>
      </c>
      <c r="B5" s="4" t="s">
        <v>14</v>
      </c>
      <c r="C5" s="109">
        <f ca="1">((36*112)-(E5*112)-(F5))/112</f>
        <v>15.214285714285714</v>
      </c>
      <c r="D5" s="365" t="s">
        <v>672</v>
      </c>
      <c r="E5" s="54">
        <v>20</v>
      </c>
      <c r="F5" s="55">
        <f ca="1">-44690+$D$1</f>
        <v>88</v>
      </c>
      <c r="G5" s="70"/>
      <c r="H5" s="108">
        <v>3</v>
      </c>
      <c r="I5" s="56">
        <v>0.5</v>
      </c>
      <c r="J5" s="141">
        <f>LOG(I5+1)*4/3</f>
        <v>0.23478834540757498</v>
      </c>
      <c r="K5" s="83">
        <f>(H5)*(H5)*(I5)</f>
        <v>4.5</v>
      </c>
      <c r="L5" s="83">
        <f>(H5+1)*(H5+1)*I5</f>
        <v>8</v>
      </c>
      <c r="M5" s="77">
        <v>7.9</v>
      </c>
      <c r="N5" s="138">
        <f>M5*10+19</f>
        <v>98</v>
      </c>
      <c r="O5" s="263">
        <v>44735</v>
      </c>
      <c r="P5" s="229">
        <f ca="1">IF((TODAY()-O5)&gt;335,1,((TODAY()-O5)^0.64)/(336^0.64))</f>
        <v>0.26826417179081041</v>
      </c>
      <c r="Q5" s="138">
        <v>6</v>
      </c>
      <c r="R5" s="154">
        <f>(Q5/7)^0.5</f>
        <v>0.92582009977255142</v>
      </c>
      <c r="S5" s="154">
        <f>IF(Q5=7,1,((Q5+0.99)/7)^0.5)</f>
        <v>0.99928545900129484</v>
      </c>
      <c r="T5" s="91">
        <v>6430</v>
      </c>
      <c r="U5" s="204">
        <f>T5-AP5</f>
        <v>40</v>
      </c>
      <c r="V5" s="91">
        <v>2244</v>
      </c>
      <c r="W5" s="89">
        <f>T5/V5</f>
        <v>2.8654188948306594</v>
      </c>
      <c r="X5" s="140">
        <v>7</v>
      </c>
      <c r="Y5" s="141">
        <v>5</v>
      </c>
      <c r="Z5" s="140">
        <v>0</v>
      </c>
      <c r="AA5" s="141">
        <v>0</v>
      </c>
      <c r="AB5" s="140">
        <v>0</v>
      </c>
      <c r="AC5" s="141">
        <v>0</v>
      </c>
      <c r="AD5" s="140">
        <v>12</v>
      </c>
      <c r="AE5" s="232">
        <v>365</v>
      </c>
      <c r="AF5" s="258">
        <f ca="1">(Z5+P5+J5)*(Q5/7)^0.5</f>
        <v>0.4657361316634423</v>
      </c>
      <c r="AG5" s="258">
        <f ca="1">(Z5+P5+J5)*(IF(Q5=7,(Q5/7)^0.5,((Q5+1)/7)^0.5))</f>
        <v>0.5030525171983854</v>
      </c>
      <c r="AH5" s="444">
        <f ca="1">(1.66*(AC5+J5+P5)+0.55*(AD5+J5+P5)-7.6)*(Q5/7)^0.5</f>
        <v>0.10345675120365749</v>
      </c>
      <c r="AI5" s="89">
        <f t="shared" ref="AI5:AI19" ca="1" si="16">(1.66*(AC5+J5+P5)+0.55*(AD5+J5+P5)-7.6)</f>
        <v>0.11174606300843326</v>
      </c>
      <c r="AJ5" s="442">
        <f ca="1">((AD5+J5+P5)*0.7+(AC5+J5+P5)*0.3)*(Q5/7)^0.5</f>
        <v>8.2426249697528728</v>
      </c>
      <c r="AK5" s="259">
        <f ca="1">(AD5+P5+(LOG(I5)*4/3))*(Q5/7)^0.5</f>
        <v>10.986606065403176</v>
      </c>
      <c r="AL5" s="259">
        <f ca="1">(AD5+P5+(LOG(I5)*4/3))*(IF(Q5=7,(Q5/7)^0.5,((Q5+1)/7)^0.5))</f>
        <v>11.866890844238837</v>
      </c>
      <c r="AM5" s="138">
        <v>2</v>
      </c>
      <c r="AN5" s="138">
        <v>2</v>
      </c>
      <c r="AO5" s="154">
        <f>IF(AM5=4,IF(AN5=0,0.137+0.0697,0.137+0.02),IF(AM5=3,IF(AN5=0,0.0958+0.0697,0.0958+0.02),IF(AM5=2,IF(AN5=0,0.0415+0.0697,0.0415+0.02),IF(AM5=1,IF(AN5=0,0.0294+0.0697,0.0294+0.02),IF(AM5=0,IF(AN5=0,0.0063+0.0697,0.0063+0.02))))))</f>
        <v>6.1499999999999999E-2</v>
      </c>
      <c r="AP5" s="91">
        <v>6390</v>
      </c>
      <c r="AQ5" s="234"/>
      <c r="AR5" s="110"/>
      <c r="AS5" s="112"/>
    </row>
    <row r="6" spans="1:45" s="65" customFormat="1" x14ac:dyDescent="0.25">
      <c r="A6" s="4" t="s">
        <v>138</v>
      </c>
      <c r="B6" s="4" t="s">
        <v>167</v>
      </c>
      <c r="C6" s="109">
        <f t="shared" ca="1" si="1"/>
        <v>7.1071428571428568</v>
      </c>
      <c r="D6" s="366" t="s">
        <v>139</v>
      </c>
      <c r="E6" s="54">
        <v>28</v>
      </c>
      <c r="F6" s="55">
        <f ca="1">-43670+$D$1-112-112-112-112-112-112-112-112-112</f>
        <v>100</v>
      </c>
      <c r="G6" s="70"/>
      <c r="H6" s="108">
        <v>3</v>
      </c>
      <c r="I6" s="56">
        <v>8</v>
      </c>
      <c r="J6" s="141">
        <f t="shared" si="2"/>
        <v>1.2723233459190999</v>
      </c>
      <c r="K6" s="83">
        <f t="shared" si="3"/>
        <v>72</v>
      </c>
      <c r="L6" s="83">
        <f t="shared" si="4"/>
        <v>128</v>
      </c>
      <c r="M6" s="77">
        <v>7</v>
      </c>
      <c r="N6" s="138">
        <f t="shared" si="5"/>
        <v>89</v>
      </c>
      <c r="O6" s="263">
        <v>43756</v>
      </c>
      <c r="P6" s="229">
        <f t="shared" ref="P6:P9" ca="1" si="17">IF((TODAY()-O6)&gt;335,1,((TODAY()-O6)^0.64)/(336^0.64))</f>
        <v>1</v>
      </c>
      <c r="Q6" s="138">
        <v>7</v>
      </c>
      <c r="R6" s="154">
        <f t="shared" si="6"/>
        <v>1</v>
      </c>
      <c r="S6" s="154">
        <f t="shared" si="7"/>
        <v>1</v>
      </c>
      <c r="T6" s="313">
        <v>148830</v>
      </c>
      <c r="U6" s="204">
        <f>T6-AP6</f>
        <v>5070</v>
      </c>
      <c r="V6" s="91">
        <v>26600</v>
      </c>
      <c r="W6" s="89">
        <f t="shared" si="8"/>
        <v>5.5951127819548869</v>
      </c>
      <c r="X6" s="140">
        <v>0</v>
      </c>
      <c r="Y6" s="141">
        <v>15</v>
      </c>
      <c r="Z6" s="140">
        <f>8+3/8</f>
        <v>8.375</v>
      </c>
      <c r="AA6" s="141">
        <v>3</v>
      </c>
      <c r="AB6" s="140">
        <v>5</v>
      </c>
      <c r="AC6" s="141">
        <f>7+2/6</f>
        <v>7.333333333333333</v>
      </c>
      <c r="AD6" s="140">
        <f>19</f>
        <v>19</v>
      </c>
      <c r="AE6" s="232">
        <v>1804</v>
      </c>
      <c r="AF6" s="258">
        <f t="shared" ca="1" si="9"/>
        <v>10.6473233459191</v>
      </c>
      <c r="AG6" s="258">
        <f t="shared" ca="1" si="10"/>
        <v>10.6473233459191</v>
      </c>
      <c r="AH6" s="444">
        <f t="shared" ca="1" si="11"/>
        <v>20.045167927814546</v>
      </c>
      <c r="AI6" s="89">
        <f t="shared" ca="1" si="16"/>
        <v>20.045167927814546</v>
      </c>
      <c r="AJ6" s="442">
        <f t="shared" ca="1" si="12"/>
        <v>17.772323345919101</v>
      </c>
      <c r="AK6" s="259">
        <f t="shared" ca="1" si="13"/>
        <v>21.204119982655925</v>
      </c>
      <c r="AL6" s="259">
        <f t="shared" ca="1" si="14"/>
        <v>21.204119982655925</v>
      </c>
      <c r="AM6" s="138">
        <v>3</v>
      </c>
      <c r="AN6" s="138">
        <v>1</v>
      </c>
      <c r="AO6" s="154">
        <f t="shared" si="15"/>
        <v>0.1158</v>
      </c>
      <c r="AP6" s="313">
        <v>143760</v>
      </c>
      <c r="AQ6" s="234">
        <v>2121</v>
      </c>
      <c r="AR6" s="110"/>
      <c r="AS6" s="112"/>
    </row>
    <row r="7" spans="1:45" x14ac:dyDescent="0.25">
      <c r="A7" s="4" t="s">
        <v>131</v>
      </c>
      <c r="B7" s="4" t="s">
        <v>37</v>
      </c>
      <c r="C7" s="109">
        <f t="shared" ca="1" si="1"/>
        <v>7.2142857142857144</v>
      </c>
      <c r="D7" s="366" t="s">
        <v>134</v>
      </c>
      <c r="E7" s="54">
        <v>28</v>
      </c>
      <c r="F7" s="55">
        <f ca="1">84-41471+$D$1-2631-112-112-112-112-112-112</f>
        <v>88</v>
      </c>
      <c r="G7" s="70" t="s">
        <v>127</v>
      </c>
      <c r="H7" s="111">
        <v>2</v>
      </c>
      <c r="I7" s="56">
        <v>8</v>
      </c>
      <c r="J7" s="141">
        <f>LOG(I7+1)*4/3</f>
        <v>1.2723233459190999</v>
      </c>
      <c r="K7" s="83">
        <f>(H7)*(H7)*(I7)</f>
        <v>32</v>
      </c>
      <c r="L7" s="83">
        <f>(H7+1)*(H7+1)*I7</f>
        <v>72</v>
      </c>
      <c r="M7" s="77">
        <v>7.2</v>
      </c>
      <c r="N7" s="138">
        <f>M7*10+19</f>
        <v>91</v>
      </c>
      <c r="O7" s="263">
        <v>43884</v>
      </c>
      <c r="P7" s="229">
        <f ca="1">IF((TODAY()-O7)&gt;335,1,((TODAY()-O7)^0.64)/(336^0.64))</f>
        <v>1</v>
      </c>
      <c r="Q7" s="138">
        <v>6</v>
      </c>
      <c r="R7" s="154">
        <f>(Q7/7)^0.5</f>
        <v>0.92582009977255142</v>
      </c>
      <c r="S7" s="154">
        <f>IF(Q7=7,1,((Q7+0.99)/7)^0.5)</f>
        <v>0.99928545900129484</v>
      </c>
      <c r="T7" s="91">
        <v>164450</v>
      </c>
      <c r="U7" s="204">
        <f>T7-AP7</f>
        <v>6000</v>
      </c>
      <c r="V7" s="91">
        <v>31476</v>
      </c>
      <c r="W7" s="89">
        <f>T7/V7</f>
        <v>5.2246155801245395</v>
      </c>
      <c r="X7" s="140">
        <v>0</v>
      </c>
      <c r="Y7" s="141">
        <f>14+17/20</f>
        <v>14.85</v>
      </c>
      <c r="Z7" s="140">
        <f>10+0/9</f>
        <v>10</v>
      </c>
      <c r="AA7" s="141">
        <v>1</v>
      </c>
      <c r="AB7" s="140">
        <v>3</v>
      </c>
      <c r="AC7" s="141">
        <f>7+5.5/6</f>
        <v>7.916666666666667</v>
      </c>
      <c r="AD7" s="140">
        <f>18+3/4</f>
        <v>18.75</v>
      </c>
      <c r="AE7" s="232">
        <v>1658</v>
      </c>
      <c r="AF7" s="258">
        <f ca="1">(Z7+P7+J7)*(Q7/7)^0.5</f>
        <v>11.361963624559833</v>
      </c>
      <c r="AG7" s="258">
        <f ca="1">(Z7+P7+J7)*(IF(Q7=7,(Q7/7)^0.5,((Q7+1)/7)^0.5))</f>
        <v>12.2723233459191</v>
      </c>
      <c r="AH7" s="444">
        <f t="shared" ca="1" si="11"/>
        <v>19.327421570447836</v>
      </c>
      <c r="AI7" s="89">
        <f t="shared" ca="1" si="16"/>
        <v>20.876001261147877</v>
      </c>
      <c r="AJ7" s="442">
        <f t="shared" ca="1" si="12"/>
        <v>16.453974173308868</v>
      </c>
      <c r="AK7" s="259">
        <f t="shared" ca="1" si="13"/>
        <v>19.399745452988522</v>
      </c>
      <c r="AL7" s="259">
        <f t="shared" ca="1" si="14"/>
        <v>20.954119982655925</v>
      </c>
      <c r="AM7" s="138">
        <v>2</v>
      </c>
      <c r="AN7" s="138">
        <v>3</v>
      </c>
      <c r="AO7" s="154">
        <f>IF(AM7=4,IF(AN7=0,0.137+0.0697,0.137+0.02),IF(AM7=3,IF(AN7=0,0.0958+0.0697,0.0958+0.02),IF(AM7=2,IF(AN7=0,0.0415+0.0697,0.0415+0.02),IF(AM7=1,IF(AN7=0,0.0294+0.0697,0.0294+0.02),IF(AM7=0,IF(AN7=0,0.0063+0.0697,0.0063+0.02))))))</f>
        <v>6.1499999999999999E-2</v>
      </c>
      <c r="AP7" s="91">
        <v>158450</v>
      </c>
      <c r="AQ7" s="234"/>
      <c r="AR7" s="110"/>
      <c r="AS7" s="112"/>
    </row>
    <row r="8" spans="1:45" s="65" customFormat="1" x14ac:dyDescent="0.25">
      <c r="A8" s="4" t="s">
        <v>135</v>
      </c>
      <c r="B8" s="4" t="s">
        <v>37</v>
      </c>
      <c r="C8" s="109">
        <f t="shared" ca="1" si="1"/>
        <v>7.0089285714285712</v>
      </c>
      <c r="D8" s="366" t="s">
        <v>136</v>
      </c>
      <c r="E8" s="54">
        <v>28</v>
      </c>
      <c r="F8" s="55">
        <f ca="1">-43570+$D$1-89-112-112-112-112-112-112-112-112-112</f>
        <v>111</v>
      </c>
      <c r="G8" s="70" t="s">
        <v>137</v>
      </c>
      <c r="H8" s="108">
        <v>2</v>
      </c>
      <c r="I8" s="56">
        <v>8</v>
      </c>
      <c r="J8" s="141">
        <f>LOG(I8+1)*4/3</f>
        <v>1.2723233459190999</v>
      </c>
      <c r="K8" s="83">
        <f>(H8)*(H8)*(I8)</f>
        <v>32</v>
      </c>
      <c r="L8" s="83">
        <f>(H8+1)*(H8+1)*I8</f>
        <v>72</v>
      </c>
      <c r="M8" s="77">
        <v>7.1</v>
      </c>
      <c r="N8" s="138">
        <f>M8*10+19</f>
        <v>90</v>
      </c>
      <c r="O8" s="263">
        <v>43739</v>
      </c>
      <c r="P8" s="229">
        <f ca="1">IF((TODAY()-O8)&gt;335,1,((TODAY()-O8)^0.64)/(336^0.64))</f>
        <v>1</v>
      </c>
      <c r="Q8" s="138">
        <v>6</v>
      </c>
      <c r="R8" s="154">
        <f>(Q8/7)^0.5</f>
        <v>0.92582009977255142</v>
      </c>
      <c r="S8" s="154">
        <f>IF(Q8=7,1,((Q8+0.99)/7)^0.5)</f>
        <v>0.99928545900129484</v>
      </c>
      <c r="T8" s="91">
        <v>155150</v>
      </c>
      <c r="U8" s="204">
        <f>T8-AP8</f>
        <v>8160</v>
      </c>
      <c r="V8" s="91">
        <v>31212</v>
      </c>
      <c r="W8" s="89">
        <f>T8/V8</f>
        <v>4.970844546969114</v>
      </c>
      <c r="X8" s="140">
        <v>0</v>
      </c>
      <c r="Y8" s="141">
        <f>14+18/20</f>
        <v>14.9</v>
      </c>
      <c r="Z8" s="140">
        <f>10+2/9</f>
        <v>10.222222222222221</v>
      </c>
      <c r="AA8" s="141">
        <v>3</v>
      </c>
      <c r="AB8" s="140">
        <v>3</v>
      </c>
      <c r="AC8" s="141">
        <f>7+2/8</f>
        <v>7.25</v>
      </c>
      <c r="AD8" s="140">
        <f>18+1/5</f>
        <v>18.2</v>
      </c>
      <c r="AE8" s="232">
        <v>1687</v>
      </c>
      <c r="AF8" s="258">
        <f ca="1">(Z8+P8+J8)*(Q8/7)^0.5</f>
        <v>11.567701424509288</v>
      </c>
      <c r="AG8" s="258">
        <f ca="1">(Z8+P8+J8)*(IF(Q8=7,(Q8/7)^0.5,((Q8+1)/7)^0.5))</f>
        <v>12.494545568141321</v>
      </c>
      <c r="AH8" s="444">
        <f t="shared" ca="1" si="11"/>
        <v>18.022786746518353</v>
      </c>
      <c r="AI8" s="89">
        <f t="shared" ca="1" si="16"/>
        <v>19.466834594481213</v>
      </c>
      <c r="AJ8" s="442">
        <f t="shared" ca="1" si="12"/>
        <v>15.912369414941924</v>
      </c>
      <c r="AK8" s="259">
        <f t="shared" ca="1" si="13"/>
        <v>18.890544398113619</v>
      </c>
      <c r="AL8" s="259">
        <f t="shared" ca="1" si="14"/>
        <v>20.404119982655924</v>
      </c>
      <c r="AM8" s="138">
        <v>2</v>
      </c>
      <c r="AN8" s="138">
        <v>2</v>
      </c>
      <c r="AO8" s="154">
        <f>IF(AM8=4,IF(AN8=0,0.137+0.0697,0.137+0.02),IF(AM8=3,IF(AN8=0,0.0958+0.0697,0.0958+0.02),IF(AM8=2,IF(AN8=0,0.0415+0.0697,0.0415+0.02),IF(AM8=1,IF(AN8=0,0.0294+0.0697,0.0294+0.02),IF(AM8=0,IF(AN8=0,0.0063+0.0697,0.0063+0.02))))))</f>
        <v>6.1499999999999999E-2</v>
      </c>
      <c r="AP8" s="91">
        <v>146990</v>
      </c>
      <c r="AQ8" s="234">
        <v>2040</v>
      </c>
      <c r="AR8" s="110"/>
      <c r="AS8" s="112"/>
    </row>
    <row r="9" spans="1:45" s="65" customFormat="1" x14ac:dyDescent="0.25">
      <c r="A9" s="4" t="s">
        <v>141</v>
      </c>
      <c r="B9" s="4" t="s">
        <v>37</v>
      </c>
      <c r="C9" s="109">
        <f t="shared" ca="1" si="1"/>
        <v>7.7589285714285712</v>
      </c>
      <c r="D9" s="366" t="s">
        <v>142</v>
      </c>
      <c r="E9" s="54">
        <v>28</v>
      </c>
      <c r="F9" s="55">
        <f ca="1">-43657+$D$1-32-278-112-112-112-112-112-112-112</f>
        <v>27</v>
      </c>
      <c r="G9" s="70" t="s">
        <v>127</v>
      </c>
      <c r="H9" s="108">
        <v>3</v>
      </c>
      <c r="I9" s="56">
        <v>7</v>
      </c>
      <c r="J9" s="141">
        <f t="shared" si="2"/>
        <v>1.2041199826559248</v>
      </c>
      <c r="K9" s="83">
        <f t="shared" si="3"/>
        <v>63</v>
      </c>
      <c r="L9" s="83">
        <f t="shared" si="4"/>
        <v>112</v>
      </c>
      <c r="M9" s="77">
        <v>7.1</v>
      </c>
      <c r="N9" s="138">
        <f t="shared" si="5"/>
        <v>90</v>
      </c>
      <c r="O9" s="263">
        <v>43898</v>
      </c>
      <c r="P9" s="229">
        <f t="shared" ca="1" si="17"/>
        <v>1</v>
      </c>
      <c r="Q9" s="138">
        <v>7</v>
      </c>
      <c r="R9" s="154">
        <f t="shared" si="6"/>
        <v>1</v>
      </c>
      <c r="S9" s="154">
        <f t="shared" si="7"/>
        <v>1</v>
      </c>
      <c r="T9" s="313">
        <v>123360</v>
      </c>
      <c r="U9" s="204">
        <f>T9-AP9</f>
        <v>4210</v>
      </c>
      <c r="V9" s="91">
        <v>24468</v>
      </c>
      <c r="W9" s="89">
        <f t="shared" si="8"/>
        <v>5.0416871015203535</v>
      </c>
      <c r="X9" s="140">
        <v>0</v>
      </c>
      <c r="Y9" s="141">
        <f>14+2/20</f>
        <v>14.1</v>
      </c>
      <c r="Z9" s="140">
        <f>9+3/8</f>
        <v>9.375</v>
      </c>
      <c r="AA9" s="141">
        <v>1</v>
      </c>
      <c r="AB9" s="140">
        <v>6</v>
      </c>
      <c r="AC9" s="141">
        <f>6+2/5</f>
        <v>6.4</v>
      </c>
      <c r="AD9" s="140">
        <f>19+1/5</f>
        <v>19.2</v>
      </c>
      <c r="AE9" s="232">
        <v>1684</v>
      </c>
      <c r="AF9" s="258">
        <f t="shared" ca="1" si="9"/>
        <v>11.579119982655925</v>
      </c>
      <c r="AG9" s="258">
        <f t="shared" ca="1" si="10"/>
        <v>11.579119982655925</v>
      </c>
      <c r="AH9" s="444">
        <f t="shared" ca="1" si="11"/>
        <v>18.455105161669593</v>
      </c>
      <c r="AI9" s="89">
        <f t="shared" ca="1" si="16"/>
        <v>18.455105161669593</v>
      </c>
      <c r="AJ9" s="442">
        <f t="shared" ca="1" si="12"/>
        <v>17.564119982655924</v>
      </c>
      <c r="AK9" s="259">
        <f t="shared" ca="1" si="13"/>
        <v>21.326797386685676</v>
      </c>
      <c r="AL9" s="259">
        <f t="shared" ca="1" si="14"/>
        <v>21.326797386685676</v>
      </c>
      <c r="AM9" s="138">
        <v>3</v>
      </c>
      <c r="AN9" s="138">
        <v>3</v>
      </c>
      <c r="AO9" s="154">
        <f t="shared" si="15"/>
        <v>0.1158</v>
      </c>
      <c r="AP9" s="313">
        <v>119150</v>
      </c>
      <c r="AQ9" s="234">
        <v>5093</v>
      </c>
      <c r="AR9" s="110"/>
      <c r="AS9" s="112"/>
    </row>
    <row r="10" spans="1:45" s="65" customFormat="1" x14ac:dyDescent="0.25">
      <c r="A10" s="4" t="s">
        <v>652</v>
      </c>
      <c r="B10" s="4" t="s">
        <v>28</v>
      </c>
      <c r="C10" s="109">
        <f t="shared" ref="C10:C15" ca="1" si="18">((36*112)-(E10*112)-(F10))/112</f>
        <v>5.125</v>
      </c>
      <c r="D10" s="365" t="s">
        <v>651</v>
      </c>
      <c r="E10" s="54">
        <v>30</v>
      </c>
      <c r="F10" s="55">
        <f ca="1">-171-44285+$D$1-112-112</f>
        <v>98</v>
      </c>
      <c r="G10" s="70" t="s">
        <v>127</v>
      </c>
      <c r="H10" s="108">
        <v>5</v>
      </c>
      <c r="I10" s="56">
        <v>9</v>
      </c>
      <c r="J10" s="141">
        <f t="shared" ref="J10:J19" si="19">LOG(I10+1)*4/3</f>
        <v>1.3333333333333333</v>
      </c>
      <c r="K10" s="83">
        <f t="shared" ref="K10:K19" si="20">(H10)*(H10)*(I10)</f>
        <v>225</v>
      </c>
      <c r="L10" s="83">
        <f t="shared" ref="L10:L19" si="21">(H10+1)*(H10+1)*I10</f>
        <v>324</v>
      </c>
      <c r="M10" s="77">
        <v>7</v>
      </c>
      <c r="N10" s="138">
        <f t="shared" ref="N10:N19" si="22">M10*10+19</f>
        <v>89</v>
      </c>
      <c r="O10" s="263">
        <v>44531</v>
      </c>
      <c r="P10" s="229">
        <f t="shared" ref="P10:P19" ca="1" si="23">IF((TODAY()-O10)&gt;335,1,((TODAY()-O10)^0.64)/(336^0.64))</f>
        <v>0.82123776531293857</v>
      </c>
      <c r="Q10" s="138">
        <v>7</v>
      </c>
      <c r="R10" s="154">
        <f t="shared" ref="R10:R19" si="24">(Q10/7)^0.5</f>
        <v>1</v>
      </c>
      <c r="S10" s="154">
        <f t="shared" ref="S10:S19" si="25">IF(Q10=7,1,((Q10+0.99)/7)^0.5)</f>
        <v>1</v>
      </c>
      <c r="T10" s="313">
        <v>254430</v>
      </c>
      <c r="U10" s="204">
        <f>T10-AP10</f>
        <v>590</v>
      </c>
      <c r="V10" s="91">
        <v>30288</v>
      </c>
      <c r="W10" s="89">
        <f t="shared" ref="W10:W19" si="26">T10/V10</f>
        <v>8.4003565768621229</v>
      </c>
      <c r="X10" s="140">
        <v>0</v>
      </c>
      <c r="Y10" s="141">
        <f>14+13/22</f>
        <v>14.590909090909092</v>
      </c>
      <c r="Z10" s="140">
        <v>13</v>
      </c>
      <c r="AA10" s="141">
        <v>1</v>
      </c>
      <c r="AB10" s="140">
        <v>9</v>
      </c>
      <c r="AC10" s="141">
        <v>9</v>
      </c>
      <c r="AD10" s="140">
        <v>16</v>
      </c>
      <c r="AE10" s="312">
        <v>2136</v>
      </c>
      <c r="AF10" s="258">
        <f ca="1">(Z10+P10+J10)*(Q10/7)^0.5</f>
        <v>15.154571098646272</v>
      </c>
      <c r="AG10" s="258">
        <f ca="1">(Z10+P10+J10)*(IF(Q10=7,(Q10/7)^0.5,((Q10+1)/7)^0.5))</f>
        <v>15.154571098646272</v>
      </c>
      <c r="AH10" s="444">
        <f ca="1">(1.66*(AC10+J10+P10)+0.55*(AD10+J10+P10)-7.6)*(Q10/7)^0.5</f>
        <v>20.901602128008257</v>
      </c>
      <c r="AI10" s="89">
        <f t="shared" ca="1" si="16"/>
        <v>20.901602128008257</v>
      </c>
      <c r="AJ10" s="442">
        <f ca="1">((AD10+J10+P10)*0.7+(AC10+J10+P10)*0.3)*(Q10/7)^0.5</f>
        <v>16.054571098646271</v>
      </c>
      <c r="AK10" s="259">
        <f ca="1">(AD10+P10+(LOG(I10)*4/3))*(Q10/7)^0.5</f>
        <v>18.093561111232042</v>
      </c>
      <c r="AL10" s="259">
        <f ca="1">(AD10+P10+(LOG(I10)*4/3))*(IF(Q10=7,(Q10/7)^0.5,((Q10+1)/7)^0.5))</f>
        <v>18.093561111232042</v>
      </c>
      <c r="AM10" s="138">
        <v>1</v>
      </c>
      <c r="AN10" s="138">
        <v>2</v>
      </c>
      <c r="AO10" s="154">
        <f t="shared" ref="AO10:AO19" si="27">IF(AM10=4,IF(AN10=0,0.137+0.0697,0.137+0.02),IF(AM10=3,IF(AN10=0,0.0958+0.0697,0.0958+0.02),IF(AM10=2,IF(AN10=0,0.0415+0.0697,0.0415+0.02),IF(AM10=1,IF(AN10=0,0.0294+0.0697,0.0294+0.02),IF(AM10=0,IF(AN10=0,0.0063+0.0697,0.0063+0.02))))))</f>
        <v>4.9399999999999999E-2</v>
      </c>
      <c r="AP10" s="313">
        <v>253840</v>
      </c>
      <c r="AQ10" s="234">
        <v>5400</v>
      </c>
      <c r="AR10" s="110"/>
      <c r="AS10" s="112"/>
    </row>
    <row r="11" spans="1:45" s="65" customFormat="1" x14ac:dyDescent="0.25">
      <c r="A11" s="266" t="s">
        <v>497</v>
      </c>
      <c r="B11" s="266" t="s">
        <v>28</v>
      </c>
      <c r="C11" s="109">
        <f t="shared" ca="1" si="18"/>
        <v>6.1964285714285712</v>
      </c>
      <c r="D11" s="367" t="s">
        <v>671</v>
      </c>
      <c r="E11" s="267">
        <v>29</v>
      </c>
      <c r="F11" s="268">
        <f ca="1">-44688+$D$1</f>
        <v>90</v>
      </c>
      <c r="G11" s="269" t="s">
        <v>133</v>
      </c>
      <c r="H11" s="270">
        <v>1</v>
      </c>
      <c r="I11" s="271">
        <v>9</v>
      </c>
      <c r="J11" s="272">
        <f t="shared" si="19"/>
        <v>1.3333333333333333</v>
      </c>
      <c r="K11" s="273">
        <f t="shared" si="20"/>
        <v>9</v>
      </c>
      <c r="L11" s="273">
        <f t="shared" si="21"/>
        <v>36</v>
      </c>
      <c r="M11" s="274">
        <v>7</v>
      </c>
      <c r="N11" s="138">
        <f t="shared" si="22"/>
        <v>89</v>
      </c>
      <c r="O11" s="368">
        <v>44652</v>
      </c>
      <c r="P11" s="276">
        <f t="shared" ca="1" si="23"/>
        <v>0.53380177226389258</v>
      </c>
      <c r="Q11" s="275">
        <v>6</v>
      </c>
      <c r="R11" s="277">
        <f t="shared" si="24"/>
        <v>0.92582009977255142</v>
      </c>
      <c r="S11" s="277">
        <f t="shared" si="25"/>
        <v>0.99928545900129484</v>
      </c>
      <c r="T11" s="278">
        <v>197490</v>
      </c>
      <c r="U11" s="279">
        <f>T11-AP11</f>
        <v>4930</v>
      </c>
      <c r="V11" s="278">
        <v>34308</v>
      </c>
      <c r="W11" s="280">
        <f t="shared" si="26"/>
        <v>5.7563833508219657</v>
      </c>
      <c r="X11" s="281">
        <v>0</v>
      </c>
      <c r="Y11" s="272">
        <v>13</v>
      </c>
      <c r="Z11" s="281">
        <v>14</v>
      </c>
      <c r="AA11" s="272">
        <v>2</v>
      </c>
      <c r="AB11" s="281">
        <v>2</v>
      </c>
      <c r="AC11" s="272">
        <v>7</v>
      </c>
      <c r="AD11" s="281">
        <v>19</v>
      </c>
      <c r="AE11" s="282">
        <v>1916</v>
      </c>
      <c r="AF11" s="283">
        <f t="shared" ref="AF11" ca="1" si="28">(Z11+P11+J11)*(Q11/7)^0.5</f>
        <v>14.690112606568578</v>
      </c>
      <c r="AG11" s="283">
        <f t="shared" ref="AG11" ca="1" si="29">(Z11+P11+J11)*(IF(Q11=7,(Q11/7)^0.5,((Q11+1)/7)^0.5))</f>
        <v>15.867135105597226</v>
      </c>
      <c r="AH11" s="445">
        <f ca="1">(1.66*(AC11+J11+P11)+0.55*(AD11+J11+P11)-7.6)*(Q11/7)^0.5</f>
        <v>17.216891817262631</v>
      </c>
      <c r="AI11" s="89">
        <f t="shared" ca="1" si="16"/>
        <v>18.596368583369866</v>
      </c>
      <c r="AJ11" s="443">
        <f ca="1">((AD11+J11+P11)*0.7+(AC11+J11+P11)*0.3)*(Q11/7)^0.5</f>
        <v>15.986260746250146</v>
      </c>
      <c r="AK11" s="360">
        <f ca="1">(AD11+P11+(LOG(I11)*4/3))*(Q11/7)^0.5</f>
        <v>19.262728832796366</v>
      </c>
      <c r="AL11" s="360">
        <f ca="1">(AD11+P11+(LOG(I11)*4/3))*(IF(Q11=7,(Q11/7)^0.5,((Q11+1)/7)^0.5))</f>
        <v>20.806125118182994</v>
      </c>
      <c r="AM11" s="275">
        <v>3</v>
      </c>
      <c r="AN11" s="275">
        <v>2</v>
      </c>
      <c r="AO11" s="277">
        <f t="shared" si="27"/>
        <v>0.1158</v>
      </c>
      <c r="AP11" s="278">
        <v>192560</v>
      </c>
      <c r="AQ11" s="284"/>
      <c r="AR11" s="110"/>
      <c r="AS11" s="112"/>
    </row>
    <row r="12" spans="1:45" s="1" customFormat="1" x14ac:dyDescent="0.25">
      <c r="A12" s="84" t="s">
        <v>131</v>
      </c>
      <c r="B12" s="4" t="s">
        <v>28</v>
      </c>
      <c r="C12" s="109">
        <f t="shared" ca="1" si="18"/>
        <v>7.9285714285714288</v>
      </c>
      <c r="D12" s="365" t="s">
        <v>673</v>
      </c>
      <c r="E12" s="54">
        <v>28</v>
      </c>
      <c r="F12" s="55">
        <f ca="1">+$D$1-44658-112</f>
        <v>8</v>
      </c>
      <c r="G12" s="70" t="s">
        <v>127</v>
      </c>
      <c r="H12" s="108">
        <v>2</v>
      </c>
      <c r="I12" s="56">
        <v>8</v>
      </c>
      <c r="J12" s="141">
        <f>LOG(I12+1)*4/3</f>
        <v>1.2723233459190999</v>
      </c>
      <c r="K12" s="83">
        <f>(H12)*(H12)*(I12)</f>
        <v>32</v>
      </c>
      <c r="L12" s="83">
        <f>(H12+1)*(H12+1)*I12</f>
        <v>72</v>
      </c>
      <c r="M12" s="77">
        <v>6.4</v>
      </c>
      <c r="N12" s="138">
        <f>M12*10+19</f>
        <v>83</v>
      </c>
      <c r="O12" s="263">
        <v>44751</v>
      </c>
      <c r="P12" s="229">
        <f t="shared" ca="1" si="23"/>
        <v>0.199166215696265</v>
      </c>
      <c r="Q12" s="138">
        <v>5</v>
      </c>
      <c r="R12" s="154">
        <f>(Q12/7)^0.5</f>
        <v>0.84515425472851657</v>
      </c>
      <c r="S12" s="154">
        <f>IF(Q12=7,1,((Q12+0.99)/7)^0.5)</f>
        <v>0.92504826128926143</v>
      </c>
      <c r="T12" s="313">
        <v>188350</v>
      </c>
      <c r="U12" s="204">
        <f>T12-AP12</f>
        <v>-55070</v>
      </c>
      <c r="V12" s="91">
        <v>33144</v>
      </c>
      <c r="W12" s="89">
        <f>T12/V12</f>
        <v>5.6827781800627566</v>
      </c>
      <c r="X12" s="140">
        <v>0</v>
      </c>
      <c r="Y12" s="141">
        <v>13</v>
      </c>
      <c r="Z12" s="140">
        <v>14</v>
      </c>
      <c r="AA12" s="141">
        <v>4</v>
      </c>
      <c r="AB12" s="140">
        <v>5</v>
      </c>
      <c r="AC12" s="141">
        <v>9</v>
      </c>
      <c r="AD12" s="140">
        <v>16</v>
      </c>
      <c r="AE12" s="232">
        <v>2010</v>
      </c>
      <c r="AF12" s="258">
        <f ca="1">(Z12+P12+J12)*(Q12/7)^0.5</f>
        <v>13.075795229987056</v>
      </c>
      <c r="AG12" s="258">
        <f ca="1">(Z12+P12+J12)*(IF(Q12=7,(Q12/7)^0.5,((Q12+1)/7)^0.5))</f>
        <v>14.323816009564725</v>
      </c>
      <c r="AH12" s="444">
        <f ca="1">(1.66*(AC12+J12+P12)+0.55*(AD12+J12+P12)-7.6)*(Q12/7)^0.5</f>
        <v>16.389224488289351</v>
      </c>
      <c r="AI12" s="89">
        <f t="shared" ca="1" si="16"/>
        <v>19.391991931169954</v>
      </c>
      <c r="AJ12" s="442">
        <f ca="1">((AD12+J12+P12)*0.7+(AC12+J12+P12)*0.3)*(Q12/7)^0.5</f>
        <v>12.991279804514207</v>
      </c>
      <c r="AK12" s="259">
        <f ca="1">(AD12+P12+(LOG(I12)*4/3))*(Q12/7)^0.5</f>
        <v>14.708461376795425</v>
      </c>
      <c r="AL12" s="259">
        <f ca="1">(AD12+P12+(LOG(I12)*4/3))*(IF(Q12=7,(Q12/7)^0.5,((Q12+1)/7)^0.5))</f>
        <v>16.112312164528692</v>
      </c>
      <c r="AM12" s="138">
        <v>2</v>
      </c>
      <c r="AN12" s="138">
        <v>3</v>
      </c>
      <c r="AO12" s="154">
        <f>IF(AM12=4,IF(AN12=0,0.137+0.0697,0.137+0.02),IF(AM12=3,IF(AN12=0,0.0958+0.0697,0.0958+0.02),IF(AM12=2,IF(AN12=0,0.0415+0.0697,0.0415+0.02),IF(AM12=1,IF(AN12=0,0.0294+0.0697,0.0294+0.02),IF(AM12=0,IF(AN12=0,0.0063+0.0697,0.0063+0.02))))))</f>
        <v>6.1499999999999999E-2</v>
      </c>
      <c r="AP12" s="313">
        <v>243420</v>
      </c>
      <c r="AQ12" s="234"/>
      <c r="AR12" s="110"/>
      <c r="AS12" s="112"/>
    </row>
    <row r="13" spans="1:45" s="65" customFormat="1" x14ac:dyDescent="0.25">
      <c r="A13" s="4" t="s">
        <v>153</v>
      </c>
      <c r="B13" s="4" t="s">
        <v>28</v>
      </c>
      <c r="C13" s="109">
        <f t="shared" ca="1" si="18"/>
        <v>6.7142857142857144</v>
      </c>
      <c r="D13" s="366" t="s">
        <v>154</v>
      </c>
      <c r="E13" s="54">
        <v>29</v>
      </c>
      <c r="F13" s="55">
        <f ca="1">-43626+$D$1-112-112-112-112-112-112-112-112-112-112</f>
        <v>32</v>
      </c>
      <c r="G13" s="70" t="s">
        <v>155</v>
      </c>
      <c r="H13" s="108">
        <v>4</v>
      </c>
      <c r="I13" s="56">
        <v>8</v>
      </c>
      <c r="J13" s="141">
        <f t="shared" si="19"/>
        <v>1.2723233459190999</v>
      </c>
      <c r="K13" s="83">
        <f t="shared" si="20"/>
        <v>128</v>
      </c>
      <c r="L13" s="83">
        <f t="shared" si="21"/>
        <v>200</v>
      </c>
      <c r="M13" s="77">
        <v>7.1</v>
      </c>
      <c r="N13" s="138">
        <f t="shared" si="22"/>
        <v>90</v>
      </c>
      <c r="O13" s="263">
        <v>43626</v>
      </c>
      <c r="P13" s="229">
        <f t="shared" ca="1" si="23"/>
        <v>1</v>
      </c>
      <c r="Q13" s="138">
        <v>6</v>
      </c>
      <c r="R13" s="154">
        <f t="shared" si="24"/>
        <v>0.92582009977255142</v>
      </c>
      <c r="S13" s="154">
        <f t="shared" si="25"/>
        <v>0.99928545900129484</v>
      </c>
      <c r="T13" s="91">
        <v>180950</v>
      </c>
      <c r="U13" s="204">
        <f>T13-AP13</f>
        <v>2850</v>
      </c>
      <c r="V13" s="91">
        <v>31540</v>
      </c>
      <c r="W13" s="89">
        <f t="shared" si="26"/>
        <v>5.7371591629676599</v>
      </c>
      <c r="X13" s="140">
        <v>0</v>
      </c>
      <c r="Y13" s="141">
        <f>11+10/13</f>
        <v>11.76923076923077</v>
      </c>
      <c r="Z13" s="140">
        <f>15+0/21</f>
        <v>15</v>
      </c>
      <c r="AA13" s="141">
        <v>3</v>
      </c>
      <c r="AB13" s="140">
        <v>4</v>
      </c>
      <c r="AC13" s="141">
        <f>7+3/6</f>
        <v>7.5</v>
      </c>
      <c r="AD13" s="140">
        <v>19</v>
      </c>
      <c r="AE13" s="232">
        <v>1884</v>
      </c>
      <c r="AF13" s="258">
        <f t="shared" ref="AF13:AF19" ca="1" si="30">(Z13+P13+J13)*(Q13/7)^0.5</f>
        <v>15.991064123422591</v>
      </c>
      <c r="AG13" s="258">
        <f t="shared" ref="AG13:AG19" ca="1" si="31">(Z13+P13+J13)*(IF(Q13=7,(Q13/7)^0.5,((Q13+1)/7)^0.5))</f>
        <v>17.272323345919101</v>
      </c>
      <c r="AH13" s="444">
        <f ca="1">(1.66*(AC13+J13+P13)+0.55*(AD13+J13+P13)-7.6)*(Q13/7)^0.5</f>
        <v>18.814362931823879</v>
      </c>
      <c r="AI13" s="89">
        <f t="shared" ca="1" si="16"/>
        <v>20.32183459448121</v>
      </c>
      <c r="AJ13" s="442">
        <f ca="1">((AD13+J13+P13)*0.7+(AC13+J13+P13)*0.3)*(Q13/7)^0.5</f>
        <v>16.500265178297497</v>
      </c>
      <c r="AK13" s="259">
        <f ca="1">(AD13+P13+(LOG(I13)*4/3))*(Q13/7)^0.5</f>
        <v>19.63120047793166</v>
      </c>
      <c r="AL13" s="259">
        <f ca="1">(AD13+P13+(LOG(I13)*4/3))*(IF(Q13=7,(Q13/7)^0.5,((Q13+1)/7)^0.5))</f>
        <v>21.204119982655925</v>
      </c>
      <c r="AM13" s="138">
        <v>3</v>
      </c>
      <c r="AN13" s="138">
        <v>3</v>
      </c>
      <c r="AO13" s="154">
        <f t="shared" si="27"/>
        <v>0.1158</v>
      </c>
      <c r="AP13" s="91">
        <v>178100</v>
      </c>
      <c r="AQ13" s="234">
        <v>1308</v>
      </c>
      <c r="AR13" s="110"/>
      <c r="AS13" s="112"/>
    </row>
    <row r="14" spans="1:45" s="65" customFormat="1" x14ac:dyDescent="0.25">
      <c r="A14" s="266" t="s">
        <v>156</v>
      </c>
      <c r="B14" s="266" t="s">
        <v>28</v>
      </c>
      <c r="C14" s="109">
        <f t="shared" ca="1" si="18"/>
        <v>5.875</v>
      </c>
      <c r="D14" s="365" t="s">
        <v>608</v>
      </c>
      <c r="E14" s="267">
        <v>30</v>
      </c>
      <c r="F14" s="268">
        <f ca="1">-43570+$D$1-746-112-112-112-112</f>
        <v>14</v>
      </c>
      <c r="G14" s="269" t="s">
        <v>155</v>
      </c>
      <c r="H14" s="270">
        <v>4</v>
      </c>
      <c r="I14" s="271">
        <v>9</v>
      </c>
      <c r="J14" s="272">
        <f t="shared" si="19"/>
        <v>1.3333333333333333</v>
      </c>
      <c r="K14" s="273">
        <f t="shared" si="20"/>
        <v>144</v>
      </c>
      <c r="L14" s="273">
        <f t="shared" si="21"/>
        <v>225</v>
      </c>
      <c r="M14" s="274">
        <v>7</v>
      </c>
      <c r="N14" s="138">
        <f t="shared" si="22"/>
        <v>89</v>
      </c>
      <c r="O14" s="368">
        <v>44354</v>
      </c>
      <c r="P14" s="276">
        <f t="shared" ca="1" si="23"/>
        <v>1</v>
      </c>
      <c r="Q14" s="275">
        <v>6</v>
      </c>
      <c r="R14" s="277">
        <f t="shared" si="24"/>
        <v>0.92582009977255142</v>
      </c>
      <c r="S14" s="277">
        <f t="shared" si="25"/>
        <v>0.99928545900129484</v>
      </c>
      <c r="T14" s="534">
        <v>160130</v>
      </c>
      <c r="U14" s="279">
        <f>T14-AP14</f>
        <v>-33830</v>
      </c>
      <c r="V14" s="278">
        <v>31120</v>
      </c>
      <c r="W14" s="280">
        <f t="shared" si="26"/>
        <v>5.145565552699229</v>
      </c>
      <c r="X14" s="281">
        <v>0</v>
      </c>
      <c r="Y14" s="272">
        <f>11+5/13</f>
        <v>11.384615384615385</v>
      </c>
      <c r="Z14" s="281">
        <f>15+2/21</f>
        <v>15.095238095238095</v>
      </c>
      <c r="AA14" s="272">
        <v>4</v>
      </c>
      <c r="AB14" s="281">
        <v>3</v>
      </c>
      <c r="AC14" s="272">
        <f>9+0/10</f>
        <v>9</v>
      </c>
      <c r="AD14" s="281">
        <f>18+1/4</f>
        <v>18.25</v>
      </c>
      <c r="AE14" s="282">
        <v>1932</v>
      </c>
      <c r="AF14" s="283">
        <f t="shared" ca="1" si="30"/>
        <v>16.135721738893036</v>
      </c>
      <c r="AG14" s="283">
        <f t="shared" ca="1" si="31"/>
        <v>17.428571428571427</v>
      </c>
      <c r="AH14" s="444">
        <f t="shared" ref="AH14" ca="1" si="32">(1.66*(AC14+J14+P14)+0.55*(AD14+J14+P14)-7.6)*(Q14/7)^0.5</f>
        <v>20.862584431624633</v>
      </c>
      <c r="AI14" s="89">
        <f t="shared" ca="1" si="16"/>
        <v>22.534166666666664</v>
      </c>
      <c r="AJ14" s="442">
        <f t="shared" ref="AJ14" ca="1" si="33">((AD14+J14+P14)*0.7+(AC14+J14+P14)*0.3)*(Q14/7)^0.5</f>
        <v>16.487312943449517</v>
      </c>
      <c r="AK14" s="259">
        <f t="shared" ref="AK14" ca="1" si="34">(AD14+P14+(LOG(I14)*4/3))*(Q14/7)^0.5</f>
        <v>18.999979447683383</v>
      </c>
      <c r="AL14" s="259">
        <f t="shared" ref="AL14" ca="1" si="35">(AD14+P14+(LOG(I14)*4/3))*(IF(Q14=7,(Q14/7)^0.5,((Q14+1)/7)^0.5))</f>
        <v>20.522323345919101</v>
      </c>
      <c r="AM14" s="275">
        <v>2</v>
      </c>
      <c r="AN14" s="275">
        <v>1</v>
      </c>
      <c r="AO14" s="277">
        <f t="shared" si="27"/>
        <v>6.1499999999999999E-2</v>
      </c>
      <c r="AP14" s="534">
        <v>193960</v>
      </c>
      <c r="AQ14" s="284">
        <v>9000</v>
      </c>
      <c r="AR14" s="110"/>
      <c r="AS14" s="112"/>
    </row>
    <row r="15" spans="1:45" s="65" customFormat="1" x14ac:dyDescent="0.25">
      <c r="A15" s="4" t="s">
        <v>151</v>
      </c>
      <c r="B15" s="4" t="s">
        <v>28</v>
      </c>
      <c r="C15" s="109">
        <f t="shared" ca="1" si="18"/>
        <v>7.2053571428571432</v>
      </c>
      <c r="D15" s="366" t="s">
        <v>152</v>
      </c>
      <c r="E15" s="54">
        <v>28</v>
      </c>
      <c r="F15" s="55">
        <f ca="1">-43569+$D$1-112-112-112-112-112-112-112-112-112-112</f>
        <v>89</v>
      </c>
      <c r="G15" s="70" t="s">
        <v>133</v>
      </c>
      <c r="H15" s="108">
        <v>4</v>
      </c>
      <c r="I15" s="56">
        <v>7</v>
      </c>
      <c r="J15" s="141">
        <f t="shared" si="19"/>
        <v>1.2041199826559248</v>
      </c>
      <c r="K15" s="83">
        <f t="shared" si="20"/>
        <v>112</v>
      </c>
      <c r="L15" s="83">
        <f t="shared" si="21"/>
        <v>175</v>
      </c>
      <c r="M15" s="77">
        <v>7.2</v>
      </c>
      <c r="N15" s="138">
        <f t="shared" si="22"/>
        <v>91</v>
      </c>
      <c r="O15" s="263">
        <v>43626</v>
      </c>
      <c r="P15" s="229">
        <f t="shared" ca="1" si="23"/>
        <v>1</v>
      </c>
      <c r="Q15" s="138">
        <v>7</v>
      </c>
      <c r="R15" s="154">
        <f t="shared" si="24"/>
        <v>1</v>
      </c>
      <c r="S15" s="154">
        <f t="shared" si="25"/>
        <v>1</v>
      </c>
      <c r="T15" s="313">
        <v>174200</v>
      </c>
      <c r="U15" s="204">
        <f>T15-AP15</f>
        <v>4450</v>
      </c>
      <c r="V15" s="91">
        <v>31812</v>
      </c>
      <c r="W15" s="89">
        <f t="shared" si="26"/>
        <v>5.4759210360870112</v>
      </c>
      <c r="X15" s="140">
        <v>0</v>
      </c>
      <c r="Y15" s="141">
        <f>11+4/13</f>
        <v>11.307692307692308</v>
      </c>
      <c r="Z15" s="140">
        <f>14+6/18</f>
        <v>14.333333333333334</v>
      </c>
      <c r="AA15" s="141">
        <v>2</v>
      </c>
      <c r="AB15" s="140">
        <v>3</v>
      </c>
      <c r="AC15" s="141">
        <f>8+0/8</f>
        <v>8</v>
      </c>
      <c r="AD15" s="140">
        <f>20+1/6</f>
        <v>20.166666666666668</v>
      </c>
      <c r="AE15" s="232">
        <v>1821</v>
      </c>
      <c r="AF15" s="258">
        <f t="shared" ca="1" si="30"/>
        <v>16.537453315989257</v>
      </c>
      <c r="AG15" s="258">
        <f t="shared" ca="1" si="31"/>
        <v>16.537453315989257</v>
      </c>
      <c r="AH15" s="444">
        <f ca="1">(1.66*(AC15+J15+P15)+0.55*(AD15+J15+P15)-7.6)*(Q15/7)^0.5</f>
        <v>21.642771828336258</v>
      </c>
      <c r="AI15" s="89">
        <f t="shared" ca="1" si="16"/>
        <v>21.642771828336258</v>
      </c>
      <c r="AJ15" s="442">
        <f ca="1">((AD15+J15+P15)*0.7+(AC15+J15+P15)*0.3)*(Q15/7)^0.5</f>
        <v>18.720786649322591</v>
      </c>
      <c r="AK15" s="259">
        <f ca="1">(AD15+P15+(LOG(I15)*4/3))*(Q15/7)^0.5</f>
        <v>22.293464053352345</v>
      </c>
      <c r="AL15" s="259">
        <f ca="1">(AD15+P15+(LOG(I15)*4/3))*(IF(Q15=7,(Q15/7)^0.5,((Q15+1)/7)^0.5))</f>
        <v>22.293464053352345</v>
      </c>
      <c r="AM15" s="138">
        <v>2</v>
      </c>
      <c r="AN15" s="138">
        <v>3</v>
      </c>
      <c r="AO15" s="154">
        <f t="shared" si="27"/>
        <v>6.1499999999999999E-2</v>
      </c>
      <c r="AP15" s="313">
        <v>169750</v>
      </c>
      <c r="AQ15" s="234">
        <v>1548</v>
      </c>
      <c r="AR15" s="110"/>
      <c r="AS15" s="112"/>
    </row>
    <row r="16" spans="1:45" s="65" customFormat="1" x14ac:dyDescent="0.25">
      <c r="A16" s="4" t="s">
        <v>143</v>
      </c>
      <c r="B16" s="4" t="s">
        <v>30</v>
      </c>
      <c r="C16" s="109">
        <f t="shared" ca="1" si="1"/>
        <v>7.2232142857142856</v>
      </c>
      <c r="D16" s="366" t="s">
        <v>144</v>
      </c>
      <c r="E16" s="54">
        <v>28</v>
      </c>
      <c r="F16" s="55">
        <f ca="1">-43571+$D$1-112-112-112-112-112-112-112-112-112-112</f>
        <v>87</v>
      </c>
      <c r="G16" s="70" t="s">
        <v>133</v>
      </c>
      <c r="H16" s="108">
        <v>4</v>
      </c>
      <c r="I16" s="56">
        <v>8</v>
      </c>
      <c r="J16" s="141">
        <f t="shared" si="19"/>
        <v>1.2723233459190999</v>
      </c>
      <c r="K16" s="83">
        <f t="shared" si="20"/>
        <v>128</v>
      </c>
      <c r="L16" s="83">
        <f t="shared" si="21"/>
        <v>200</v>
      </c>
      <c r="M16" s="77">
        <v>7.2</v>
      </c>
      <c r="N16" s="138">
        <f t="shared" si="22"/>
        <v>91</v>
      </c>
      <c r="O16" s="263">
        <v>43626</v>
      </c>
      <c r="P16" s="229">
        <f t="shared" ca="1" si="23"/>
        <v>1</v>
      </c>
      <c r="Q16" s="138">
        <v>3</v>
      </c>
      <c r="R16" s="154">
        <f t="shared" si="24"/>
        <v>0.65465367070797709</v>
      </c>
      <c r="S16" s="154">
        <f t="shared" si="25"/>
        <v>0.75498344352707503</v>
      </c>
      <c r="T16" s="313">
        <v>136430</v>
      </c>
      <c r="U16" s="204">
        <f>T16-AP16</f>
        <v>-35300</v>
      </c>
      <c r="V16" s="91">
        <v>42012</v>
      </c>
      <c r="W16" s="89">
        <f t="shared" si="26"/>
        <v>3.2474055031895648</v>
      </c>
      <c r="X16" s="140">
        <v>0</v>
      </c>
      <c r="Y16" s="141">
        <f>10+0/11</f>
        <v>10</v>
      </c>
      <c r="Z16" s="140">
        <v>15</v>
      </c>
      <c r="AA16" s="141">
        <v>3</v>
      </c>
      <c r="AB16" s="140">
        <v>4</v>
      </c>
      <c r="AC16" s="141">
        <f>8+3/8</f>
        <v>8.375</v>
      </c>
      <c r="AD16" s="140">
        <f>19+2/5</f>
        <v>19.399999999999999</v>
      </c>
      <c r="AE16" s="232">
        <v>1844</v>
      </c>
      <c r="AF16" s="258">
        <f t="shared" ca="1" si="30"/>
        <v>11.307389880061029</v>
      </c>
      <c r="AG16" s="258">
        <f t="shared" ca="1" si="31"/>
        <v>13.05664918217057</v>
      </c>
      <c r="AH16" s="444">
        <f ca="1">(1.66*(AC16+J16+P16)+0.55*(AD16+J16+P16)-7.6)*(Q16/7)^0.5</f>
        <v>14.39867187705657</v>
      </c>
      <c r="AI16" s="89">
        <f t="shared" ca="1" si="16"/>
        <v>21.994334594481209</v>
      </c>
      <c r="AJ16" s="442">
        <f ca="1">((AD16+J16+P16)*0.7+(AC16+J16+P16)*0.3)*(Q16/7)^0.5</f>
        <v>12.022599015309492</v>
      </c>
      <c r="AK16" s="259">
        <f ca="1">(AD16+P16+(LOG(I16)*4/3))*(Q16/7)^0.5</f>
        <v>14.143216449061258</v>
      </c>
      <c r="AL16" s="259">
        <f ca="1">(AD16+P16+(LOG(I16)*4/3))*(IF(Q16=7,(Q16/7)^0.5,((Q16+1)/7)^0.5))</f>
        <v>16.331179648145323</v>
      </c>
      <c r="AM16" s="138">
        <v>4</v>
      </c>
      <c r="AN16" s="138">
        <v>3</v>
      </c>
      <c r="AO16" s="154">
        <f t="shared" si="27"/>
        <v>0.157</v>
      </c>
      <c r="AP16" s="313">
        <v>171730</v>
      </c>
      <c r="AQ16" s="234">
        <v>2327</v>
      </c>
      <c r="AR16" s="110"/>
      <c r="AS16" s="112"/>
    </row>
    <row r="17" spans="1:45" s="65" customFormat="1" x14ac:dyDescent="0.25">
      <c r="A17" s="4" t="s">
        <v>145</v>
      </c>
      <c r="B17" s="4" t="s">
        <v>30</v>
      </c>
      <c r="C17" s="109">
        <f t="shared" ca="1" si="1"/>
        <v>7.7321428571428568</v>
      </c>
      <c r="D17" s="366" t="s">
        <v>146</v>
      </c>
      <c r="E17" s="54">
        <v>28</v>
      </c>
      <c r="F17" s="55">
        <f ca="1">-43628+$D$1-112-112-112-112-112-112-112-112-112-112</f>
        <v>30</v>
      </c>
      <c r="G17" s="70" t="s">
        <v>137</v>
      </c>
      <c r="H17" s="230">
        <v>6</v>
      </c>
      <c r="I17" s="56">
        <v>8</v>
      </c>
      <c r="J17" s="141">
        <f t="shared" si="19"/>
        <v>1.2723233459190999</v>
      </c>
      <c r="K17" s="83">
        <f t="shared" si="20"/>
        <v>288</v>
      </c>
      <c r="L17" s="83">
        <f t="shared" si="21"/>
        <v>392</v>
      </c>
      <c r="M17" s="77">
        <v>7.4</v>
      </c>
      <c r="N17" s="138">
        <f t="shared" si="22"/>
        <v>93</v>
      </c>
      <c r="O17" s="263">
        <v>43633</v>
      </c>
      <c r="P17" s="229">
        <f t="shared" ca="1" si="23"/>
        <v>1</v>
      </c>
      <c r="Q17" s="138">
        <v>6</v>
      </c>
      <c r="R17" s="154">
        <f t="shared" si="24"/>
        <v>0.92582009977255142</v>
      </c>
      <c r="S17" s="154">
        <f t="shared" si="25"/>
        <v>0.99928545900129484</v>
      </c>
      <c r="T17" s="313">
        <v>164250</v>
      </c>
      <c r="U17" s="204">
        <f>T17-AP17</f>
        <v>4620</v>
      </c>
      <c r="V17" s="91">
        <v>24700</v>
      </c>
      <c r="W17" s="89">
        <f t="shared" si="26"/>
        <v>6.6497975708502022</v>
      </c>
      <c r="X17" s="140">
        <v>0</v>
      </c>
      <c r="Y17" s="141">
        <f>8+2/6</f>
        <v>8.3333333333333339</v>
      </c>
      <c r="Z17" s="140">
        <f>14+0/14</f>
        <v>14</v>
      </c>
      <c r="AA17" s="141">
        <v>2</v>
      </c>
      <c r="AB17" s="140">
        <v>6</v>
      </c>
      <c r="AC17" s="141">
        <f>10+2/10</f>
        <v>10.199999999999999</v>
      </c>
      <c r="AD17" s="140">
        <v>19</v>
      </c>
      <c r="AE17" s="232">
        <v>1761</v>
      </c>
      <c r="AF17" s="258">
        <f t="shared" ca="1" si="30"/>
        <v>15.06524402365004</v>
      </c>
      <c r="AG17" s="258">
        <f t="shared" ca="1" si="31"/>
        <v>16.272323345919101</v>
      </c>
      <c r="AH17" s="444">
        <f ca="1">(1.66*(AC17+J17+P17)+0.55*(AD17+J17+P17)-7.6)*(Q17/7)^0.5</f>
        <v>22.963888619004457</v>
      </c>
      <c r="AI17" s="89">
        <f t="shared" ca="1" si="16"/>
        <v>24.803834594481209</v>
      </c>
      <c r="AJ17" s="442">
        <f ca="1">((AD17+J17+P17)*0.7+(AC17+J17+P17)*0.3)*(Q17/7)^0.5</f>
        <v>17.250179459113262</v>
      </c>
      <c r="AK17" s="259">
        <f ca="1">(AD17+P17+(LOG(I17)*4/3))*(Q17/7)^0.5</f>
        <v>19.63120047793166</v>
      </c>
      <c r="AL17" s="259">
        <f ca="1">(AD17+P17+(LOG(I17)*4/3))*(IF(Q17=7,(Q17/7)^0.5,((Q17+1)/7)^0.5))</f>
        <v>21.204119982655925</v>
      </c>
      <c r="AM17" s="138">
        <v>4</v>
      </c>
      <c r="AN17" s="138">
        <v>2</v>
      </c>
      <c r="AO17" s="154">
        <f t="shared" si="27"/>
        <v>0.157</v>
      </c>
      <c r="AP17" s="313">
        <v>159630</v>
      </c>
      <c r="AQ17" s="234">
        <v>4689</v>
      </c>
      <c r="AR17" s="110"/>
      <c r="AS17" s="112"/>
    </row>
    <row r="18" spans="1:45" s="65" customFormat="1" x14ac:dyDescent="0.25">
      <c r="A18" s="4" t="s">
        <v>147</v>
      </c>
      <c r="B18" s="4" t="s">
        <v>30</v>
      </c>
      <c r="C18" s="109">
        <f t="shared" ca="1" si="1"/>
        <v>7.0803571428571432</v>
      </c>
      <c r="D18" s="366" t="s">
        <v>148</v>
      </c>
      <c r="E18" s="54">
        <v>28</v>
      </c>
      <c r="F18" s="55">
        <f ca="1">-43569+$D$1+14-112-112-112-112-112-112-112-112-112-112</f>
        <v>103</v>
      </c>
      <c r="G18" s="70" t="s">
        <v>127</v>
      </c>
      <c r="H18" s="108">
        <v>1</v>
      </c>
      <c r="I18" s="56">
        <v>9</v>
      </c>
      <c r="J18" s="141">
        <f t="shared" si="19"/>
        <v>1.3333333333333333</v>
      </c>
      <c r="K18" s="83">
        <f t="shared" si="20"/>
        <v>9</v>
      </c>
      <c r="L18" s="83">
        <f t="shared" si="21"/>
        <v>36</v>
      </c>
      <c r="M18" s="77">
        <v>7.2</v>
      </c>
      <c r="N18" s="138">
        <f t="shared" si="22"/>
        <v>91</v>
      </c>
      <c r="O18" s="263">
        <v>43630</v>
      </c>
      <c r="P18" s="229">
        <f t="shared" ca="1" si="23"/>
        <v>1</v>
      </c>
      <c r="Q18" s="138">
        <v>6</v>
      </c>
      <c r="R18" s="154">
        <f t="shared" si="24"/>
        <v>0.92582009977255142</v>
      </c>
      <c r="S18" s="154">
        <f t="shared" si="25"/>
        <v>0.99928545900129484</v>
      </c>
      <c r="T18" s="91">
        <v>185010</v>
      </c>
      <c r="U18" s="204">
        <f>T18-AP18</f>
        <v>25700</v>
      </c>
      <c r="V18" s="91">
        <v>44004</v>
      </c>
      <c r="W18" s="89">
        <f t="shared" si="26"/>
        <v>4.2043905099536403</v>
      </c>
      <c r="X18" s="140">
        <v>0</v>
      </c>
      <c r="Y18" s="141">
        <f>9+4/8</f>
        <v>9.5</v>
      </c>
      <c r="Z18" s="140">
        <f>15+4/21</f>
        <v>15.19047619047619</v>
      </c>
      <c r="AA18" s="141">
        <v>3</v>
      </c>
      <c r="AB18" s="140">
        <v>2</v>
      </c>
      <c r="AC18" s="141">
        <f>9+2/8</f>
        <v>9.25</v>
      </c>
      <c r="AD18" s="140">
        <f>18+4/6</f>
        <v>18.666666666666668</v>
      </c>
      <c r="AE18" s="232">
        <v>1739</v>
      </c>
      <c r="AF18" s="258">
        <f t="shared" ca="1" si="30"/>
        <v>16.223895081728518</v>
      </c>
      <c r="AG18" s="258">
        <f t="shared" ca="1" si="31"/>
        <v>17.523809523809522</v>
      </c>
      <c r="AH18" s="444">
        <f ca="1">(1.66*(AC18+J18+P18)+0.55*(AD18+J18+P18)-7.6)*(Q18/7)^0.5</f>
        <v>21.458966879228122</v>
      </c>
      <c r="AI18" s="89">
        <f t="shared" ca="1" si="16"/>
        <v>23.178333333333335</v>
      </c>
      <c r="AJ18" s="442">
        <f ca="1">((AD18+J18+P18)*0.7+(AC18+J18+P18)*0.3)*(Q18/7)^0.5</f>
        <v>16.826780313366122</v>
      </c>
      <c r="AK18" s="259">
        <f ca="1">(AD18+P18+(LOG(I18)*4/3))*(Q18/7)^0.5</f>
        <v>19.385737822588613</v>
      </c>
      <c r="AL18" s="259">
        <f ca="1">(AD18+P18+(LOG(I18)*4/3))*(IF(Q18=7,(Q18/7)^0.5,((Q18+1)/7)^0.5))</f>
        <v>20.938990012585769</v>
      </c>
      <c r="AM18" s="138">
        <v>3</v>
      </c>
      <c r="AN18" s="138">
        <v>0</v>
      </c>
      <c r="AO18" s="154">
        <f t="shared" si="27"/>
        <v>0.16549999999999998</v>
      </c>
      <c r="AP18" s="91">
        <v>159310</v>
      </c>
      <c r="AQ18" s="234">
        <v>1887</v>
      </c>
      <c r="AR18" s="110"/>
      <c r="AS18" s="112"/>
    </row>
    <row r="19" spans="1:45" s="65" customFormat="1" x14ac:dyDescent="0.25">
      <c r="A19" s="4" t="s">
        <v>149</v>
      </c>
      <c r="B19" s="4" t="s">
        <v>30</v>
      </c>
      <c r="C19" s="109">
        <f t="shared" ca="1" si="1"/>
        <v>7.0803571428571432</v>
      </c>
      <c r="D19" s="366" t="s">
        <v>150</v>
      </c>
      <c r="E19" s="54">
        <v>28</v>
      </c>
      <c r="F19" s="55">
        <f ca="1">-43569+$D$1+14-112-112-112-112-112-112-112-112-112-112</f>
        <v>103</v>
      </c>
      <c r="G19" s="70" t="s">
        <v>137</v>
      </c>
      <c r="H19" s="108">
        <v>1</v>
      </c>
      <c r="I19" s="56">
        <v>9</v>
      </c>
      <c r="J19" s="141">
        <f t="shared" si="19"/>
        <v>1.3333333333333333</v>
      </c>
      <c r="K19" s="83">
        <f t="shared" si="20"/>
        <v>9</v>
      </c>
      <c r="L19" s="83">
        <f t="shared" si="21"/>
        <v>36</v>
      </c>
      <c r="M19" s="77">
        <v>7</v>
      </c>
      <c r="N19" s="138">
        <f t="shared" si="22"/>
        <v>89</v>
      </c>
      <c r="O19" s="263">
        <v>43627</v>
      </c>
      <c r="P19" s="229">
        <f t="shared" ca="1" si="23"/>
        <v>1</v>
      </c>
      <c r="Q19" s="138">
        <v>5</v>
      </c>
      <c r="R19" s="154">
        <f t="shared" si="24"/>
        <v>0.84515425472851657</v>
      </c>
      <c r="S19" s="154">
        <f t="shared" si="25"/>
        <v>0.92504826128926143</v>
      </c>
      <c r="T19" s="313">
        <v>156670</v>
      </c>
      <c r="U19" s="204">
        <f>T19-AP19</f>
        <v>-3160</v>
      </c>
      <c r="V19" s="91">
        <v>40284</v>
      </c>
      <c r="W19" s="89">
        <f t="shared" si="26"/>
        <v>3.8891371264025421</v>
      </c>
      <c r="X19" s="140">
        <v>0</v>
      </c>
      <c r="Y19" s="141">
        <f>8+2/6</f>
        <v>8.3333333333333339</v>
      </c>
      <c r="Z19" s="140">
        <f>15+0/20</f>
        <v>15</v>
      </c>
      <c r="AA19" s="141">
        <v>5</v>
      </c>
      <c r="AB19" s="140">
        <v>4</v>
      </c>
      <c r="AC19" s="141">
        <f>9+1/8</f>
        <v>9.125</v>
      </c>
      <c r="AD19" s="140">
        <f>20+1/6</f>
        <v>20.166666666666668</v>
      </c>
      <c r="AE19" s="232">
        <v>1852</v>
      </c>
      <c r="AF19" s="258">
        <f t="shared" ca="1" si="30"/>
        <v>14.649340415294287</v>
      </c>
      <c r="AG19" s="258">
        <f t="shared" ca="1" si="31"/>
        <v>16.047548396057557</v>
      </c>
      <c r="AH19" s="444">
        <f ca="1">(1.66*(AC19+J19+P19)+0.55*(AD19+J19+P19)-7.6)*(Q19/7)^0.5</f>
        <v>20.111149786477327</v>
      </c>
      <c r="AI19" s="89">
        <f t="shared" ca="1" si="16"/>
        <v>23.795833333333334</v>
      </c>
      <c r="AJ19" s="442">
        <f ca="1">((AD19+J19+P19)*0.7+(AC19+J19+P19)*0.3)*(Q19/7)^0.5</f>
        <v>16.216397262603412</v>
      </c>
      <c r="AK19" s="259">
        <f ca="1">(AD19+P19+(LOG(I19)*4/3))*(Q19/7)^0.5</f>
        <v>18.964407880947551</v>
      </c>
      <c r="AL19" s="259">
        <f ca="1">(AD19+P19+(LOG(I19)*4/3))*(IF(Q19=7,(Q19/7)^0.5,((Q19+1)/7)^0.5))</f>
        <v>20.774467972247443</v>
      </c>
      <c r="AM19" s="138">
        <v>4</v>
      </c>
      <c r="AN19" s="138">
        <v>2</v>
      </c>
      <c r="AO19" s="154">
        <f t="shared" si="27"/>
        <v>0.157</v>
      </c>
      <c r="AP19" s="313">
        <v>159830</v>
      </c>
      <c r="AQ19" s="234">
        <v>3853</v>
      </c>
      <c r="AR19" s="110"/>
      <c r="AS19" s="112"/>
    </row>
    <row r="20" spans="1:45" x14ac:dyDescent="0.25">
      <c r="G20" s="3"/>
      <c r="H20"/>
      <c r="I20" s="57"/>
      <c r="J20" s="57"/>
      <c r="K20"/>
      <c r="T20" s="64">
        <f>SUM(T4:T19)</f>
        <v>2461990</v>
      </c>
      <c r="U20" s="64">
        <f>SUM(U4:U19)</f>
        <v>-59780</v>
      </c>
      <c r="V20" s="64">
        <f>SUM(V4:V19)</f>
        <v>487712</v>
      </c>
      <c r="W20" s="88">
        <f t="shared" si="8"/>
        <v>5.0480406469391772</v>
      </c>
      <c r="X20"/>
      <c r="AD20" s="57"/>
      <c r="AE20" s="64"/>
      <c r="AH20" s="373"/>
      <c r="AI20" s="261"/>
      <c r="AJ20" s="261"/>
      <c r="AK20" s="261"/>
      <c r="AL20" s="261"/>
    </row>
    <row r="21" spans="1:45" x14ac:dyDescent="0.25">
      <c r="T21" s="87"/>
      <c r="U21" s="87"/>
      <c r="V21" s="87"/>
      <c r="W21" s="74"/>
      <c r="AE21" s="74"/>
      <c r="AH21" s="371"/>
      <c r="AI21" s="257"/>
      <c r="AJ21" s="257"/>
      <c r="AK21" s="257"/>
      <c r="AL21" s="257"/>
    </row>
    <row r="22" spans="1:45" x14ac:dyDescent="0.25">
      <c r="I22" s="71"/>
      <c r="Y22" s="47"/>
    </row>
    <row r="23" spans="1:45" x14ac:dyDescent="0.25">
      <c r="D23" s="191"/>
      <c r="I23" s="71"/>
      <c r="P23" s="48"/>
      <c r="Y23" s="47"/>
      <c r="AE23" s="224"/>
    </row>
    <row r="24" spans="1:45" x14ac:dyDescent="0.25">
      <c r="D24" s="191"/>
      <c r="I24" s="71"/>
      <c r="P24" s="48"/>
      <c r="V24" s="228"/>
      <c r="Y24" s="47"/>
    </row>
    <row r="25" spans="1:45" x14ac:dyDescent="0.25">
      <c r="D25" s="57"/>
      <c r="I25" s="71"/>
      <c r="V25" s="228"/>
      <c r="Y25" s="47"/>
    </row>
    <row r="26" spans="1:45" x14ac:dyDescent="0.25">
      <c r="I26" s="71"/>
      <c r="Y26" s="47"/>
    </row>
    <row r="27" spans="1:45" x14ac:dyDescent="0.25">
      <c r="I27" s="71"/>
      <c r="V27" s="228"/>
      <c r="Y27" s="47"/>
    </row>
    <row r="28" spans="1:45" x14ac:dyDescent="0.25">
      <c r="I28" s="71"/>
      <c r="Y28" s="47"/>
    </row>
    <row r="29" spans="1:45" x14ac:dyDescent="0.25">
      <c r="I29" s="71"/>
      <c r="Y29" s="47"/>
    </row>
    <row r="30" spans="1:45" x14ac:dyDescent="0.25">
      <c r="C30"/>
      <c r="D30"/>
      <c r="G30"/>
      <c r="H30"/>
      <c r="I30" s="71"/>
      <c r="K30"/>
      <c r="M30"/>
      <c r="N30"/>
      <c r="O30"/>
      <c r="P30"/>
      <c r="Q30"/>
      <c r="R30"/>
      <c r="S30"/>
      <c r="V30"/>
      <c r="W30"/>
      <c r="X30"/>
      <c r="AE30"/>
    </row>
    <row r="31" spans="1:45" x14ac:dyDescent="0.25">
      <c r="C31"/>
      <c r="D31"/>
      <c r="G31"/>
      <c r="H31"/>
      <c r="I31" s="71"/>
      <c r="K31"/>
      <c r="M31"/>
      <c r="N31"/>
      <c r="O31"/>
      <c r="P31"/>
      <c r="Q31"/>
      <c r="R31"/>
      <c r="S31"/>
      <c r="V31"/>
      <c r="W31"/>
      <c r="X31"/>
      <c r="AE31"/>
    </row>
    <row r="32" spans="1:45" x14ac:dyDescent="0.25">
      <c r="C32"/>
      <c r="D32"/>
      <c r="G32"/>
      <c r="H32"/>
      <c r="I32" s="71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1"/>
      <c r="K33"/>
      <c r="M33"/>
      <c r="N33"/>
      <c r="O33"/>
      <c r="P33"/>
      <c r="Q33"/>
      <c r="R33"/>
      <c r="S33"/>
      <c r="V33"/>
      <c r="W33"/>
      <c r="X33"/>
      <c r="AE33"/>
    </row>
  </sheetData>
  <mergeCells count="1">
    <mergeCell ref="E1:G1"/>
  </mergeCells>
  <conditionalFormatting sqref="AO4:AO19">
    <cfRule type="cellIs" dxfId="13" priority="49" operator="lessThan">
      <formula>0.07</formula>
    </cfRule>
  </conditionalFormatting>
  <conditionalFormatting sqref="AO4:AO19">
    <cfRule type="cellIs" dxfId="12" priority="50" operator="greaterThan">
      <formula>0.1</formula>
    </cfRule>
  </conditionalFormatting>
  <conditionalFormatting sqref="R4:S19">
    <cfRule type="cellIs" dxfId="11" priority="51" operator="greaterThan">
      <formula>0.95</formula>
    </cfRule>
  </conditionalFormatting>
  <conditionalFormatting sqref="R4:S19">
    <cfRule type="cellIs" dxfId="10" priority="52" operator="lessThan">
      <formula>0.85</formula>
    </cfRule>
  </conditionalFormatting>
  <conditionalFormatting sqref="Q4:Q19">
    <cfRule type="cellIs" dxfId="9" priority="53" operator="greaterThan">
      <formula>6</formula>
    </cfRule>
  </conditionalFormatting>
  <conditionalFormatting sqref="Q4:Q19">
    <cfRule type="cellIs" dxfId="8" priority="54" operator="lessThan">
      <formula>5</formula>
    </cfRule>
  </conditionalFormatting>
  <conditionalFormatting sqref="X4:AD19">
    <cfRule type="cellIs" dxfId="7" priority="22" operator="greaterThan">
      <formula>12</formula>
    </cfRule>
  </conditionalFormatting>
  <conditionalFormatting sqref="C6:C19 C4">
    <cfRule type="colorScale" priority="690">
      <colorScale>
        <cfvo type="min"/>
        <cfvo type="max"/>
        <color rgb="FFFCFCFF"/>
        <color rgb="FF63BE7B"/>
      </colorScale>
    </cfRule>
  </conditionalFormatting>
  <conditionalFormatting sqref="I6:I19 I4">
    <cfRule type="colorScale" priority="692">
      <colorScale>
        <cfvo type="min"/>
        <cfvo type="max"/>
        <color rgb="FFFCFCFF"/>
        <color rgb="FFF8696B"/>
      </colorScale>
    </cfRule>
  </conditionalFormatting>
  <conditionalFormatting sqref="AF4:AG4 AF6:AG19">
    <cfRule type="colorScale" priority="694">
      <colorScale>
        <cfvo type="min"/>
        <cfvo type="max"/>
        <color rgb="FFFFEF9C"/>
        <color rgb="FF63BE7B"/>
      </colorScale>
    </cfRule>
  </conditionalFormatting>
  <conditionalFormatting sqref="AH6:AH19 AH4">
    <cfRule type="colorScale" priority="696">
      <colorScale>
        <cfvo type="min"/>
        <cfvo type="max"/>
        <color rgb="FFFCFCFF"/>
        <color rgb="FFF8696B"/>
      </colorScale>
    </cfRule>
  </conditionalFormatting>
  <conditionalFormatting sqref="AK4:AL4 AK6:AL19">
    <cfRule type="colorScale" priority="698">
      <colorScale>
        <cfvo type="min"/>
        <cfvo type="max"/>
        <color rgb="FFFFEF9C"/>
        <color rgb="FF63BE7B"/>
      </colorScale>
    </cfRule>
  </conditionalFormatting>
  <conditionalFormatting sqref="N4:N1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9">
    <cfRule type="dataBar" priority="8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19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19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19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19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19">
    <cfRule type="dataBar" priority="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19">
    <cfRule type="dataBar" priority="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X4:AC19">
    <cfRule type="colorScale" priority="869">
      <colorScale>
        <cfvo type="min"/>
        <cfvo type="max"/>
        <color rgb="FFFFEF9C"/>
        <color rgb="FF63BE7B"/>
      </colorScale>
    </cfRule>
  </conditionalFormatting>
  <conditionalFormatting sqref="AD4:AD19">
    <cfRule type="colorScale" priority="871">
      <colorScale>
        <cfvo type="min"/>
        <cfvo type="max"/>
        <color rgb="FFFCFCFF"/>
        <color rgb="FFF8696B"/>
      </colorScale>
    </cfRule>
  </conditionalFormatting>
  <conditionalFormatting sqref="P4:P1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19">
    <cfRule type="colorScale" priority="880">
      <colorScale>
        <cfvo type="min"/>
        <cfvo type="max"/>
        <color rgb="FFFFEF9C"/>
        <color rgb="FF63BE7B"/>
      </colorScale>
    </cfRule>
  </conditionalFormatting>
  <conditionalFormatting sqref="AP4:AP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{C6E0E0F2-5012-4D6E-955D-0D75C0FC588C}</x14:id>
        </ext>
      </extLst>
    </cfRule>
  </conditionalFormatting>
  <conditionalFormatting sqref="AI4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W4:W19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AE4:AE19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U4:U19</xm:sqref>
        </x14:conditionalFormatting>
        <x14:conditionalFormatting xmlns:xm="http://schemas.microsoft.com/office/excel/2006/main">
          <x14:cfRule type="dataBar" id="{C6E0E0F2-5012-4D6E-955D-0D75C0FC5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28" sqref="C28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6.14062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452" t="s">
        <v>160</v>
      </c>
      <c r="B1" s="452"/>
      <c r="C1" s="452"/>
      <c r="D1" s="453"/>
      <c r="E1" s="452"/>
      <c r="F1" s="453"/>
      <c r="G1" s="454"/>
      <c r="H1" s="453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3"/>
      <c r="X1" s="453"/>
      <c r="Y1" s="453"/>
      <c r="Z1" s="453"/>
      <c r="AA1" s="455"/>
      <c r="AB1" s="455"/>
      <c r="AC1" s="455"/>
      <c r="AD1" s="455"/>
      <c r="AE1" s="455"/>
      <c r="AF1" s="455"/>
      <c r="AG1" s="454"/>
    </row>
    <row r="2" spans="1:33" x14ac:dyDescent="0.25">
      <c r="A2" s="456" t="s">
        <v>84</v>
      </c>
      <c r="B2" s="456" t="s">
        <v>161</v>
      </c>
      <c r="C2" s="456" t="s">
        <v>86</v>
      </c>
      <c r="D2" s="457" t="s">
        <v>162</v>
      </c>
      <c r="E2" s="456" t="s">
        <v>163</v>
      </c>
      <c r="F2" s="457" t="s">
        <v>585</v>
      </c>
      <c r="G2" s="458" t="s">
        <v>586</v>
      </c>
      <c r="H2" s="457" t="s">
        <v>88</v>
      </c>
      <c r="I2" s="459" t="s">
        <v>14</v>
      </c>
      <c r="J2" s="459" t="s">
        <v>165</v>
      </c>
      <c r="K2" s="459" t="s">
        <v>37</v>
      </c>
      <c r="L2" s="459" t="s">
        <v>165</v>
      </c>
      <c r="M2" s="459" t="s">
        <v>166</v>
      </c>
      <c r="N2" s="459" t="s">
        <v>165</v>
      </c>
      <c r="O2" s="459" t="s">
        <v>167</v>
      </c>
      <c r="P2" s="459" t="s">
        <v>165</v>
      </c>
      <c r="Q2" s="459" t="s">
        <v>168</v>
      </c>
      <c r="R2" s="459" t="s">
        <v>165</v>
      </c>
      <c r="S2" s="459" t="s">
        <v>169</v>
      </c>
      <c r="T2" s="459" t="s">
        <v>165</v>
      </c>
      <c r="U2" s="459" t="s">
        <v>170</v>
      </c>
      <c r="V2" s="459" t="s">
        <v>165</v>
      </c>
      <c r="W2" s="460" t="s">
        <v>587</v>
      </c>
      <c r="X2" s="460" t="s">
        <v>155</v>
      </c>
      <c r="Y2" s="457" t="s">
        <v>171</v>
      </c>
      <c r="Z2" s="457" t="s">
        <v>170</v>
      </c>
      <c r="AA2" s="461" t="s">
        <v>14</v>
      </c>
      <c r="AB2" s="461" t="s">
        <v>37</v>
      </c>
      <c r="AC2" s="461" t="s">
        <v>16</v>
      </c>
      <c r="AD2" s="461" t="s">
        <v>121</v>
      </c>
      <c r="AE2" s="461" t="s">
        <v>30</v>
      </c>
      <c r="AF2" s="461" t="s">
        <v>21</v>
      </c>
      <c r="AG2" s="458" t="s">
        <v>588</v>
      </c>
    </row>
    <row r="3" spans="1:33" x14ac:dyDescent="0.25">
      <c r="A3" s="536" t="s">
        <v>648</v>
      </c>
      <c r="B3" s="462">
        <v>16</v>
      </c>
      <c r="C3" s="507">
        <f ca="1">+A33-3449</f>
        <v>331</v>
      </c>
      <c r="D3" s="464"/>
      <c r="E3" s="465">
        <f ca="1">F3-TODAY()</f>
        <v>-219</v>
      </c>
      <c r="F3" s="466">
        <v>44559</v>
      </c>
      <c r="G3" s="486" t="s">
        <v>589</v>
      </c>
      <c r="H3" s="468" t="s">
        <v>590</v>
      </c>
      <c r="I3" s="469"/>
      <c r="J3" s="469"/>
      <c r="K3" s="469">
        <v>3</v>
      </c>
      <c r="L3" s="469">
        <v>4.99</v>
      </c>
      <c r="M3" s="469">
        <v>2</v>
      </c>
      <c r="N3" s="469">
        <v>2.99</v>
      </c>
      <c r="O3" s="471">
        <v>3</v>
      </c>
      <c r="P3" s="469">
        <v>3.99</v>
      </c>
      <c r="Q3" s="469">
        <v>2</v>
      </c>
      <c r="R3" s="469">
        <v>2.99</v>
      </c>
      <c r="S3" s="469">
        <v>6</v>
      </c>
      <c r="T3" s="470">
        <v>7</v>
      </c>
      <c r="U3" s="469"/>
      <c r="V3" s="469"/>
      <c r="W3" s="472">
        <f>7-(COUNTBLANK(I3)+COUNTBLANK(K3)+COUNTBLANK(M3)+COUNTBLANK(O3)+COUNTBLANK(Q3)+COUNTBLANK(S3)+COUNTBLANK(U3))</f>
        <v>5</v>
      </c>
      <c r="X3" s="468">
        <f>COUNT(V3,R3,T3,P3,N3,L3,J3)</f>
        <v>5</v>
      </c>
      <c r="Y3" s="468"/>
      <c r="Z3" s="468"/>
      <c r="AA3" s="473"/>
      <c r="AB3" s="473">
        <v>3.5</v>
      </c>
      <c r="AC3" s="473">
        <v>4</v>
      </c>
      <c r="AD3" s="473">
        <v>3</v>
      </c>
      <c r="AE3" s="473">
        <v>4</v>
      </c>
      <c r="AF3" s="473">
        <v>6.5</v>
      </c>
      <c r="AG3" s="473"/>
    </row>
    <row r="4" spans="1:33" x14ac:dyDescent="0.25">
      <c r="A4" s="474" t="s">
        <v>591</v>
      </c>
      <c r="B4" s="474"/>
      <c r="C4" s="474"/>
      <c r="D4" s="475"/>
      <c r="E4" s="474"/>
      <c r="F4" s="475"/>
      <c r="G4" s="476"/>
      <c r="H4" s="475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5"/>
      <c r="X4" s="475"/>
      <c r="Y4" s="475"/>
      <c r="Z4" s="475"/>
      <c r="AA4" s="477"/>
      <c r="AB4" s="477"/>
      <c r="AC4" s="477"/>
      <c r="AD4" s="477"/>
      <c r="AE4" s="477"/>
      <c r="AF4" s="477"/>
      <c r="AG4" s="476"/>
    </row>
    <row r="5" spans="1:33" x14ac:dyDescent="0.25">
      <c r="A5" s="478" t="s">
        <v>172</v>
      </c>
      <c r="B5" s="478"/>
      <c r="C5" s="478"/>
      <c r="D5" s="479"/>
      <c r="E5" s="478"/>
      <c r="F5" s="479"/>
      <c r="G5" s="480"/>
      <c r="H5" s="479"/>
      <c r="I5" s="478" t="s">
        <v>173</v>
      </c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9"/>
      <c r="X5" s="479"/>
      <c r="Y5" s="479"/>
      <c r="Z5" s="479"/>
      <c r="AA5" s="481" t="s">
        <v>1</v>
      </c>
      <c r="AB5" s="481"/>
      <c r="AC5" s="481"/>
      <c r="AD5" s="481"/>
      <c r="AE5" s="481"/>
      <c r="AF5" s="481"/>
      <c r="AG5" s="480"/>
    </row>
    <row r="6" spans="1:33" x14ac:dyDescent="0.25">
      <c r="A6" s="482" t="s">
        <v>84</v>
      </c>
      <c r="B6" s="482" t="s">
        <v>161</v>
      </c>
      <c r="C6" s="482" t="s">
        <v>86</v>
      </c>
      <c r="D6" s="479" t="s">
        <v>162</v>
      </c>
      <c r="E6" s="482" t="s">
        <v>163</v>
      </c>
      <c r="F6" s="479" t="str">
        <f>F2</f>
        <v>Promoción</v>
      </c>
      <c r="G6" s="480" t="str">
        <f>G2</f>
        <v>Nivel</v>
      </c>
      <c r="H6" s="479" t="str">
        <f>H2</f>
        <v>Lid</v>
      </c>
      <c r="I6" s="459" t="s">
        <v>14</v>
      </c>
      <c r="J6" s="459" t="str">
        <f t="shared" ref="J6:Y6" si="0">J2</f>
        <v>Pot</v>
      </c>
      <c r="K6" s="459" t="str">
        <f t="shared" si="0"/>
        <v>DEF</v>
      </c>
      <c r="L6" s="459" t="str">
        <f t="shared" si="0"/>
        <v>Pot</v>
      </c>
      <c r="M6" s="459" t="str">
        <f t="shared" si="0"/>
        <v>JUG</v>
      </c>
      <c r="N6" s="459" t="str">
        <f t="shared" si="0"/>
        <v>Pot</v>
      </c>
      <c r="O6" s="459" t="str">
        <f t="shared" si="0"/>
        <v>LAT</v>
      </c>
      <c r="P6" s="459" t="str">
        <f t="shared" si="0"/>
        <v>Pot</v>
      </c>
      <c r="Q6" s="459" t="str">
        <f t="shared" si="0"/>
        <v>PAS</v>
      </c>
      <c r="R6" s="459" t="str">
        <f t="shared" si="0"/>
        <v>Pot</v>
      </c>
      <c r="S6" s="459" t="str">
        <f t="shared" si="0"/>
        <v>ANO</v>
      </c>
      <c r="T6" s="459" t="str">
        <f t="shared" si="0"/>
        <v>Pot</v>
      </c>
      <c r="U6" s="459" t="str">
        <f t="shared" si="0"/>
        <v>BP</v>
      </c>
      <c r="V6" s="459" t="str">
        <f t="shared" si="0"/>
        <v>Pot</v>
      </c>
      <c r="W6" s="483" t="str">
        <f t="shared" si="0"/>
        <v>HAB</v>
      </c>
      <c r="X6" s="483" t="str">
        <f t="shared" si="0"/>
        <v>POT</v>
      </c>
      <c r="Y6" s="479" t="str">
        <f t="shared" si="0"/>
        <v>Cap</v>
      </c>
      <c r="Z6" s="479" t="s">
        <v>170</v>
      </c>
      <c r="AA6" s="484" t="str">
        <f t="shared" ref="AA6:AG6" si="1">AA2</f>
        <v>POR</v>
      </c>
      <c r="AB6" s="484" t="str">
        <f t="shared" si="1"/>
        <v>DEF</v>
      </c>
      <c r="AC6" s="484" t="str">
        <f t="shared" si="1"/>
        <v>DL</v>
      </c>
      <c r="AD6" s="484" t="str">
        <f t="shared" si="1"/>
        <v>INN</v>
      </c>
      <c r="AE6" s="484" t="str">
        <f t="shared" si="1"/>
        <v>EXT</v>
      </c>
      <c r="AF6" s="484" t="str">
        <f t="shared" si="1"/>
        <v>DAV</v>
      </c>
      <c r="AG6" s="480" t="str">
        <f t="shared" si="1"/>
        <v>Atributs</v>
      </c>
    </row>
    <row r="7" spans="1:33" x14ac:dyDescent="0.25">
      <c r="A7" s="536" t="s">
        <v>639</v>
      </c>
      <c r="B7" s="462">
        <v>16</v>
      </c>
      <c r="C7" s="463">
        <f ca="1">+A33-3410-112</f>
        <v>258</v>
      </c>
      <c r="D7" s="464"/>
      <c r="E7" s="465">
        <f ca="1">F7-TODAY()</f>
        <v>-146</v>
      </c>
      <c r="F7" s="466">
        <v>44632</v>
      </c>
      <c r="G7" s="467">
        <v>4</v>
      </c>
      <c r="H7" s="468" t="s">
        <v>590</v>
      </c>
      <c r="I7" s="469"/>
      <c r="J7" s="470"/>
      <c r="K7" s="469">
        <v>3</v>
      </c>
      <c r="L7" s="470">
        <v>5.99</v>
      </c>
      <c r="M7" s="471">
        <v>4</v>
      </c>
      <c r="N7" s="470">
        <v>5.99</v>
      </c>
      <c r="O7" s="471">
        <v>3</v>
      </c>
      <c r="P7" s="470">
        <v>3.99</v>
      </c>
      <c r="Q7" s="471">
        <v>2</v>
      </c>
      <c r="R7" s="470">
        <v>2.99</v>
      </c>
      <c r="S7" s="469"/>
      <c r="T7" s="470"/>
      <c r="U7" s="469"/>
      <c r="V7" s="470"/>
      <c r="W7" s="472">
        <f>7-(COUNTBLANK(I7)+COUNTBLANK(K7)+COUNTBLANK(M7)+COUNTBLANK(O7)+COUNTBLANK(Q7)+COUNTBLANK(S7)+COUNTBLANK(U7))</f>
        <v>4</v>
      </c>
      <c r="X7" s="468">
        <f>COUNT(V7,R7,T7,P7,N7,L7,J7)</f>
        <v>4</v>
      </c>
      <c r="Y7" s="468"/>
      <c r="Z7" s="468"/>
      <c r="AA7" s="473"/>
      <c r="AB7" s="473"/>
      <c r="AC7" s="473">
        <v>4.5</v>
      </c>
      <c r="AD7" s="473">
        <v>5</v>
      </c>
      <c r="AE7" s="473">
        <v>5</v>
      </c>
      <c r="AF7" s="473"/>
      <c r="AG7" s="473"/>
    </row>
    <row r="8" spans="1:33" x14ac:dyDescent="0.25">
      <c r="A8" s="536" t="s">
        <v>638</v>
      </c>
      <c r="B8" s="462">
        <v>16</v>
      </c>
      <c r="C8" s="463">
        <f ca="1">+A33-3442</f>
        <v>338</v>
      </c>
      <c r="D8" s="464"/>
      <c r="E8" s="465">
        <f ca="1">F8-TODAY()</f>
        <v>-166</v>
      </c>
      <c r="F8" s="466">
        <v>44612</v>
      </c>
      <c r="G8" s="467" t="s">
        <v>590</v>
      </c>
      <c r="H8" s="468" t="s">
        <v>590</v>
      </c>
      <c r="I8" s="469"/>
      <c r="J8" s="469">
        <v>1.99</v>
      </c>
      <c r="K8" s="471"/>
      <c r="L8" s="470">
        <v>6.99</v>
      </c>
      <c r="M8" s="471">
        <v>4</v>
      </c>
      <c r="N8" s="470">
        <v>5.99</v>
      </c>
      <c r="O8" s="469"/>
      <c r="P8" s="470">
        <v>2.99</v>
      </c>
      <c r="Q8" s="471"/>
      <c r="R8" s="470">
        <v>6.99</v>
      </c>
      <c r="S8" s="469"/>
      <c r="T8" s="470"/>
      <c r="U8" s="469"/>
      <c r="V8" s="470"/>
      <c r="W8" s="472">
        <f>7-(COUNTBLANK(I8)+COUNTBLANK(K8)+COUNTBLANK(M8)+COUNTBLANK(O8)+COUNTBLANK(Q8)+COUNTBLANK(S8)+COUNTBLANK(U8))</f>
        <v>1</v>
      </c>
      <c r="X8" s="468">
        <f>COUNT(V8,R8,T8,P8,N8,L8,J8)</f>
        <v>5</v>
      </c>
      <c r="Y8" s="468"/>
      <c r="Z8" s="468"/>
      <c r="AA8" s="473"/>
      <c r="AB8" s="473"/>
      <c r="AC8" s="473"/>
      <c r="AD8" s="473">
        <v>6.5</v>
      </c>
      <c r="AE8" s="473">
        <v>5</v>
      </c>
      <c r="AF8" s="473"/>
      <c r="AG8" s="473"/>
    </row>
    <row r="9" spans="1:33" x14ac:dyDescent="0.25">
      <c r="A9" s="487" t="s">
        <v>592</v>
      </c>
      <c r="B9" s="487"/>
      <c r="C9" s="487"/>
      <c r="D9" s="488"/>
      <c r="E9" s="487"/>
      <c r="F9" s="488"/>
      <c r="G9" s="489"/>
      <c r="H9" s="488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88"/>
      <c r="X9" s="488"/>
      <c r="Y9" s="488"/>
      <c r="Z9" s="488"/>
      <c r="AA9" s="491"/>
      <c r="AB9" s="491"/>
      <c r="AC9" s="491"/>
      <c r="AD9" s="491"/>
      <c r="AE9" s="491"/>
      <c r="AF9" s="491"/>
      <c r="AG9" s="489"/>
    </row>
    <row r="10" spans="1:33" x14ac:dyDescent="0.25">
      <c r="A10" s="492" t="s">
        <v>172</v>
      </c>
      <c r="B10" s="492"/>
      <c r="C10" s="492"/>
      <c r="D10" s="493"/>
      <c r="E10" s="492"/>
      <c r="F10" s="493"/>
      <c r="G10" s="494"/>
      <c r="H10" s="493"/>
      <c r="I10" s="492" t="s">
        <v>173</v>
      </c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3"/>
      <c r="X10" s="493"/>
      <c r="Y10" s="493"/>
      <c r="Z10" s="493"/>
      <c r="AA10" s="495" t="s">
        <v>1</v>
      </c>
      <c r="AB10" s="495"/>
      <c r="AC10" s="495"/>
      <c r="AD10" s="495"/>
      <c r="AE10" s="495"/>
      <c r="AF10" s="495"/>
      <c r="AG10" s="494"/>
    </row>
    <row r="11" spans="1:33" x14ac:dyDescent="0.25">
      <c r="A11" s="496" t="s">
        <v>84</v>
      </c>
      <c r="B11" s="496" t="s">
        <v>161</v>
      </c>
      <c r="C11" s="496" t="s">
        <v>86</v>
      </c>
      <c r="D11" s="493" t="s">
        <v>162</v>
      </c>
      <c r="E11" s="496" t="s">
        <v>163</v>
      </c>
      <c r="F11" s="493" t="str">
        <f>F6</f>
        <v>Promoción</v>
      </c>
      <c r="G11" s="494" t="str">
        <f>G6</f>
        <v>Nivel</v>
      </c>
      <c r="H11" s="493" t="str">
        <f>H6</f>
        <v>Lid</v>
      </c>
      <c r="I11" s="459" t="s">
        <v>14</v>
      </c>
      <c r="J11" s="459" t="str">
        <f t="shared" ref="J11:Y11" si="2">J6</f>
        <v>Pot</v>
      </c>
      <c r="K11" s="459" t="str">
        <f t="shared" si="2"/>
        <v>DEF</v>
      </c>
      <c r="L11" s="459" t="str">
        <f t="shared" si="2"/>
        <v>Pot</v>
      </c>
      <c r="M11" s="459" t="str">
        <f t="shared" si="2"/>
        <v>JUG</v>
      </c>
      <c r="N11" s="459" t="str">
        <f t="shared" si="2"/>
        <v>Pot</v>
      </c>
      <c r="O11" s="459" t="str">
        <f t="shared" si="2"/>
        <v>LAT</v>
      </c>
      <c r="P11" s="459" t="str">
        <f t="shared" si="2"/>
        <v>Pot</v>
      </c>
      <c r="Q11" s="459" t="str">
        <f t="shared" si="2"/>
        <v>PAS</v>
      </c>
      <c r="R11" s="459" t="str">
        <f t="shared" si="2"/>
        <v>Pot</v>
      </c>
      <c r="S11" s="459" t="str">
        <f t="shared" si="2"/>
        <v>ANO</v>
      </c>
      <c r="T11" s="459" t="str">
        <f t="shared" si="2"/>
        <v>Pot</v>
      </c>
      <c r="U11" s="459" t="str">
        <f t="shared" si="2"/>
        <v>BP</v>
      </c>
      <c r="V11" s="459" t="str">
        <f t="shared" si="2"/>
        <v>Pot</v>
      </c>
      <c r="W11" s="497" t="str">
        <f t="shared" si="2"/>
        <v>HAB</v>
      </c>
      <c r="X11" s="497" t="str">
        <f t="shared" si="2"/>
        <v>POT</v>
      </c>
      <c r="Y11" s="493" t="str">
        <f t="shared" si="2"/>
        <v>Cap</v>
      </c>
      <c r="Z11" s="493" t="s">
        <v>170</v>
      </c>
      <c r="AA11" s="498" t="str">
        <f t="shared" ref="AA11:AG11" si="3">AA6</f>
        <v>POR</v>
      </c>
      <c r="AB11" s="498" t="str">
        <f t="shared" si="3"/>
        <v>DEF</v>
      </c>
      <c r="AC11" s="498" t="str">
        <f t="shared" si="3"/>
        <v>DL</v>
      </c>
      <c r="AD11" s="498" t="str">
        <f t="shared" si="3"/>
        <v>INN</v>
      </c>
      <c r="AE11" s="498" t="str">
        <f t="shared" si="3"/>
        <v>EXT</v>
      </c>
      <c r="AF11" s="498" t="str">
        <f t="shared" si="3"/>
        <v>DAV</v>
      </c>
      <c r="AG11" s="494" t="str">
        <f t="shared" si="3"/>
        <v>Atributs</v>
      </c>
    </row>
    <row r="12" spans="1:33" x14ac:dyDescent="0.25">
      <c r="A12" s="536" t="s">
        <v>642</v>
      </c>
      <c r="B12" s="462">
        <v>17</v>
      </c>
      <c r="C12" s="463">
        <f ca="1">+A33-3409-112</f>
        <v>259</v>
      </c>
      <c r="D12" s="464"/>
      <c r="E12" s="465">
        <f ca="1">F12-TODAY()</f>
        <v>-172</v>
      </c>
      <c r="F12" s="466">
        <v>44606</v>
      </c>
      <c r="G12" s="467">
        <v>4</v>
      </c>
      <c r="H12" s="468" t="s">
        <v>590</v>
      </c>
      <c r="I12" s="469"/>
      <c r="J12" s="470"/>
      <c r="K12" s="469">
        <v>4</v>
      </c>
      <c r="L12" s="470">
        <v>5.99</v>
      </c>
      <c r="M12" s="471">
        <v>5</v>
      </c>
      <c r="N12" s="470">
        <v>5.99</v>
      </c>
      <c r="O12" s="469"/>
      <c r="P12" s="470">
        <v>2.99</v>
      </c>
      <c r="Q12" s="471"/>
      <c r="R12" s="470">
        <v>3.99</v>
      </c>
      <c r="S12" s="471">
        <v>3</v>
      </c>
      <c r="T12" s="470"/>
      <c r="U12" s="469"/>
      <c r="V12" s="470"/>
      <c r="W12" s="472">
        <f>7-(COUNTBLANK(I12)+COUNTBLANK(K12)+COUNTBLANK(M12)+COUNTBLANK(O12)+COUNTBLANK(Q12)+COUNTBLANK(S12)+COUNTBLANK(U12))</f>
        <v>3</v>
      </c>
      <c r="X12" s="468">
        <f>COUNT(V12,R12,T12,P12,N12,L12,J12)</f>
        <v>4</v>
      </c>
      <c r="Y12" s="468"/>
      <c r="Z12" s="468"/>
      <c r="AA12" s="473"/>
      <c r="AB12" s="473">
        <v>4.5</v>
      </c>
      <c r="AC12" s="473"/>
      <c r="AD12" s="473">
        <v>6</v>
      </c>
      <c r="AE12" s="473">
        <v>5</v>
      </c>
      <c r="AF12" s="473"/>
      <c r="AG12" s="473"/>
    </row>
    <row r="13" spans="1:33" x14ac:dyDescent="0.25">
      <c r="A13" s="536" t="s">
        <v>645</v>
      </c>
      <c r="B13" s="462">
        <v>16</v>
      </c>
      <c r="C13" s="463">
        <f ca="1">+A33-3244-201</f>
        <v>335</v>
      </c>
      <c r="D13" s="464"/>
      <c r="E13" s="465">
        <f ca="1">F13-TODAY()</f>
        <v>-159</v>
      </c>
      <c r="F13" s="466">
        <v>44619</v>
      </c>
      <c r="G13" s="467" t="s">
        <v>590</v>
      </c>
      <c r="H13" s="468" t="s">
        <v>590</v>
      </c>
      <c r="I13" s="469"/>
      <c r="J13" s="469"/>
      <c r="K13" s="469">
        <v>1</v>
      </c>
      <c r="L13" s="469">
        <v>1.99</v>
      </c>
      <c r="M13" s="469">
        <v>2</v>
      </c>
      <c r="N13" s="469"/>
      <c r="O13" s="469"/>
      <c r="P13" s="469">
        <v>6.99</v>
      </c>
      <c r="Q13" s="469">
        <v>3</v>
      </c>
      <c r="R13" s="469"/>
      <c r="S13" s="471"/>
      <c r="T13" s="470">
        <v>3.99</v>
      </c>
      <c r="U13" s="469"/>
      <c r="V13" s="470"/>
      <c r="W13" s="472">
        <f>7-(COUNTBLANK(I13)+COUNTBLANK(K13)+COUNTBLANK(M13)+COUNTBLANK(O13)+COUNTBLANK(Q13)+COUNTBLANK(S13)+COUNTBLANK(U13))</f>
        <v>3</v>
      </c>
      <c r="X13" s="468">
        <f>COUNT(V13,R13,T13,P13,N13,L13,J13)</f>
        <v>3</v>
      </c>
      <c r="Y13" s="468"/>
      <c r="Z13" s="468"/>
      <c r="AA13" s="473"/>
      <c r="AB13" s="473"/>
      <c r="AC13" s="473"/>
      <c r="AD13" s="473"/>
      <c r="AE13" s="473"/>
      <c r="AF13" s="473"/>
      <c r="AG13" s="473"/>
    </row>
    <row r="14" spans="1:33" x14ac:dyDescent="0.25">
      <c r="A14" s="536" t="s">
        <v>640</v>
      </c>
      <c r="B14" s="462">
        <v>17</v>
      </c>
      <c r="C14" s="463">
        <f ca="1">+A33-3502</f>
        <v>278</v>
      </c>
      <c r="D14" s="464"/>
      <c r="E14" s="465">
        <f ca="1">F14-TODAY()</f>
        <v>-194</v>
      </c>
      <c r="F14" s="466">
        <v>44584</v>
      </c>
      <c r="G14" s="467" t="s">
        <v>590</v>
      </c>
      <c r="H14" s="468" t="s">
        <v>590</v>
      </c>
      <c r="I14" s="469"/>
      <c r="J14" s="470">
        <v>1.99</v>
      </c>
      <c r="K14" s="469"/>
      <c r="L14" s="470">
        <v>2.99</v>
      </c>
      <c r="M14" s="471"/>
      <c r="N14" s="470">
        <v>2.99</v>
      </c>
      <c r="O14" s="471"/>
      <c r="P14" s="470">
        <v>3.99</v>
      </c>
      <c r="Q14" s="471">
        <v>5</v>
      </c>
      <c r="R14" s="470">
        <v>6.99</v>
      </c>
      <c r="S14" s="469">
        <v>4</v>
      </c>
      <c r="T14" s="470">
        <v>5.99</v>
      </c>
      <c r="U14" s="469"/>
      <c r="V14" s="469"/>
      <c r="W14" s="472">
        <f>7-(COUNTBLANK(I14)+COUNTBLANK(K14)+COUNTBLANK(M14)+COUNTBLANK(O14)+COUNTBLANK(Q14)+COUNTBLANK(S14)+COUNTBLANK(U14))</f>
        <v>2</v>
      </c>
      <c r="X14" s="468">
        <f>COUNT(V14,R14,T14,P14,N14,L14,J14)</f>
        <v>6</v>
      </c>
      <c r="Y14" s="468"/>
      <c r="Z14" s="468"/>
      <c r="AA14" s="473"/>
      <c r="AB14" s="473"/>
      <c r="AC14" s="473"/>
      <c r="AD14" s="473"/>
      <c r="AE14" s="473">
        <v>3.5</v>
      </c>
      <c r="AF14" s="473">
        <v>6.5</v>
      </c>
      <c r="AG14" s="473"/>
    </row>
    <row r="15" spans="1:33" x14ac:dyDescent="0.25">
      <c r="A15" s="536" t="s">
        <v>641</v>
      </c>
      <c r="B15" s="462">
        <v>17</v>
      </c>
      <c r="C15" s="463">
        <f ca="1">+A33-3434</f>
        <v>346</v>
      </c>
      <c r="D15" s="464" t="s">
        <v>137</v>
      </c>
      <c r="E15" s="465">
        <f ca="1">F15-TODAY()</f>
        <v>-271</v>
      </c>
      <c r="F15" s="466">
        <v>44507</v>
      </c>
      <c r="G15" s="467" t="s">
        <v>590</v>
      </c>
      <c r="H15" s="468" t="s">
        <v>590</v>
      </c>
      <c r="I15" s="469"/>
      <c r="J15" s="470"/>
      <c r="K15" s="469">
        <v>4</v>
      </c>
      <c r="L15" s="470">
        <v>6.99</v>
      </c>
      <c r="M15" s="471">
        <v>4</v>
      </c>
      <c r="N15" s="470">
        <v>4.99</v>
      </c>
      <c r="O15" s="469">
        <v>4</v>
      </c>
      <c r="P15" s="470">
        <v>4.99</v>
      </c>
      <c r="Q15" s="471">
        <v>5</v>
      </c>
      <c r="R15" s="470">
        <v>5.99</v>
      </c>
      <c r="S15" s="471">
        <v>3</v>
      </c>
      <c r="T15" s="470">
        <v>3.99</v>
      </c>
      <c r="U15" s="469"/>
      <c r="V15" s="470">
        <v>4.99</v>
      </c>
      <c r="W15" s="472">
        <f>7-(COUNTBLANK(I15)+COUNTBLANK(K15)+COUNTBLANK(M15)+COUNTBLANK(O15)+COUNTBLANK(Q15)+COUNTBLANK(S15)+COUNTBLANK(U15))</f>
        <v>5</v>
      </c>
      <c r="X15" s="468">
        <f>COUNT(V15,R15,T15,P15,N15,L15,J15)</f>
        <v>6</v>
      </c>
      <c r="Y15" s="468"/>
      <c r="Z15" s="468"/>
      <c r="AA15" s="473"/>
      <c r="AB15" s="473">
        <v>5</v>
      </c>
      <c r="AC15" s="473">
        <v>5</v>
      </c>
      <c r="AD15" s="473">
        <v>5.5</v>
      </c>
      <c r="AE15" s="473">
        <v>5.5</v>
      </c>
      <c r="AF15" s="473">
        <v>5</v>
      </c>
      <c r="AG15" s="473"/>
    </row>
    <row r="16" spans="1:33" x14ac:dyDescent="0.25">
      <c r="A16" s="536" t="s">
        <v>593</v>
      </c>
      <c r="B16" s="462">
        <v>18</v>
      </c>
      <c r="C16" s="463">
        <f ca="1">+A33-3280-112-112</f>
        <v>276</v>
      </c>
      <c r="D16" s="464"/>
      <c r="E16" s="465">
        <f t="shared" ref="E16" ca="1" si="4">F16-TODAY()</f>
        <v>-388</v>
      </c>
      <c r="F16" s="466">
        <v>44390</v>
      </c>
      <c r="G16" s="467" t="s">
        <v>590</v>
      </c>
      <c r="H16" s="468" t="s">
        <v>590</v>
      </c>
      <c r="I16" s="469"/>
      <c r="J16" s="469"/>
      <c r="K16" s="469">
        <v>2</v>
      </c>
      <c r="L16" s="470">
        <v>2.99</v>
      </c>
      <c r="M16" s="469">
        <v>3</v>
      </c>
      <c r="N16" s="470">
        <v>3.99</v>
      </c>
      <c r="O16" s="471">
        <v>5</v>
      </c>
      <c r="P16" s="470">
        <v>6.99</v>
      </c>
      <c r="Q16" s="471">
        <v>3</v>
      </c>
      <c r="R16" s="470">
        <v>3.99</v>
      </c>
      <c r="S16" s="471">
        <v>3</v>
      </c>
      <c r="T16" s="470">
        <v>3.99</v>
      </c>
      <c r="U16" s="469"/>
      <c r="V16" s="469"/>
      <c r="W16" s="472">
        <f t="shared" ref="W16" si="5">7-(COUNTBLANK(I16)+COUNTBLANK(K16)+COUNTBLANK(M16)+COUNTBLANK(O16)+COUNTBLANK(Q16)+COUNTBLANK(S16)+COUNTBLANK(U16))</f>
        <v>5</v>
      </c>
      <c r="X16" s="468">
        <f t="shared" ref="X16" si="6">COUNT(V16,R16,T16,P16,N16,L16,J16)</f>
        <v>5</v>
      </c>
      <c r="Y16" s="468"/>
      <c r="Z16" s="468"/>
      <c r="AA16" s="473"/>
      <c r="AB16" s="473">
        <v>2.5</v>
      </c>
      <c r="AC16" s="473">
        <v>4</v>
      </c>
      <c r="AD16" s="473">
        <v>4</v>
      </c>
      <c r="AE16" s="473">
        <v>5</v>
      </c>
      <c r="AF16" s="473">
        <v>5.5</v>
      </c>
      <c r="AG16" s="473"/>
    </row>
    <row r="17" spans="1:33" x14ac:dyDescent="0.25">
      <c r="A17" s="536" t="s">
        <v>649</v>
      </c>
      <c r="B17" s="462">
        <v>17</v>
      </c>
      <c r="C17" s="507">
        <f ca="1">+A33-3289-186</f>
        <v>305</v>
      </c>
      <c r="D17" s="464"/>
      <c r="E17" s="465">
        <f t="shared" ref="E17" ca="1" si="7">F17-TODAY()</f>
        <v>-215</v>
      </c>
      <c r="F17" s="466">
        <v>44563</v>
      </c>
      <c r="G17" s="506" t="s">
        <v>590</v>
      </c>
      <c r="H17" s="468" t="s">
        <v>590</v>
      </c>
      <c r="I17" s="469"/>
      <c r="J17" s="469">
        <v>1.99</v>
      </c>
      <c r="K17" s="469"/>
      <c r="L17" s="469">
        <v>5.99</v>
      </c>
      <c r="M17" s="469">
        <v>2</v>
      </c>
      <c r="N17" s="469"/>
      <c r="O17" s="469"/>
      <c r="P17" s="469"/>
      <c r="Q17" s="469"/>
      <c r="R17" s="469">
        <v>1.99</v>
      </c>
      <c r="S17" s="469">
        <v>2</v>
      </c>
      <c r="T17" s="469">
        <v>2.99</v>
      </c>
      <c r="U17" s="469"/>
      <c r="V17" s="469"/>
      <c r="W17" s="472">
        <f t="shared" ref="W17" si="8">7-(COUNTBLANK(I17)+COUNTBLANK(K17)+COUNTBLANK(M17)+COUNTBLANK(O17)+COUNTBLANK(Q17)+COUNTBLANK(S17)+COUNTBLANK(U17))</f>
        <v>2</v>
      </c>
      <c r="X17" s="468">
        <f t="shared" ref="X17" si="9">COUNT(V17,R17,T17,P17,N17,L17,J17)</f>
        <v>4</v>
      </c>
      <c r="Y17" s="468"/>
      <c r="Z17" s="468"/>
      <c r="AA17" s="473"/>
      <c r="AB17" s="473">
        <v>4</v>
      </c>
      <c r="AC17" s="473">
        <v>4.5</v>
      </c>
      <c r="AD17" s="473">
        <v>3</v>
      </c>
      <c r="AE17" s="473">
        <v>4.5</v>
      </c>
      <c r="AF17" s="473"/>
      <c r="AG17" s="473"/>
    </row>
    <row r="18" spans="1:33" x14ac:dyDescent="0.25">
      <c r="A18" s="499" t="s">
        <v>172</v>
      </c>
      <c r="B18" s="499"/>
      <c r="C18" s="499"/>
      <c r="D18" s="500"/>
      <c r="E18" s="499"/>
      <c r="F18" s="500"/>
      <c r="G18" s="501"/>
      <c r="H18" s="500"/>
      <c r="I18" s="499" t="s">
        <v>173</v>
      </c>
      <c r="J18" s="499"/>
      <c r="K18" s="499"/>
      <c r="L18" s="499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500"/>
      <c r="X18" s="500"/>
      <c r="Y18" s="500"/>
      <c r="Z18" s="500"/>
      <c r="AA18" s="502" t="s">
        <v>1</v>
      </c>
      <c r="AB18" s="502"/>
      <c r="AC18" s="502"/>
      <c r="AD18" s="502"/>
      <c r="AE18" s="502"/>
      <c r="AF18" s="502"/>
      <c r="AG18" s="501"/>
    </row>
    <row r="19" spans="1:33" x14ac:dyDescent="0.25">
      <c r="A19" s="503" t="s">
        <v>84</v>
      </c>
      <c r="B19" s="503" t="s">
        <v>161</v>
      </c>
      <c r="C19" s="503" t="s">
        <v>86</v>
      </c>
      <c r="D19" s="500" t="s">
        <v>162</v>
      </c>
      <c r="E19" s="503" t="s">
        <v>163</v>
      </c>
      <c r="F19" s="500" t="str">
        <f>F11</f>
        <v>Promoción</v>
      </c>
      <c r="G19" s="501" t="str">
        <f>G11</f>
        <v>Nivel</v>
      </c>
      <c r="H19" s="500" t="str">
        <f>H11</f>
        <v>Lid</v>
      </c>
      <c r="I19" s="459" t="s">
        <v>14</v>
      </c>
      <c r="J19" s="459" t="str">
        <f t="shared" ref="J19:Y19" si="10">J11</f>
        <v>Pot</v>
      </c>
      <c r="K19" s="459" t="str">
        <f t="shared" si="10"/>
        <v>DEF</v>
      </c>
      <c r="L19" s="459" t="str">
        <f t="shared" si="10"/>
        <v>Pot</v>
      </c>
      <c r="M19" s="459" t="str">
        <f t="shared" si="10"/>
        <v>JUG</v>
      </c>
      <c r="N19" s="459" t="str">
        <f t="shared" si="10"/>
        <v>Pot</v>
      </c>
      <c r="O19" s="459" t="str">
        <f t="shared" si="10"/>
        <v>LAT</v>
      </c>
      <c r="P19" s="459" t="str">
        <f t="shared" si="10"/>
        <v>Pot</v>
      </c>
      <c r="Q19" s="459" t="str">
        <f t="shared" si="10"/>
        <v>PAS</v>
      </c>
      <c r="R19" s="459" t="str">
        <f t="shared" si="10"/>
        <v>Pot</v>
      </c>
      <c r="S19" s="459" t="str">
        <f t="shared" si="10"/>
        <v>ANO</v>
      </c>
      <c r="T19" s="459" t="str">
        <f t="shared" si="10"/>
        <v>Pot</v>
      </c>
      <c r="U19" s="459" t="str">
        <f t="shared" si="10"/>
        <v>BP</v>
      </c>
      <c r="V19" s="459" t="str">
        <f t="shared" si="10"/>
        <v>Pot</v>
      </c>
      <c r="W19" s="504" t="str">
        <f t="shared" si="10"/>
        <v>HAB</v>
      </c>
      <c r="X19" s="504" t="str">
        <f t="shared" si="10"/>
        <v>POT</v>
      </c>
      <c r="Y19" s="500" t="str">
        <f t="shared" si="10"/>
        <v>Cap</v>
      </c>
      <c r="Z19" s="500" t="s">
        <v>170</v>
      </c>
      <c r="AA19" s="505" t="str">
        <f t="shared" ref="AA19:AG19" si="11">AA11</f>
        <v>POR</v>
      </c>
      <c r="AB19" s="505" t="str">
        <f t="shared" si="11"/>
        <v>DEF</v>
      </c>
      <c r="AC19" s="505" t="str">
        <f t="shared" si="11"/>
        <v>DL</v>
      </c>
      <c r="AD19" s="505" t="str">
        <f t="shared" si="11"/>
        <v>INN</v>
      </c>
      <c r="AE19" s="505" t="str">
        <f t="shared" si="11"/>
        <v>EXT</v>
      </c>
      <c r="AF19" s="505" t="str">
        <f t="shared" si="11"/>
        <v>DAV</v>
      </c>
      <c r="AG19" s="501" t="str">
        <f t="shared" si="11"/>
        <v>Atributs</v>
      </c>
    </row>
    <row r="20" spans="1:33" x14ac:dyDescent="0.25">
      <c r="A20" s="536" t="s">
        <v>654</v>
      </c>
      <c r="B20" s="462">
        <v>15</v>
      </c>
      <c r="C20" s="463">
        <f ca="1">+A33-3447</f>
        <v>333</v>
      </c>
      <c r="D20" s="464"/>
      <c r="E20" s="465">
        <f ca="1">F20-TODAY()</f>
        <v>-109</v>
      </c>
      <c r="F20" s="466">
        <v>44669</v>
      </c>
      <c r="G20" s="467" t="s">
        <v>590</v>
      </c>
      <c r="H20" s="468" t="s">
        <v>590</v>
      </c>
      <c r="I20" s="469"/>
      <c r="J20" s="470"/>
      <c r="K20" s="469"/>
      <c r="L20" s="470">
        <v>3.99</v>
      </c>
      <c r="M20" s="471"/>
      <c r="N20" s="470"/>
      <c r="O20" s="471"/>
      <c r="P20" s="470"/>
      <c r="Q20" s="471">
        <v>3</v>
      </c>
      <c r="R20" s="470"/>
      <c r="S20" s="471"/>
      <c r="T20" s="470"/>
      <c r="U20" s="469"/>
      <c r="V20" s="469"/>
      <c r="W20" s="472">
        <f>7-(COUNTBLANK(I20)+COUNTBLANK(K20)+COUNTBLANK(M20)+COUNTBLANK(O20)+COUNTBLANK(Q20)+COUNTBLANK(S20)+COUNTBLANK(U20))</f>
        <v>1</v>
      </c>
      <c r="X20" s="468">
        <f>COUNT(V20,R20,T20,P20,N20,L20,J20)</f>
        <v>1</v>
      </c>
      <c r="Y20" s="468"/>
      <c r="Z20" s="468"/>
      <c r="AA20" s="473"/>
      <c r="AB20" s="473"/>
      <c r="AC20" s="473"/>
      <c r="AD20" s="473"/>
      <c r="AE20" s="473"/>
      <c r="AF20" s="473"/>
      <c r="AG20" s="473"/>
    </row>
    <row r="21" spans="1:33" x14ac:dyDescent="0.25">
      <c r="A21" s="536" t="s">
        <v>643</v>
      </c>
      <c r="B21" s="462">
        <v>17</v>
      </c>
      <c r="C21" s="463">
        <f ca="1">+A33-3423-112</f>
        <v>245</v>
      </c>
      <c r="D21" s="464"/>
      <c r="E21" s="465">
        <f ca="1">F21-TODAY()</f>
        <v>-245</v>
      </c>
      <c r="F21" s="466">
        <v>44533</v>
      </c>
      <c r="G21" s="467">
        <v>4</v>
      </c>
      <c r="H21" s="468" t="s">
        <v>590</v>
      </c>
      <c r="I21" s="469">
        <v>3</v>
      </c>
      <c r="J21" s="469">
        <v>6.99</v>
      </c>
      <c r="K21" s="471">
        <v>2</v>
      </c>
      <c r="L21" s="469">
        <v>2.99</v>
      </c>
      <c r="M21" s="469"/>
      <c r="N21" s="470">
        <v>2.99</v>
      </c>
      <c r="O21" s="469">
        <v>0</v>
      </c>
      <c r="P21" s="470">
        <v>0.99</v>
      </c>
      <c r="Q21" s="469"/>
      <c r="R21" s="470">
        <v>1.99</v>
      </c>
      <c r="S21" s="471"/>
      <c r="T21" s="470">
        <v>0.99</v>
      </c>
      <c r="U21" s="469"/>
      <c r="V21" s="469"/>
      <c r="W21" s="472">
        <f>7-(COUNTBLANK(I21)+COUNTBLANK(K21)+COUNTBLANK(M21)+COUNTBLANK(O21)+COUNTBLANK(Q21)+COUNTBLANK(S21)+COUNTBLANK(U21))</f>
        <v>3</v>
      </c>
      <c r="X21" s="468">
        <f>COUNT(V21,R21,T21,P21,N21,L21,J21)</f>
        <v>6</v>
      </c>
      <c r="Y21" s="468"/>
      <c r="Z21" s="468"/>
      <c r="AA21" s="473">
        <v>4.5</v>
      </c>
      <c r="AB21" s="473">
        <v>2</v>
      </c>
      <c r="AC21" s="473">
        <v>2</v>
      </c>
      <c r="AD21" s="473"/>
      <c r="AE21" s="473"/>
      <c r="AF21" s="473"/>
      <c r="AG21" s="473"/>
    </row>
    <row r="22" spans="1:33" x14ac:dyDescent="0.25">
      <c r="A22" s="536" t="s">
        <v>594</v>
      </c>
      <c r="B22" s="462">
        <v>17</v>
      </c>
      <c r="C22" s="463">
        <f ca="1">+A33-3401-112</f>
        <v>267</v>
      </c>
      <c r="D22" s="464" t="s">
        <v>127</v>
      </c>
      <c r="E22" s="465">
        <f ca="1">F22-TODAY()</f>
        <v>-267</v>
      </c>
      <c r="F22" s="466">
        <v>44511</v>
      </c>
      <c r="G22" s="467" t="s">
        <v>590</v>
      </c>
      <c r="H22" s="468" t="s">
        <v>590</v>
      </c>
      <c r="I22" s="469"/>
      <c r="J22" s="470"/>
      <c r="K22" s="471">
        <v>3</v>
      </c>
      <c r="L22" s="470">
        <v>3.99</v>
      </c>
      <c r="M22" s="471"/>
      <c r="N22" s="470">
        <v>4.99</v>
      </c>
      <c r="O22" s="471">
        <v>3</v>
      </c>
      <c r="P22" s="470">
        <v>3.99</v>
      </c>
      <c r="Q22" s="469"/>
      <c r="R22" s="470">
        <v>3.99</v>
      </c>
      <c r="S22" s="471"/>
      <c r="T22" s="470">
        <v>2.99</v>
      </c>
      <c r="U22" s="469"/>
      <c r="V22" s="469"/>
      <c r="W22" s="472">
        <f>7-(COUNTBLANK(I22)+COUNTBLANK(K22)+COUNTBLANK(M22)+COUNTBLANK(O22)+COUNTBLANK(Q22)+COUNTBLANK(S22)+COUNTBLANK(U22))</f>
        <v>2</v>
      </c>
      <c r="X22" s="468">
        <f>COUNT(V22,R22,T22,P22,N22,L22,J22)</f>
        <v>5</v>
      </c>
      <c r="Y22" s="468"/>
      <c r="Z22" s="468"/>
      <c r="AA22" s="473">
        <v>2</v>
      </c>
      <c r="AB22" s="473">
        <v>4</v>
      </c>
      <c r="AC22" s="473">
        <v>4</v>
      </c>
      <c r="AD22" s="473">
        <v>4.5</v>
      </c>
      <c r="AE22" s="473">
        <v>4.5</v>
      </c>
      <c r="AF22" s="473">
        <v>4</v>
      </c>
      <c r="AG22" s="473"/>
    </row>
    <row r="23" spans="1:33" x14ac:dyDescent="0.25">
      <c r="A23" s="536" t="s">
        <v>644</v>
      </c>
      <c r="B23" s="462">
        <v>16</v>
      </c>
      <c r="C23" s="463">
        <f ca="1">+A33-3231-112-112-18</f>
        <v>307</v>
      </c>
      <c r="D23" s="464"/>
      <c r="E23" s="465">
        <f t="shared" ref="E23" ca="1" si="12">F23-TODAY()</f>
        <v>-187</v>
      </c>
      <c r="F23" s="466">
        <v>44591</v>
      </c>
      <c r="G23" s="467">
        <v>4</v>
      </c>
      <c r="H23" s="468" t="s">
        <v>590</v>
      </c>
      <c r="I23" s="469"/>
      <c r="J23" s="469">
        <v>1.99</v>
      </c>
      <c r="K23" s="471">
        <v>2</v>
      </c>
      <c r="L23" s="470">
        <v>3.99</v>
      </c>
      <c r="M23" s="471"/>
      <c r="N23" s="470">
        <v>2.99</v>
      </c>
      <c r="O23" s="469"/>
      <c r="P23" s="470">
        <v>3.99</v>
      </c>
      <c r="Q23" s="469"/>
      <c r="R23" s="470"/>
      <c r="S23" s="469"/>
      <c r="T23" s="470">
        <v>4.99</v>
      </c>
      <c r="U23" s="469"/>
      <c r="V23" s="469"/>
      <c r="W23" s="472">
        <f t="shared" ref="W23" si="13">7-(COUNTBLANK(I23)+COUNTBLANK(K23)+COUNTBLANK(M23)+COUNTBLANK(O23)+COUNTBLANK(Q23)+COUNTBLANK(S23)+COUNTBLANK(U23))</f>
        <v>1</v>
      </c>
      <c r="X23" s="468">
        <f t="shared" ref="X23" si="14">COUNT(V23,R23,T23,P23,N23,L23,J23)</f>
        <v>5</v>
      </c>
      <c r="Y23" s="468"/>
      <c r="Z23" s="468"/>
      <c r="AA23" s="473"/>
      <c r="AB23" s="473">
        <v>3</v>
      </c>
      <c r="AC23" s="473">
        <v>3.5</v>
      </c>
      <c r="AD23" s="473"/>
      <c r="AE23" s="473">
        <v>3.5</v>
      </c>
      <c r="AF23" s="473"/>
      <c r="AG23" s="473"/>
    </row>
    <row r="24" spans="1:33" x14ac:dyDescent="0.25">
      <c r="A24" s="536" t="s">
        <v>646</v>
      </c>
      <c r="B24" s="462">
        <v>16</v>
      </c>
      <c r="C24" s="463">
        <f ca="1">+A33-3415-112</f>
        <v>253</v>
      </c>
      <c r="D24" s="464" t="s">
        <v>127</v>
      </c>
      <c r="E24" s="465">
        <f ca="1">F24-TODAY()</f>
        <v>-141</v>
      </c>
      <c r="F24" s="466">
        <v>44637</v>
      </c>
      <c r="G24" s="467">
        <v>4</v>
      </c>
      <c r="H24" s="468" t="s">
        <v>590</v>
      </c>
      <c r="I24" s="471"/>
      <c r="J24" s="470">
        <v>1.99</v>
      </c>
      <c r="K24" s="471"/>
      <c r="L24" s="470">
        <v>2.99</v>
      </c>
      <c r="M24" s="469">
        <v>4</v>
      </c>
      <c r="N24" s="470">
        <v>4.99</v>
      </c>
      <c r="O24" s="469"/>
      <c r="P24" s="470">
        <v>2.99</v>
      </c>
      <c r="Q24" s="469">
        <v>3</v>
      </c>
      <c r="R24" s="470">
        <v>3.99</v>
      </c>
      <c r="S24" s="471">
        <v>3</v>
      </c>
      <c r="T24" s="470">
        <v>3.99</v>
      </c>
      <c r="U24" s="469"/>
      <c r="V24" s="470"/>
      <c r="W24" s="472">
        <f t="shared" ref="W24:W27" si="15">7-(COUNTBLANK(I24)+COUNTBLANK(K24)+COUNTBLANK(M24)+COUNTBLANK(O24)+COUNTBLANK(Q24)+COUNTBLANK(S24)+COUNTBLANK(U24))</f>
        <v>3</v>
      </c>
      <c r="X24" s="468">
        <f t="shared" ref="X24:X27" si="16">COUNT(V24,R24,T24,P24,N24,L24,J24)</f>
        <v>6</v>
      </c>
      <c r="Y24" s="468"/>
      <c r="Z24" s="468"/>
      <c r="AA24" s="473"/>
      <c r="AB24" s="473">
        <v>2</v>
      </c>
      <c r="AC24" s="473">
        <v>2.5</v>
      </c>
      <c r="AD24" s="473">
        <v>4.5</v>
      </c>
      <c r="AE24" s="473">
        <v>4</v>
      </c>
      <c r="AF24" s="473">
        <v>4</v>
      </c>
      <c r="AG24" s="473"/>
    </row>
    <row r="25" spans="1:33" x14ac:dyDescent="0.25">
      <c r="A25" s="536" t="s">
        <v>647</v>
      </c>
      <c r="B25" s="462">
        <v>16</v>
      </c>
      <c r="C25" s="463">
        <f ca="1">+A33-3412-112</f>
        <v>256</v>
      </c>
      <c r="D25" s="464"/>
      <c r="E25" s="465">
        <f ca="1">F25-TODAY()</f>
        <v>-144</v>
      </c>
      <c r="F25" s="466">
        <v>44634</v>
      </c>
      <c r="G25" s="467" t="s">
        <v>590</v>
      </c>
      <c r="H25" s="468" t="s">
        <v>590</v>
      </c>
      <c r="I25" s="469"/>
      <c r="J25" s="470"/>
      <c r="K25" s="469">
        <v>2</v>
      </c>
      <c r="L25" s="470">
        <v>2</v>
      </c>
      <c r="M25" s="471"/>
      <c r="N25" s="470"/>
      <c r="O25" s="469"/>
      <c r="P25" s="470"/>
      <c r="Q25" s="471"/>
      <c r="R25" s="470">
        <v>1.99</v>
      </c>
      <c r="S25" s="469"/>
      <c r="T25" s="470"/>
      <c r="U25" s="469"/>
      <c r="V25" s="470"/>
      <c r="W25" s="472">
        <f t="shared" si="15"/>
        <v>1</v>
      </c>
      <c r="X25" s="468">
        <f t="shared" si="16"/>
        <v>2</v>
      </c>
      <c r="Y25" s="468"/>
      <c r="Z25" s="468"/>
      <c r="AA25" s="473"/>
      <c r="AB25" s="473"/>
      <c r="AC25" s="473"/>
      <c r="AD25" s="473"/>
      <c r="AE25" s="473">
        <v>3</v>
      </c>
      <c r="AF25" s="473"/>
      <c r="AG25" s="473"/>
    </row>
    <row r="26" spans="1:33" x14ac:dyDescent="0.25">
      <c r="A26" s="536" t="s">
        <v>653</v>
      </c>
      <c r="B26" s="462">
        <v>15</v>
      </c>
      <c r="C26" s="463">
        <f ca="1">+A33-3506</f>
        <v>274</v>
      </c>
      <c r="D26" s="464"/>
      <c r="E26" s="465">
        <f ca="1">F26-TODAY()</f>
        <v>-50</v>
      </c>
      <c r="F26" s="466">
        <v>44728</v>
      </c>
      <c r="G26" s="517" t="s">
        <v>590</v>
      </c>
      <c r="H26" s="468"/>
      <c r="I26" s="469"/>
      <c r="J26" s="470"/>
      <c r="K26" s="469"/>
      <c r="L26" s="470"/>
      <c r="M26" s="471"/>
      <c r="N26" s="470"/>
      <c r="O26" s="469">
        <v>3</v>
      </c>
      <c r="P26" s="470"/>
      <c r="Q26" s="471"/>
      <c r="R26" s="470">
        <v>3.99</v>
      </c>
      <c r="S26" s="471"/>
      <c r="T26" s="470"/>
      <c r="U26" s="469"/>
      <c r="V26" s="470"/>
      <c r="W26" s="472">
        <f>7-(COUNTBLANK(I26)+COUNTBLANK(K26)+COUNTBLANK(M26)+COUNTBLANK(O26)+COUNTBLANK(Q26)+COUNTBLANK(S26)+COUNTBLANK(U26))</f>
        <v>1</v>
      </c>
      <c r="X26" s="468">
        <f>COUNT(V26,R26,T26,P26,N26,L26,J26)</f>
        <v>1</v>
      </c>
      <c r="Y26" s="468"/>
      <c r="Z26" s="468"/>
      <c r="AA26" s="473"/>
      <c r="AB26" s="473"/>
      <c r="AC26" s="473"/>
      <c r="AD26" s="473"/>
      <c r="AE26" s="473"/>
      <c r="AF26" s="473"/>
      <c r="AG26" s="473"/>
    </row>
    <row r="27" spans="1:33" x14ac:dyDescent="0.25">
      <c r="A27" s="536" t="s">
        <v>595</v>
      </c>
      <c r="B27" s="462">
        <v>18</v>
      </c>
      <c r="C27" s="463">
        <f ca="1">+A33-3289-112-112</f>
        <v>267</v>
      </c>
      <c r="D27" s="464"/>
      <c r="E27" s="465">
        <f ca="1">F27-TODAY()</f>
        <v>-379</v>
      </c>
      <c r="F27" s="466">
        <v>44399</v>
      </c>
      <c r="G27" s="486" t="s">
        <v>589</v>
      </c>
      <c r="H27" s="468" t="s">
        <v>590</v>
      </c>
      <c r="I27" s="469"/>
      <c r="J27" s="469"/>
      <c r="K27" s="471"/>
      <c r="L27" s="469">
        <v>3.99</v>
      </c>
      <c r="M27" s="469"/>
      <c r="N27" s="469">
        <v>3.99</v>
      </c>
      <c r="O27" s="469"/>
      <c r="P27" s="469">
        <v>4.99</v>
      </c>
      <c r="Q27" s="469">
        <v>2</v>
      </c>
      <c r="R27" s="470">
        <v>2.99</v>
      </c>
      <c r="S27" s="469">
        <v>3</v>
      </c>
      <c r="T27" s="469">
        <v>4.99</v>
      </c>
      <c r="U27" s="469"/>
      <c r="V27" s="469"/>
      <c r="W27" s="472">
        <f t="shared" si="15"/>
        <v>2</v>
      </c>
      <c r="X27" s="468">
        <f t="shared" si="16"/>
        <v>5</v>
      </c>
      <c r="Y27" s="468"/>
      <c r="Z27" s="468"/>
      <c r="AA27" s="473">
        <v>1.5</v>
      </c>
      <c r="AB27" s="473">
        <v>3</v>
      </c>
      <c r="AC27" s="473">
        <v>3.5</v>
      </c>
      <c r="AD27" s="473">
        <v>4</v>
      </c>
      <c r="AE27" s="473">
        <v>4.5</v>
      </c>
      <c r="AF27" s="473">
        <v>5</v>
      </c>
      <c r="AG27" s="473"/>
    </row>
    <row r="28" spans="1:33" x14ac:dyDescent="0.25">
      <c r="A28" s="536" t="s">
        <v>650</v>
      </c>
      <c r="B28" s="462">
        <v>16</v>
      </c>
      <c r="C28" s="463">
        <f ca="1">+A33-3435</f>
        <v>345</v>
      </c>
      <c r="D28" s="464"/>
      <c r="E28" s="465">
        <f ca="1">F28-TODAY()</f>
        <v>-233</v>
      </c>
      <c r="F28" s="466">
        <v>44545</v>
      </c>
      <c r="G28" s="486" t="s">
        <v>589</v>
      </c>
      <c r="H28" s="468" t="s">
        <v>590</v>
      </c>
      <c r="I28" s="485"/>
      <c r="J28" s="470"/>
      <c r="K28" s="485"/>
      <c r="L28" s="470">
        <v>2.99</v>
      </c>
      <c r="M28" s="471">
        <v>4</v>
      </c>
      <c r="N28" s="470">
        <v>4.99</v>
      </c>
      <c r="O28" s="471"/>
      <c r="P28" s="470">
        <v>3.99</v>
      </c>
      <c r="Q28" s="471"/>
      <c r="R28" s="470">
        <v>3.99</v>
      </c>
      <c r="S28" s="471">
        <v>3</v>
      </c>
      <c r="T28" s="470">
        <v>3.99</v>
      </c>
      <c r="U28" s="485"/>
      <c r="V28" s="470"/>
      <c r="W28" s="472">
        <f>7-(COUNTBLANK(I28)+COUNTBLANK(K28)+COUNTBLANK(M28)+COUNTBLANK(O28)+COUNTBLANK(Q28)+COUNTBLANK(S28)+COUNTBLANK(U28))</f>
        <v>2</v>
      </c>
      <c r="X28" s="468">
        <f>COUNT(V28,R28,T28,P28,N28,L28,J28)</f>
        <v>5</v>
      </c>
      <c r="Y28" s="468"/>
      <c r="Z28" s="468"/>
      <c r="AA28" s="473"/>
      <c r="AB28" s="473">
        <v>2.5</v>
      </c>
      <c r="AC28" s="473"/>
      <c r="AD28" s="473">
        <v>4</v>
      </c>
      <c r="AE28" s="473">
        <v>4</v>
      </c>
      <c r="AF28" s="473"/>
      <c r="AG28" s="473"/>
    </row>
    <row r="29" spans="1:33" x14ac:dyDescent="0.25">
      <c r="A29" s="462"/>
      <c r="B29" s="462"/>
      <c r="C29" s="462"/>
      <c r="D29" s="468"/>
      <c r="E29" s="462"/>
      <c r="F29" s="468"/>
      <c r="G29" s="252"/>
      <c r="H29" s="468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  <c r="V29" s="462"/>
      <c r="W29" s="468"/>
      <c r="X29" s="468"/>
      <c r="Y29" s="468"/>
      <c r="Z29" s="468"/>
      <c r="AA29" s="508"/>
      <c r="AB29" s="508"/>
      <c r="AC29" s="508"/>
      <c r="AD29" s="508"/>
      <c r="AE29" s="508"/>
      <c r="AF29" s="508"/>
      <c r="AG29" s="252"/>
    </row>
    <row r="30" spans="1:33" x14ac:dyDescent="0.25">
      <c r="A30" s="462"/>
      <c r="B30" s="462"/>
      <c r="C30" s="507"/>
      <c r="D30" s="468"/>
      <c r="E30" s="462"/>
      <c r="F30" s="468"/>
      <c r="G30" s="252"/>
      <c r="H30" s="468"/>
      <c r="I30" s="1"/>
      <c r="J30" s="1"/>
      <c r="K30" s="1"/>
      <c r="L30" s="1"/>
      <c r="M30" s="1"/>
      <c r="N30" s="1"/>
      <c r="O30" s="462"/>
      <c r="P30" s="462"/>
      <c r="Q30" s="462"/>
      <c r="R30" s="462"/>
      <c r="S30" s="462"/>
      <c r="T30" s="462"/>
      <c r="U30" s="462"/>
      <c r="V30" s="462"/>
      <c r="W30" s="468"/>
      <c r="X30" s="468"/>
      <c r="Y30" s="468"/>
      <c r="Z30" s="468"/>
      <c r="AA30" s="508"/>
      <c r="AB30" s="508"/>
      <c r="AC30" s="508"/>
      <c r="AD30" s="508"/>
      <c r="AE30" s="509"/>
      <c r="AF30" s="509"/>
      <c r="AG30" s="86"/>
    </row>
    <row r="31" spans="1:33" x14ac:dyDescent="0.25">
      <c r="A31" s="510" t="s">
        <v>181</v>
      </c>
      <c r="B31" s="462"/>
      <c r="C31" s="462"/>
      <c r="D31" s="468"/>
      <c r="E31" s="462"/>
      <c r="F31" s="468"/>
      <c r="G31" s="547"/>
      <c r="H31" s="547"/>
      <c r="I31" s="547"/>
      <c r="J31" s="547"/>
      <c r="K31" s="547"/>
      <c r="L31" s="547"/>
      <c r="M31" s="547"/>
      <c r="N31" s="1"/>
      <c r="O31" s="462"/>
      <c r="P31" s="462"/>
      <c r="Q31" s="462"/>
      <c r="R31" s="462"/>
      <c r="S31" s="462"/>
      <c r="T31" s="462"/>
      <c r="U31" s="462"/>
      <c r="V31" s="462"/>
      <c r="W31" s="468"/>
      <c r="X31" s="468"/>
      <c r="Y31" s="468"/>
      <c r="Z31" s="468"/>
      <c r="AA31" s="508"/>
      <c r="AB31" s="508"/>
      <c r="AC31" s="508"/>
      <c r="AD31" s="508"/>
      <c r="AE31" s="508"/>
      <c r="AF31" s="508"/>
      <c r="AG31" s="252"/>
    </row>
    <row r="32" spans="1:33" x14ac:dyDescent="0.25">
      <c r="A32" s="511">
        <f ca="1">TODAY()</f>
        <v>44778</v>
      </c>
      <c r="B32" s="462"/>
      <c r="C32" s="462"/>
      <c r="D32" s="472"/>
      <c r="E32" s="462"/>
      <c r="F32" s="512"/>
      <c r="G32" s="513"/>
      <c r="H32" s="512"/>
      <c r="I32" s="462"/>
      <c r="J32" s="462"/>
      <c r="K32" s="462"/>
      <c r="L32" s="462"/>
      <c r="M32" s="462"/>
      <c r="N32" s="462"/>
      <c r="O32" s="462"/>
      <c r="P32" s="462"/>
      <c r="Q32" s="462"/>
      <c r="R32" s="462"/>
      <c r="S32" s="462"/>
      <c r="T32" s="462"/>
      <c r="U32" s="512"/>
      <c r="V32" s="512"/>
      <c r="W32" s="512"/>
      <c r="X32" s="512"/>
      <c r="Y32" s="512"/>
      <c r="Z32" s="512"/>
      <c r="AA32" s="508"/>
      <c r="AB32" s="508"/>
      <c r="AC32" s="508"/>
      <c r="AD32" s="508"/>
      <c r="AE32" s="508"/>
      <c r="AF32" s="508"/>
      <c r="AG32" s="252"/>
    </row>
    <row r="33" spans="1:33" x14ac:dyDescent="0.25">
      <c r="A33" s="507">
        <f ca="1">411+A36</f>
        <v>3780</v>
      </c>
      <c r="B33" s="462"/>
      <c r="C33" s="462"/>
      <c r="D33" s="468"/>
      <c r="E33" s="462"/>
      <c r="F33" s="512"/>
      <c r="G33" s="513"/>
      <c r="H33" s="512"/>
      <c r="I33" s="462"/>
      <c r="J33" s="462"/>
      <c r="K33" s="462"/>
      <c r="L33" s="462"/>
      <c r="M33" s="462"/>
      <c r="N33" s="462"/>
      <c r="O33" s="462"/>
      <c r="P33" s="462"/>
      <c r="Q33" s="462"/>
      <c r="R33" s="462"/>
      <c r="S33" s="462"/>
      <c r="T33" s="462"/>
      <c r="U33" s="462"/>
      <c r="V33" s="512"/>
      <c r="W33" s="512"/>
      <c r="X33" s="512"/>
      <c r="Y33" s="512"/>
      <c r="Z33" s="512"/>
      <c r="AA33" s="514"/>
      <c r="AB33" s="514"/>
      <c r="AC33" s="508"/>
      <c r="AD33" s="508"/>
      <c r="AE33" s="508"/>
      <c r="AF33" s="508"/>
      <c r="AG33" s="252"/>
    </row>
    <row r="34" spans="1:33" x14ac:dyDescent="0.25">
      <c r="A34" s="462"/>
      <c r="B34" s="462"/>
      <c r="C34" s="462"/>
      <c r="D34" s="468"/>
      <c r="E34" s="462"/>
      <c r="F34" s="468"/>
      <c r="G34" s="252"/>
      <c r="H34" s="468"/>
      <c r="I34" s="462"/>
      <c r="J34" s="462"/>
      <c r="K34" s="462"/>
      <c r="L34" s="462"/>
      <c r="M34" s="462"/>
      <c r="N34" s="462"/>
      <c r="O34" s="462"/>
      <c r="P34" s="462"/>
      <c r="Q34" s="462"/>
      <c r="R34" s="462"/>
      <c r="S34" s="462"/>
      <c r="T34" s="462"/>
      <c r="U34" s="462"/>
      <c r="V34" s="462"/>
      <c r="W34" s="468"/>
      <c r="X34" s="468"/>
      <c r="Y34" s="468"/>
      <c r="Z34" s="468"/>
      <c r="AA34" s="508"/>
      <c r="AB34" s="508"/>
      <c r="AC34" s="508"/>
      <c r="AD34" s="508"/>
      <c r="AE34" s="508"/>
      <c r="AF34" s="508"/>
      <c r="AG34" s="252"/>
    </row>
    <row r="35" spans="1:33" x14ac:dyDescent="0.25">
      <c r="A35" s="515">
        <v>41409</v>
      </c>
      <c r="B35" s="462"/>
      <c r="C35" s="462"/>
      <c r="D35" s="468"/>
      <c r="E35" s="462"/>
      <c r="F35" s="468"/>
      <c r="G35" s="252"/>
      <c r="H35" s="468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8"/>
      <c r="X35" s="468"/>
      <c r="Y35" s="468"/>
      <c r="Z35" s="468"/>
      <c r="AA35" s="508"/>
      <c r="AB35" s="508"/>
      <c r="AC35" s="508"/>
      <c r="AD35" s="508"/>
      <c r="AE35" s="508"/>
      <c r="AF35" s="508"/>
      <c r="AG35" s="252"/>
    </row>
    <row r="36" spans="1:33" x14ac:dyDescent="0.25">
      <c r="A36" s="515">
        <f ca="1">A32-A35</f>
        <v>3369</v>
      </c>
      <c r="B36" s="462"/>
      <c r="C36" s="507"/>
      <c r="D36" s="468"/>
      <c r="E36" s="462"/>
      <c r="F36" s="516"/>
      <c r="G36" s="252"/>
      <c r="H36" s="468"/>
      <c r="I36" s="462"/>
      <c r="J36" s="462"/>
      <c r="K36" s="462"/>
      <c r="L36" s="462"/>
      <c r="M36" s="462"/>
      <c r="N36" s="462"/>
      <c r="O36" s="462"/>
      <c r="P36" s="462"/>
      <c r="Q36" s="462"/>
      <c r="R36" s="462"/>
      <c r="S36" s="462"/>
      <c r="T36" s="462"/>
      <c r="U36" s="462"/>
      <c r="V36" s="462"/>
      <c r="W36" s="468"/>
      <c r="X36" s="468"/>
      <c r="Y36" s="468"/>
      <c r="Z36" s="468"/>
      <c r="AA36" s="508"/>
      <c r="AB36" s="508"/>
      <c r="AC36" s="508"/>
      <c r="AD36" s="508"/>
      <c r="AE36" s="508"/>
      <c r="AF36" s="508"/>
      <c r="AG36" s="252"/>
    </row>
  </sheetData>
  <mergeCells count="1">
    <mergeCell ref="G31:M31"/>
  </mergeCells>
  <conditionalFormatting sqref="E3 E20:E28 E7:E8 E12:E17">
    <cfRule type="cellIs" dxfId="79" priority="1" stopIfTrue="1" operator="lessThan">
      <formula>1</formula>
    </cfRule>
  </conditionalFormatting>
  <conditionalFormatting sqref="E3 E20:E28 E7:E8 E12:E17">
    <cfRule type="cellIs" dxfId="78" priority="2" stopIfTrue="1" operator="between">
      <formula>1</formula>
      <formula>50</formula>
    </cfRule>
  </conditionalFormatting>
  <conditionalFormatting sqref="E3 E20:E28 E7:E8 E12:E17">
    <cfRule type="cellIs" dxfId="77" priority="3" stopIfTrue="1" operator="greaterThan">
      <formula>50</formula>
    </cfRule>
  </conditionalFormatting>
  <conditionalFormatting sqref="AA3:AF3 AA20:AF28 AA7:AF8 AA12:AF17">
    <cfRule type="cellIs" dxfId="76" priority="4" stopIfTrue="1" operator="between">
      <formula>4</formula>
      <formula>5</formula>
    </cfRule>
  </conditionalFormatting>
  <conditionalFormatting sqref="AA3:AF3 AA20:AF28 AA7:AF8 AA12:AF17">
    <cfRule type="cellIs" dxfId="75" priority="5" stopIfTrue="1" operator="lessThan">
      <formula>4</formula>
    </cfRule>
  </conditionalFormatting>
  <conditionalFormatting sqref="AA3:AF3 AA20:AF28 AA7:AF8 AA12:AF17">
    <cfRule type="cellIs" dxfId="74" priority="6" stopIfTrue="1" operator="greaterThan">
      <formula>5</formula>
    </cfRule>
  </conditionalFormatting>
  <conditionalFormatting sqref="W20:X28 W3:X3 W7:X8 W12:X1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V28 I3:V3 I7:V8 I12:V17">
    <cfRule type="colorScale" priority="8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27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113" t="s">
        <v>84</v>
      </c>
      <c r="B1" s="113" t="s">
        <v>37</v>
      </c>
      <c r="C1" s="113" t="s">
        <v>168</v>
      </c>
      <c r="D1" s="93" t="s">
        <v>273</v>
      </c>
      <c r="E1" s="93" t="s">
        <v>274</v>
      </c>
      <c r="F1" s="93" t="s">
        <v>275</v>
      </c>
      <c r="M1" s="184" t="str">
        <f>PLANTILLA!D3</f>
        <v>Jugador</v>
      </c>
      <c r="N1" s="184" t="s">
        <v>90</v>
      </c>
      <c r="O1" s="184" t="str">
        <f>PLANTILLA!AC3</f>
        <v>An</v>
      </c>
      <c r="P1" s="184" t="str">
        <f>PLANTILLA!AD3</f>
        <v>PA</v>
      </c>
      <c r="Q1" s="184" t="str">
        <f>PLANTILLA!AH3</f>
        <v>TL</v>
      </c>
      <c r="R1" s="184" t="str">
        <f>PLANTILLA!AJ3</f>
        <v>PEN</v>
      </c>
      <c r="U1" s="548" t="s">
        <v>276</v>
      </c>
      <c r="V1" s="548"/>
      <c r="W1" s="548"/>
      <c r="X1" s="548"/>
      <c r="Y1" s="548"/>
    </row>
    <row r="2" spans="1:25" x14ac:dyDescent="0.25">
      <c r="A2" t="str">
        <f>PLANTILLA!D5</f>
        <v>I. Shirazi</v>
      </c>
      <c r="B2" s="71">
        <f ca="1">PLANTILLA!Y5++PLANTILLA!J5+PLANTILLA!P5</f>
        <v>5.5030525171983848</v>
      </c>
      <c r="C2" s="71">
        <f ca="1">PLANTILLA!AB5+PLANTILLA!J5+PLANTILLA!P5</f>
        <v>0.5030525171983854</v>
      </c>
      <c r="D2" s="106">
        <f t="shared" ref="D2:D3" ca="1" si="0">(C2*2+B2)/8</f>
        <v>0.81364469394939443</v>
      </c>
      <c r="E2" s="71">
        <f ca="1">D2*PLANTILLA!R5</f>
        <v>0.75328861173163542</v>
      </c>
      <c r="F2" s="71">
        <f ca="1">D2*PLANTILLA!S5</f>
        <v>0.81306331145718869</v>
      </c>
      <c r="M2" t="str">
        <f>PLANTILLA!D5</f>
        <v>I. Shirazi</v>
      </c>
      <c r="N2" s="47">
        <f>PLANTILLA!J5</f>
        <v>0.23478834540757498</v>
      </c>
      <c r="O2" s="71">
        <f>PLANTILLA!AC5</f>
        <v>0</v>
      </c>
      <c r="P2" s="71">
        <f>PLANTILLA!AD5</f>
        <v>12</v>
      </c>
      <c r="Q2" s="71">
        <f ca="1">PLANTILLA!AH5</f>
        <v>0.10345675120365749</v>
      </c>
      <c r="R2" s="47">
        <f ca="1">PLANTILLA!AJ5</f>
        <v>8.2426249697528728</v>
      </c>
      <c r="U2" t="str">
        <f>M11</f>
        <v>Dusty Ware</v>
      </c>
      <c r="V2" s="47">
        <f>N11</f>
        <v>1.3333333333333333</v>
      </c>
      <c r="W2" s="47">
        <f>O11</f>
        <v>9</v>
      </c>
      <c r="X2" s="47">
        <f>P11</f>
        <v>18.25</v>
      </c>
      <c r="Y2" s="114"/>
    </row>
    <row r="3" spans="1:25" x14ac:dyDescent="0.25">
      <c r="A3" t="str">
        <f>PLANTILLA!D4</f>
        <v>L. Guangwei</v>
      </c>
      <c r="B3" s="71">
        <f ca="1">PLANTILLA!Y4++PLANTILLA!J4+PLANTILLA!P4</f>
        <v>11.777777777777779</v>
      </c>
      <c r="C3" s="71">
        <f ca="1">PLANTILLA!AB4+PLANTILLA!J4+PLANTILLA!P4</f>
        <v>7.333333333333333</v>
      </c>
      <c r="D3" s="106">
        <f t="shared" ca="1" si="0"/>
        <v>3.3055555555555554</v>
      </c>
      <c r="E3" s="71">
        <f ca="1">D3*PLANTILLA!R4</f>
        <v>2.7937043420192631</v>
      </c>
      <c r="F3" s="71">
        <f ca="1">D3*PLANTILLA!S4</f>
        <v>3.0577984192617249</v>
      </c>
      <c r="M3" t="str">
        <f>PLANTILLA!D4</f>
        <v>L. Guangwei</v>
      </c>
      <c r="N3" s="47">
        <f>PLANTILLA!J4</f>
        <v>1.3333333333333333</v>
      </c>
      <c r="O3" s="71">
        <f>PLANTILLA!AC4</f>
        <v>5.6</v>
      </c>
      <c r="P3" s="71">
        <f>PLANTILLA!AD4</f>
        <v>22</v>
      </c>
      <c r="Q3" s="71">
        <f ca="1">PLANTILLA!AH4</f>
        <v>16.017926871784663</v>
      </c>
      <c r="R3" s="47">
        <f ca="1">PLANTILLA!AJ4</f>
        <v>16.407261265129598</v>
      </c>
      <c r="U3" t="str">
        <f>M15</f>
        <v>I. Stone</v>
      </c>
      <c r="V3" s="47">
        <f>N15</f>
        <v>1.2723233459190999</v>
      </c>
      <c r="W3" s="47">
        <f>O15</f>
        <v>10.199999999999999</v>
      </c>
      <c r="X3" s="47">
        <f>P15</f>
        <v>19</v>
      </c>
      <c r="Y3" s="114"/>
    </row>
    <row r="4" spans="1:25" x14ac:dyDescent="0.25">
      <c r="A4" t="str">
        <f>PLANTILLA!D6</f>
        <v>V. Gardner</v>
      </c>
      <c r="B4" s="71">
        <f ca="1">PLANTILLA!Y6++PLANTILLA!J6+PLANTILLA!P6</f>
        <v>17.272323345919101</v>
      </c>
      <c r="C4" s="71">
        <f ca="1">PLANTILLA!AB6+PLANTILLA!J6+PLANTILLA!P6</f>
        <v>7.2723233459190997</v>
      </c>
      <c r="D4" s="106">
        <f t="shared" ref="D4:D17" ca="1" si="1">(C4*2+B4)/8</f>
        <v>3.9771212547196626</v>
      </c>
      <c r="E4" s="71">
        <f ca="1">D4*PLANTILLA!R6</f>
        <v>3.9771212547196626</v>
      </c>
      <c r="F4" s="71">
        <f ca="1">D4*PLANTILLA!S6</f>
        <v>3.9771212547196626</v>
      </c>
      <c r="M4" t="str">
        <f>PLANTILLA!D6</f>
        <v>V. Gardner</v>
      </c>
      <c r="N4" s="47">
        <f>PLANTILLA!J6</f>
        <v>1.2723233459190999</v>
      </c>
      <c r="O4" s="71">
        <f>PLANTILLA!AC6</f>
        <v>7.333333333333333</v>
      </c>
      <c r="P4" s="71">
        <f>PLANTILLA!AD6</f>
        <v>19</v>
      </c>
      <c r="Q4" s="71">
        <f ca="1">PLANTILLA!AH6</f>
        <v>20.045167927814546</v>
      </c>
      <c r="R4" s="47">
        <f ca="1">PLANTILLA!AJ6</f>
        <v>17.772323345919101</v>
      </c>
      <c r="U4" t="str">
        <f>M14</f>
        <v>I. Vanags</v>
      </c>
      <c r="V4" s="47">
        <f>N14</f>
        <v>1.2723233459190999</v>
      </c>
      <c r="W4" s="47">
        <f>O14</f>
        <v>8.375</v>
      </c>
      <c r="X4" s="47">
        <f>P14</f>
        <v>19.399999999999999</v>
      </c>
      <c r="Y4" s="114"/>
    </row>
    <row r="5" spans="1:25" x14ac:dyDescent="0.25">
      <c r="A5" t="str">
        <f>PLANTILLA!D7</f>
        <v>S. Swärdborn</v>
      </c>
      <c r="B5" s="71">
        <f ca="1">PLANTILLA!Y7++PLANTILLA!J7+PLANTILLA!P7</f>
        <v>17.122323345919099</v>
      </c>
      <c r="C5" s="71">
        <f ca="1">PLANTILLA!AB7+PLANTILLA!J7+PLANTILLA!P7</f>
        <v>5.2723233459190997</v>
      </c>
      <c r="D5" s="106">
        <f t="shared" ca="1" si="1"/>
        <v>3.4583712547196623</v>
      </c>
      <c r="E5" s="71">
        <f ca="1">D5*PLANTILLA!R7</f>
        <v>3.2018296200950815</v>
      </c>
      <c r="F5" s="71">
        <f ca="1">D5*PLANTILLA!S7</f>
        <v>3.4559001066694219</v>
      </c>
      <c r="M5" t="str">
        <f>PLANTILLA!D7</f>
        <v>S. Swärdborn</v>
      </c>
      <c r="N5" s="47">
        <f>PLANTILLA!J7</f>
        <v>1.2723233459190999</v>
      </c>
      <c r="O5" s="71">
        <f>PLANTILLA!AC7</f>
        <v>7.916666666666667</v>
      </c>
      <c r="P5" s="71">
        <f>PLANTILLA!AD7</f>
        <v>18.75</v>
      </c>
      <c r="Q5" s="71">
        <f ca="1">PLANTILLA!AH7</f>
        <v>19.327421570447836</v>
      </c>
      <c r="R5" s="47">
        <f ca="1">PLANTILLA!AJ7</f>
        <v>16.453974173308868</v>
      </c>
      <c r="U5" t="str">
        <f t="shared" ref="U5:X6" si="2">M12</f>
        <v>P. Tuderek</v>
      </c>
      <c r="V5" s="47">
        <f t="shared" si="2"/>
        <v>1.2041199826559248</v>
      </c>
      <c r="W5" s="47">
        <f t="shared" si="2"/>
        <v>8</v>
      </c>
      <c r="X5" s="47">
        <f t="shared" si="2"/>
        <v>20.166666666666668</v>
      </c>
      <c r="Y5" s="114"/>
    </row>
    <row r="6" spans="1:25" x14ac:dyDescent="0.25">
      <c r="A6" t="str">
        <f>PLANTILLA!D8</f>
        <v>A. Grimaud</v>
      </c>
      <c r="B6" s="71">
        <f ca="1">PLANTILLA!Y8++PLANTILLA!J8+PLANTILLA!P8</f>
        <v>17.1723233459191</v>
      </c>
      <c r="C6" s="71">
        <f ca="1">PLANTILLA!AB8+PLANTILLA!J8+PLANTILLA!P8</f>
        <v>5.2723233459190997</v>
      </c>
      <c r="D6" s="106">
        <f t="shared" ca="1" si="1"/>
        <v>3.4646212547196624</v>
      </c>
      <c r="E6" s="71">
        <f ca="1">D6*PLANTILLA!R8</f>
        <v>3.2076159957186601</v>
      </c>
      <c r="F6" s="71">
        <f ca="1">D6*PLANTILLA!S8</f>
        <v>3.4621456407881799</v>
      </c>
      <c r="M6" t="str">
        <f>PLANTILLA!D8</f>
        <v>A. Grimaud</v>
      </c>
      <c r="N6" s="47">
        <f>PLANTILLA!J8</f>
        <v>1.2723233459190999</v>
      </c>
      <c r="O6" s="71">
        <f>PLANTILLA!AC8</f>
        <v>7.25</v>
      </c>
      <c r="P6" s="71">
        <f>PLANTILLA!AD8</f>
        <v>18.2</v>
      </c>
      <c r="Q6" s="71">
        <f ca="1">PLANTILLA!AH8</f>
        <v>18.022786746518353</v>
      </c>
      <c r="R6" s="47">
        <f ca="1">PLANTILLA!AJ8</f>
        <v>15.912369414941924</v>
      </c>
      <c r="U6" t="str">
        <f t="shared" si="2"/>
        <v>T. McPhail</v>
      </c>
      <c r="V6" s="47">
        <f t="shared" si="2"/>
        <v>1.2723233459190999</v>
      </c>
      <c r="W6" s="47">
        <f t="shared" si="2"/>
        <v>9</v>
      </c>
      <c r="X6" s="47">
        <f t="shared" si="2"/>
        <v>16</v>
      </c>
      <c r="Y6" s="114"/>
    </row>
    <row r="7" spans="1:25" x14ac:dyDescent="0.25">
      <c r="A7" t="str">
        <f>PLANTILLA!D9</f>
        <v>E. Deus</v>
      </c>
      <c r="B7" s="71">
        <f ca="1">PLANTILLA!Y9++PLANTILLA!J9+PLANTILLA!P9</f>
        <v>16.304119982655926</v>
      </c>
      <c r="C7" s="71">
        <f ca="1">PLANTILLA!AB9+PLANTILLA!J9+PLANTILLA!P9</f>
        <v>8.204119982655925</v>
      </c>
      <c r="D7" s="106">
        <f t="shared" ca="1" si="1"/>
        <v>4.0890449934959721</v>
      </c>
      <c r="E7" s="71">
        <f ca="1">D7*PLANTILLA!R9</f>
        <v>4.0890449934959721</v>
      </c>
      <c r="F7" s="71">
        <f ca="1">D7*PLANTILLA!S9</f>
        <v>4.0890449934959721</v>
      </c>
      <c r="H7" s="47"/>
      <c r="M7" t="str">
        <f>PLANTILLA!D9</f>
        <v>E. Deus</v>
      </c>
      <c r="N7" s="47">
        <f>PLANTILLA!J9</f>
        <v>1.2041199826559248</v>
      </c>
      <c r="O7" s="71">
        <f>PLANTILLA!AC9</f>
        <v>6.4</v>
      </c>
      <c r="P7" s="71">
        <f>PLANTILLA!AD9</f>
        <v>19.2</v>
      </c>
      <c r="Q7" s="71">
        <f ca="1">PLANTILLA!AH9</f>
        <v>18.455105161669593</v>
      </c>
      <c r="R7" s="47">
        <f ca="1">PLANTILLA!AJ9</f>
        <v>17.564119982655924</v>
      </c>
      <c r="U7" t="str">
        <f>M17</f>
        <v>M. Bondarewski</v>
      </c>
      <c r="V7" s="47">
        <f>N17</f>
        <v>1.3333333333333333</v>
      </c>
      <c r="W7" s="47">
        <f>O17</f>
        <v>9.125</v>
      </c>
      <c r="X7" s="47">
        <f>P17</f>
        <v>20.166666666666668</v>
      </c>
      <c r="Y7" s="114"/>
    </row>
    <row r="8" spans="1:25" x14ac:dyDescent="0.25">
      <c r="A8" t="str">
        <f>PLANTILLA!D10</f>
        <v>K. Polyukhov</v>
      </c>
      <c r="B8" s="71">
        <f ca="1">PLANTILLA!Y10++PLANTILLA!J10+PLANTILLA!P10</f>
        <v>16.745480189555366</v>
      </c>
      <c r="C8" s="71">
        <f ca="1">PLANTILLA!AB10+PLANTILLA!J10+PLANTILLA!P10</f>
        <v>11.154571098646272</v>
      </c>
      <c r="D8" s="106">
        <f t="shared" ca="1" si="1"/>
        <v>4.8818277983559888</v>
      </c>
      <c r="E8" s="71">
        <f ca="1">D8*PLANTILLA!R10</f>
        <v>4.8818277983559888</v>
      </c>
      <c r="F8" s="71">
        <f ca="1">D8*PLANTILLA!S10</f>
        <v>4.8818277983559888</v>
      </c>
      <c r="M8" t="str">
        <f>PLANTILLA!D10</f>
        <v>K. Polyukhov</v>
      </c>
      <c r="N8" s="47">
        <f>PLANTILLA!J10</f>
        <v>1.3333333333333333</v>
      </c>
      <c r="O8" s="71">
        <f>PLANTILLA!AC10</f>
        <v>9</v>
      </c>
      <c r="P8" s="71">
        <f>PLANTILLA!AD10</f>
        <v>16</v>
      </c>
      <c r="Q8" s="71">
        <f ca="1">PLANTILLA!AH10</f>
        <v>20.901602128008257</v>
      </c>
      <c r="R8" s="47">
        <f ca="1">PLANTILLA!AJ10</f>
        <v>16.054571098646271</v>
      </c>
      <c r="U8" t="str">
        <f>M8</f>
        <v>K. Polyukhov</v>
      </c>
      <c r="V8" s="47">
        <f>N8</f>
        <v>1.3333333333333333</v>
      </c>
      <c r="W8" s="47">
        <f>O8</f>
        <v>9</v>
      </c>
      <c r="X8" s="47">
        <f>P8</f>
        <v>16</v>
      </c>
      <c r="Y8" s="114"/>
    </row>
    <row r="9" spans="1:25" x14ac:dyDescent="0.25">
      <c r="A9" t="str">
        <f>PLANTILLA!D11</f>
        <v>S. Kariuki</v>
      </c>
      <c r="B9" s="71">
        <f ca="1">PLANTILLA!Y11++PLANTILLA!J11+PLANTILLA!P11</f>
        <v>14.867135105597226</v>
      </c>
      <c r="C9" s="71">
        <f ca="1">PLANTILLA!AB11+PLANTILLA!J11+PLANTILLA!P11</f>
        <v>3.8671351055972254</v>
      </c>
      <c r="D9" s="106">
        <f t="shared" ca="1" si="1"/>
        <v>2.8251756645989596</v>
      </c>
      <c r="E9" s="71">
        <f ca="1">D9*PLANTILLA!R11</f>
        <v>2.6156044156739933</v>
      </c>
      <c r="F9" s="71">
        <f ca="1">D9*PLANTILLA!S11</f>
        <v>2.8231569607580598</v>
      </c>
      <c r="M9" t="str">
        <f>PLANTILLA!D11</f>
        <v>S. Kariuki</v>
      </c>
      <c r="N9" s="47">
        <f>PLANTILLA!J11</f>
        <v>1.3333333333333333</v>
      </c>
      <c r="O9" s="71">
        <f>PLANTILLA!AC11</f>
        <v>7</v>
      </c>
      <c r="P9" s="71">
        <f>PLANTILLA!AD11</f>
        <v>19</v>
      </c>
      <c r="Q9" s="71">
        <f ca="1">PLANTILLA!AH11</f>
        <v>17.216891817262631</v>
      </c>
      <c r="R9" s="47">
        <f ca="1">PLANTILLA!AJ11</f>
        <v>15.986260746250146</v>
      </c>
      <c r="U9" t="str">
        <f>M10</f>
        <v>R. Forsyth</v>
      </c>
      <c r="V9" s="47">
        <f>N10</f>
        <v>1.2723233459190999</v>
      </c>
      <c r="W9" s="47">
        <f>O10</f>
        <v>7.5</v>
      </c>
      <c r="X9" s="47">
        <f>P10</f>
        <v>19</v>
      </c>
      <c r="Y9" s="114"/>
    </row>
    <row r="10" spans="1:25" x14ac:dyDescent="0.25">
      <c r="A10" t="str">
        <f>PLANTILLA!D13</f>
        <v>R. Forsyth</v>
      </c>
      <c r="B10" s="71">
        <f ca="1">PLANTILLA!Y13++PLANTILLA!J13+PLANTILLA!P13</f>
        <v>14.04155411514987</v>
      </c>
      <c r="C10" s="71">
        <f ca="1">PLANTILLA!AB13+PLANTILLA!J13+PLANTILLA!P13</f>
        <v>6.2723233459190997</v>
      </c>
      <c r="D10" s="106">
        <f t="shared" ca="1" si="1"/>
        <v>3.3232751008735084</v>
      </c>
      <c r="E10" s="71">
        <f ca="1">D10*PLANTILLA!R13</f>
        <v>3.0767548854623477</v>
      </c>
      <c r="F10" s="71">
        <f ca="1">D10*PLANTILLA!S13</f>
        <v>3.3209004845639583</v>
      </c>
      <c r="M10" t="str">
        <f>PLANTILLA!D13</f>
        <v>R. Forsyth</v>
      </c>
      <c r="N10" s="47">
        <f>PLANTILLA!J13</f>
        <v>1.2723233459190999</v>
      </c>
      <c r="O10" s="71">
        <f>PLANTILLA!AC13</f>
        <v>7.5</v>
      </c>
      <c r="P10" s="71">
        <f>PLANTILLA!AD13</f>
        <v>19</v>
      </c>
      <c r="Q10" s="71">
        <f ca="1">PLANTILLA!AH13</f>
        <v>18.814362931823879</v>
      </c>
      <c r="R10" s="47">
        <f ca="1">PLANTILLA!AJ13</f>
        <v>16.500265178297497</v>
      </c>
      <c r="U10" t="str">
        <f>M4</f>
        <v>V. Gardner</v>
      </c>
      <c r="V10" s="47">
        <f>N4</f>
        <v>1.2723233459190999</v>
      </c>
      <c r="W10" s="47">
        <f>O4</f>
        <v>7.333333333333333</v>
      </c>
      <c r="X10" s="47">
        <f>P4</f>
        <v>19</v>
      </c>
      <c r="Y10" s="114"/>
    </row>
    <row r="11" spans="1:25" x14ac:dyDescent="0.25">
      <c r="A11" t="str">
        <f>PLANTILLA!D14</f>
        <v>Dusty Ware</v>
      </c>
      <c r="B11" s="71">
        <f ca="1">PLANTILLA!Y14++PLANTILLA!J14+PLANTILLA!P14</f>
        <v>13.717948717948719</v>
      </c>
      <c r="C11" s="71">
        <f ca="1">PLANTILLA!AB14+PLANTILLA!J14+PLANTILLA!P14</f>
        <v>5.333333333333333</v>
      </c>
      <c r="D11" s="106">
        <f t="shared" ca="1" si="1"/>
        <v>3.0480769230769234</v>
      </c>
      <c r="E11" s="71">
        <f ca="1">D11*PLANTILLA!R14</f>
        <v>2.8219708810374886</v>
      </c>
      <c r="F11" s="71">
        <f ca="1">D11*PLANTILLA!S14</f>
        <v>3.0458989471481779</v>
      </c>
      <c r="M11" t="str">
        <f>PLANTILLA!D14</f>
        <v>Dusty Ware</v>
      </c>
      <c r="N11" s="47">
        <f>PLANTILLA!J14</f>
        <v>1.3333333333333333</v>
      </c>
      <c r="O11" s="71">
        <f>PLANTILLA!AC14</f>
        <v>9</v>
      </c>
      <c r="P11" s="71">
        <f>PLANTILLA!AD14</f>
        <v>18.25</v>
      </c>
      <c r="Q11" s="71">
        <f ca="1">PLANTILLA!AH14</f>
        <v>20.862584431624633</v>
      </c>
      <c r="R11" s="47">
        <f ca="1">PLANTILLA!AJ14</f>
        <v>16.487312943449517</v>
      </c>
      <c r="U11" t="str">
        <f>M7</f>
        <v>E. Deus</v>
      </c>
      <c r="V11" s="47">
        <f>N7</f>
        <v>1.2041199826559248</v>
      </c>
      <c r="W11" s="47">
        <f>O7</f>
        <v>6.4</v>
      </c>
      <c r="X11" s="47">
        <f>P7</f>
        <v>19.2</v>
      </c>
      <c r="Y11" s="114"/>
    </row>
    <row r="12" spans="1:25" x14ac:dyDescent="0.25">
      <c r="A12" t="str">
        <f>PLANTILLA!D15</f>
        <v>P. Tuderek</v>
      </c>
      <c r="B12" s="71">
        <f ca="1">PLANTILLA!Y15++PLANTILLA!J15+PLANTILLA!P15</f>
        <v>13.511812290348233</v>
      </c>
      <c r="C12" s="71">
        <f ca="1">PLANTILLA!AB15+PLANTILLA!J15+PLANTILLA!P15</f>
        <v>5.204119982655925</v>
      </c>
      <c r="D12" s="106">
        <f t="shared" ca="1" si="1"/>
        <v>2.9900065319575102</v>
      </c>
      <c r="E12" s="71">
        <f ca="1">D12*PLANTILLA!R15</f>
        <v>2.9900065319575102</v>
      </c>
      <c r="F12" s="71">
        <f ca="1">D12*PLANTILLA!S15</f>
        <v>2.9900065319575102</v>
      </c>
      <c r="M12" t="str">
        <f>PLANTILLA!D15</f>
        <v>P. Tuderek</v>
      </c>
      <c r="N12" s="47">
        <f>PLANTILLA!J15</f>
        <v>1.2041199826559248</v>
      </c>
      <c r="O12" s="71">
        <f>PLANTILLA!AC15</f>
        <v>8</v>
      </c>
      <c r="P12" s="71">
        <f>PLANTILLA!AD15</f>
        <v>20.166666666666668</v>
      </c>
      <c r="Q12" s="71">
        <f ca="1">PLANTILLA!AH15</f>
        <v>21.642771828336258</v>
      </c>
      <c r="R12" s="47">
        <f ca="1">PLANTILLA!AJ15</f>
        <v>18.720786649322591</v>
      </c>
      <c r="V12" s="47"/>
      <c r="W12" s="106">
        <f>AVERAGE(W2:W11)</f>
        <v>8.3933333333333344</v>
      </c>
      <c r="X12" s="106">
        <f>AVERAGE(X2:X11)</f>
        <v>18.618333333333332</v>
      </c>
      <c r="Y12" s="185">
        <f>1.66*(W12+1.5)+0.55*(X12+1.5)-7.6</f>
        <v>19.888016666666665</v>
      </c>
    </row>
    <row r="13" spans="1:25" x14ac:dyDescent="0.25">
      <c r="A13" t="str">
        <f>PLANTILLA!D12</f>
        <v>T. McPhail</v>
      </c>
      <c r="B13" s="71">
        <f ca="1">PLANTILLA!Y12++PLANTILLA!J12+PLANTILLA!P12</f>
        <v>14.471489561615364</v>
      </c>
      <c r="C13" s="71">
        <f ca="1">PLANTILLA!AB12+PLANTILLA!J12+PLANTILLA!P12</f>
        <v>6.4714895616153649</v>
      </c>
      <c r="D13" s="106">
        <f t="shared" ca="1" si="1"/>
        <v>3.4268085856057615</v>
      </c>
      <c r="E13" s="71">
        <f ca="1">D13*PLANTILLA!R12</f>
        <v>2.8961818562649193</v>
      </c>
      <c r="F13" s="71">
        <f ca="1">D13*PLANTILLA!S12</f>
        <v>3.1699633238857228</v>
      </c>
      <c r="M13" t="str">
        <f>PLANTILLA!D12</f>
        <v>T. McPhail</v>
      </c>
      <c r="N13" s="47">
        <f>PLANTILLA!J12</f>
        <v>1.2723233459190999</v>
      </c>
      <c r="O13" s="71">
        <f>PLANTILLA!AC12</f>
        <v>9</v>
      </c>
      <c r="P13" s="71">
        <f>PLANTILLA!AD12</f>
        <v>16</v>
      </c>
      <c r="Q13" s="71">
        <f ca="1">PLANTILLA!AH12</f>
        <v>16.389224488289351</v>
      </c>
      <c r="R13" s="47">
        <f ca="1">PLANTILLA!AJ12</f>
        <v>12.991279804514207</v>
      </c>
    </row>
    <row r="14" spans="1:25" x14ac:dyDescent="0.25">
      <c r="A14" t="str">
        <f>PLANTILLA!D16</f>
        <v>I. Vanags</v>
      </c>
      <c r="B14" s="71">
        <f ca="1">PLANTILLA!Y16++PLANTILLA!J16+PLANTILLA!P16</f>
        <v>12.2723233459191</v>
      </c>
      <c r="C14" s="71">
        <f ca="1">PLANTILLA!AB16+PLANTILLA!J16+PLANTILLA!P16</f>
        <v>6.2723233459190997</v>
      </c>
      <c r="D14" s="106">
        <f t="shared" ca="1" si="1"/>
        <v>3.1021212547196626</v>
      </c>
      <c r="E14" s="71">
        <f ca="1">D14*PLANTILLA!R16</f>
        <v>2.0308150663834628</v>
      </c>
      <c r="F14" s="71">
        <f ca="1">D14*PLANTILLA!S16</f>
        <v>2.3420501871267816</v>
      </c>
      <c r="M14" t="str">
        <f>PLANTILLA!D16</f>
        <v>I. Vanags</v>
      </c>
      <c r="N14" s="47">
        <f>PLANTILLA!J16</f>
        <v>1.2723233459190999</v>
      </c>
      <c r="O14" s="71">
        <f>PLANTILLA!AC16</f>
        <v>8.375</v>
      </c>
      <c r="P14" s="71">
        <f>PLANTILLA!AD16</f>
        <v>19.399999999999999</v>
      </c>
      <c r="Q14" s="71">
        <f ca="1">PLANTILLA!AH16</f>
        <v>14.39867187705657</v>
      </c>
      <c r="R14" s="47">
        <f ca="1">PLANTILLA!AJ16</f>
        <v>12.022599015309492</v>
      </c>
    </row>
    <row r="15" spans="1:25" x14ac:dyDescent="0.25">
      <c r="A15" t="str">
        <f>PLANTILLA!D17</f>
        <v>I. Stone</v>
      </c>
      <c r="B15" s="71">
        <f ca="1">PLANTILLA!Y17++PLANTILLA!J17+PLANTILLA!P17</f>
        <v>10.605656679252434</v>
      </c>
      <c r="C15" s="71">
        <f ca="1">PLANTILLA!AB17+PLANTILLA!J17+PLANTILLA!P17</f>
        <v>8.2723233459190997</v>
      </c>
      <c r="D15" s="106">
        <f t="shared" ca="1" si="1"/>
        <v>3.3937879213863291</v>
      </c>
      <c r="E15" s="71">
        <f ca="1">D15*PLANTILLA!R17</f>
        <v>3.1420370719847712</v>
      </c>
      <c r="F15" s="71">
        <f ca="1">D15*PLANTILLA!S17</f>
        <v>3.3913629207755882</v>
      </c>
      <c r="M15" t="str">
        <f>PLANTILLA!D17</f>
        <v>I. Stone</v>
      </c>
      <c r="N15" s="47">
        <f>PLANTILLA!J17</f>
        <v>1.2723233459190999</v>
      </c>
      <c r="O15" s="71">
        <f>PLANTILLA!AC17</f>
        <v>10.199999999999999</v>
      </c>
      <c r="P15" s="71">
        <f>PLANTILLA!AD17</f>
        <v>19</v>
      </c>
      <c r="Q15" s="71">
        <f ca="1">PLANTILLA!AH17</f>
        <v>22.963888619004457</v>
      </c>
      <c r="R15" s="47">
        <f ca="1">PLANTILLA!AJ17</f>
        <v>17.250179459113262</v>
      </c>
    </row>
    <row r="16" spans="1:25" x14ac:dyDescent="0.25">
      <c r="A16" t="str">
        <f>PLANTILLA!D18</f>
        <v>G. Piscaer</v>
      </c>
      <c r="B16" s="71">
        <f ca="1">PLANTILLA!Y18++PLANTILLA!J18+PLANTILLA!P18</f>
        <v>11.833333333333334</v>
      </c>
      <c r="C16" s="71">
        <f ca="1">PLANTILLA!AB18+PLANTILLA!J18+PLANTILLA!P18</f>
        <v>4.333333333333333</v>
      </c>
      <c r="D16" s="106">
        <f t="shared" ca="1" si="1"/>
        <v>2.5625</v>
      </c>
      <c r="E16" s="71">
        <f ca="1">D16*PLANTILLA!R18</f>
        <v>2.3724140056671632</v>
      </c>
      <c r="F16" s="71">
        <f ca="1">D16*PLANTILLA!S18</f>
        <v>2.5606689886908178</v>
      </c>
      <c r="M16" t="str">
        <f>PLANTILLA!D18</f>
        <v>G. Piscaer</v>
      </c>
      <c r="N16" s="47">
        <f>PLANTILLA!J18</f>
        <v>1.3333333333333333</v>
      </c>
      <c r="O16" s="71">
        <f>PLANTILLA!AC18</f>
        <v>9.25</v>
      </c>
      <c r="P16" s="71">
        <f>PLANTILLA!AD18</f>
        <v>18.666666666666668</v>
      </c>
      <c r="Q16" s="71">
        <f ca="1">PLANTILLA!AH18</f>
        <v>21.458966879228122</v>
      </c>
      <c r="R16" s="47">
        <f ca="1">PLANTILLA!AJ18</f>
        <v>16.826780313366122</v>
      </c>
    </row>
    <row r="17" spans="1:18" x14ac:dyDescent="0.25">
      <c r="A17" t="str">
        <f>PLANTILLA!D19</f>
        <v>M. Bondarewski</v>
      </c>
      <c r="B17" s="71">
        <f ca="1">PLANTILLA!Y19++PLANTILLA!J19+PLANTILLA!P19</f>
        <v>10.666666666666668</v>
      </c>
      <c r="C17" s="71">
        <f ca="1">PLANTILLA!AB19+PLANTILLA!J19+PLANTILLA!P19</f>
        <v>6.333333333333333</v>
      </c>
      <c r="D17" s="106">
        <f t="shared" ca="1" si="1"/>
        <v>2.916666666666667</v>
      </c>
      <c r="E17" s="71">
        <f ca="1">D17*PLANTILLA!R19</f>
        <v>2.4650332429581736</v>
      </c>
      <c r="F17" s="71">
        <f ca="1">D17*PLANTILLA!S19</f>
        <v>2.6980574287603463</v>
      </c>
      <c r="M17" t="str">
        <f>PLANTILLA!D19</f>
        <v>M. Bondarewski</v>
      </c>
      <c r="N17" s="47">
        <f>PLANTILLA!J19</f>
        <v>1.3333333333333333</v>
      </c>
      <c r="O17" s="71">
        <f>PLANTILLA!AC19</f>
        <v>9.125</v>
      </c>
      <c r="P17" s="71">
        <f>PLANTILLA!AD19</f>
        <v>20.166666666666668</v>
      </c>
      <c r="Q17" s="71">
        <f ca="1">PLANTILLA!AH19</f>
        <v>20.111149786477327</v>
      </c>
      <c r="R17" s="47">
        <f ca="1">PLANTILLA!AJ19</f>
        <v>16.216397262603412</v>
      </c>
    </row>
    <row r="18" spans="1:18" x14ac:dyDescent="0.25">
      <c r="B18" s="71"/>
      <c r="C18" s="71"/>
      <c r="D18" s="106"/>
      <c r="E18" s="71"/>
      <c r="F18" s="71"/>
      <c r="N18" s="47"/>
      <c r="O18" s="71"/>
      <c r="P18" s="71"/>
      <c r="Q18" s="71"/>
      <c r="R18" s="47"/>
    </row>
    <row r="19" spans="1:18" x14ac:dyDescent="0.25">
      <c r="B19" s="71"/>
      <c r="C19" s="71"/>
      <c r="D19" s="106"/>
      <c r="E19" s="71"/>
      <c r="F19" s="71"/>
      <c r="N19" s="47"/>
      <c r="O19" s="71"/>
      <c r="P19" s="71"/>
      <c r="Q19" s="71"/>
      <c r="R19" s="47"/>
    </row>
    <row r="20" spans="1:18" x14ac:dyDescent="0.25">
      <c r="B20" s="71"/>
      <c r="C20" s="71"/>
      <c r="D20" s="106"/>
      <c r="E20" s="71"/>
      <c r="F20" s="71"/>
      <c r="N20" s="47"/>
      <c r="O20" s="71"/>
      <c r="P20" s="71"/>
      <c r="Q20" s="71"/>
      <c r="R20" s="47"/>
    </row>
    <row r="21" spans="1:18" x14ac:dyDescent="0.25">
      <c r="B21" s="71"/>
      <c r="C21" s="71"/>
      <c r="D21" s="106"/>
      <c r="E21" s="71"/>
      <c r="F21" s="71"/>
      <c r="N21" s="47"/>
      <c r="O21" s="71"/>
      <c r="P21" s="71"/>
      <c r="Q21" s="71"/>
      <c r="R21" s="47"/>
    </row>
    <row r="22" spans="1:18" x14ac:dyDescent="0.25">
      <c r="B22" s="71"/>
      <c r="C22" s="71"/>
      <c r="D22" s="106"/>
      <c r="E22" s="71"/>
      <c r="F22" s="71"/>
      <c r="N22" s="47"/>
      <c r="O22" s="71"/>
      <c r="P22" s="71"/>
      <c r="Q22" s="71"/>
      <c r="R22" s="47"/>
    </row>
    <row r="23" spans="1:18" x14ac:dyDescent="0.25">
      <c r="B23" s="71"/>
      <c r="C23" s="71"/>
      <c r="D23" s="106"/>
      <c r="E23" s="71"/>
      <c r="F23" s="71"/>
      <c r="N23" s="47"/>
      <c r="O23" s="71"/>
      <c r="P23" s="71"/>
      <c r="Q23" s="71"/>
      <c r="R23" s="47"/>
    </row>
    <row r="24" spans="1:18" x14ac:dyDescent="0.25">
      <c r="B24" s="71"/>
      <c r="C24" s="71"/>
      <c r="D24" s="106"/>
      <c r="E24" s="71"/>
      <c r="F24" s="71"/>
      <c r="Q24" s="71"/>
    </row>
    <row r="25" spans="1:18" ht="18.75" x14ac:dyDescent="0.3">
      <c r="A25" s="548" t="s">
        <v>277</v>
      </c>
      <c r="B25" s="548"/>
      <c r="C25" s="548"/>
      <c r="D25" s="548"/>
      <c r="E25" s="548"/>
      <c r="F25" s="548"/>
      <c r="G25" s="548"/>
      <c r="H25" s="548"/>
      <c r="I25" s="548"/>
      <c r="J25" s="548"/>
    </row>
    <row r="26" spans="1:18" x14ac:dyDescent="0.25">
      <c r="A26" s="113" t="s">
        <v>278</v>
      </c>
      <c r="B26" s="113" t="str">
        <f>D1</f>
        <v>N_CA</v>
      </c>
      <c r="C26" s="93" t="s">
        <v>274</v>
      </c>
      <c r="D26" s="93" t="s">
        <v>275</v>
      </c>
      <c r="G26" s="113" t="s">
        <v>278</v>
      </c>
      <c r="H26" s="113" t="str">
        <f>B26</f>
        <v>N_CA</v>
      </c>
      <c r="I26" s="93" t="s">
        <v>274</v>
      </c>
      <c r="J26" s="93" t="s">
        <v>275</v>
      </c>
    </row>
    <row r="27" spans="1:18" x14ac:dyDescent="0.25">
      <c r="A27" s="47" t="str">
        <f>A5</f>
        <v>S. Swärdborn</v>
      </c>
      <c r="B27" s="47">
        <f ca="1">D5</f>
        <v>3.4583712547196623</v>
      </c>
      <c r="C27" s="47">
        <f ca="1">E5</f>
        <v>3.2018296200950815</v>
      </c>
      <c r="D27" s="47">
        <f ca="1">F5</f>
        <v>3.4559001066694219</v>
      </c>
      <c r="G27" s="47" t="str">
        <f>A27</f>
        <v>S. Swärdborn</v>
      </c>
      <c r="H27" s="47">
        <f ca="1">B27</f>
        <v>3.4583712547196623</v>
      </c>
      <c r="I27" s="47">
        <f t="shared" ref="I27:J30" ca="1" si="3">C27</f>
        <v>3.2018296200950815</v>
      </c>
      <c r="J27" s="47">
        <f t="shared" ca="1" si="3"/>
        <v>3.4559001066694219</v>
      </c>
    </row>
    <row r="28" spans="1:18" x14ac:dyDescent="0.25">
      <c r="A28" s="47" t="str">
        <f>A6</f>
        <v>A. Grimaud</v>
      </c>
      <c r="B28" s="47">
        <f t="shared" ref="B28" ca="1" si="4">D6</f>
        <v>3.4646212547196624</v>
      </c>
      <c r="C28" s="47">
        <f t="shared" ref="C28:D28" ca="1" si="5">E6</f>
        <v>3.2076159957186601</v>
      </c>
      <c r="D28" s="47">
        <f t="shared" ca="1" si="5"/>
        <v>3.4621456407881799</v>
      </c>
      <c r="G28" s="47" t="str">
        <f>A28</f>
        <v>A. Grimaud</v>
      </c>
      <c r="H28" s="47">
        <f ca="1">B28</f>
        <v>3.4646212547196624</v>
      </c>
      <c r="I28" s="47">
        <f t="shared" ca="1" si="3"/>
        <v>3.2076159957186601</v>
      </c>
      <c r="J28" s="47">
        <f t="shared" ca="1" si="3"/>
        <v>3.4621456407881799</v>
      </c>
    </row>
    <row r="29" spans="1:18" x14ac:dyDescent="0.25">
      <c r="A29" t="str">
        <f>A9</f>
        <v>S. Kariuki</v>
      </c>
      <c r="B29" s="47">
        <f t="shared" ref="B29:D30" ca="1" si="6">D9</f>
        <v>2.8251756645989596</v>
      </c>
      <c r="C29" s="47">
        <f t="shared" ca="1" si="6"/>
        <v>2.6156044156739933</v>
      </c>
      <c r="D29" s="47">
        <f t="shared" ca="1" si="6"/>
        <v>2.8231569607580598</v>
      </c>
      <c r="G29" s="47" t="str">
        <f>A29</f>
        <v>S. Kariuki</v>
      </c>
      <c r="H29" s="47">
        <f ca="1">B29</f>
        <v>2.8251756645989596</v>
      </c>
      <c r="I29" s="47">
        <f t="shared" ca="1" si="3"/>
        <v>2.6156044156739933</v>
      </c>
      <c r="J29" s="47">
        <f t="shared" ca="1" si="3"/>
        <v>2.8231569607580598</v>
      </c>
    </row>
    <row r="30" spans="1:18" x14ac:dyDescent="0.25">
      <c r="A30" s="47" t="str">
        <f>A10</f>
        <v>R. Forsyth</v>
      </c>
      <c r="B30" s="47">
        <f t="shared" ca="1" si="6"/>
        <v>3.3232751008735084</v>
      </c>
      <c r="C30" s="47">
        <f t="shared" ca="1" si="6"/>
        <v>3.0767548854623477</v>
      </c>
      <c r="D30" s="47">
        <f t="shared" ca="1" si="6"/>
        <v>3.3209004845639583</v>
      </c>
      <c r="G30" s="47" t="str">
        <f>A30</f>
        <v>R. Forsyth</v>
      </c>
      <c r="H30" s="47">
        <f ca="1">B30</f>
        <v>3.3232751008735084</v>
      </c>
      <c r="I30" s="47">
        <f t="shared" ca="1" si="3"/>
        <v>3.0767548854623477</v>
      </c>
      <c r="J30" s="47">
        <f t="shared" ca="1" si="3"/>
        <v>3.3209004845639583</v>
      </c>
    </row>
    <row r="31" spans="1:18" x14ac:dyDescent="0.25">
      <c r="A31" t="str">
        <f>A8</f>
        <v>K. Polyukhov</v>
      </c>
      <c r="B31" s="47">
        <f ca="1">D8</f>
        <v>4.8818277983559888</v>
      </c>
      <c r="C31" s="47">
        <f ca="1">E8</f>
        <v>4.8818277983559888</v>
      </c>
      <c r="D31" s="47">
        <f ca="1">F8</f>
        <v>4.8818277983559888</v>
      </c>
      <c r="H31" s="47"/>
      <c r="I31" s="71"/>
      <c r="J31" s="71"/>
    </row>
    <row r="32" spans="1:18" x14ac:dyDescent="0.25">
      <c r="B32" s="123">
        <f ca="1">SUM(B27:B31)</f>
        <v>17.953271073267782</v>
      </c>
      <c r="C32" s="231">
        <f ca="1">SUM(C27:C31)</f>
        <v>16.983632715306072</v>
      </c>
      <c r="D32" s="231">
        <f ca="1">SUM(D27:D31)</f>
        <v>17.943930991135609</v>
      </c>
      <c r="E32" s="123"/>
      <c r="G32" s="123"/>
      <c r="H32" s="123">
        <f ca="1">SUM(H27:H31)</f>
        <v>13.071443274911793</v>
      </c>
      <c r="I32" s="231">
        <f ca="1">SUM(I27:I31)</f>
        <v>12.101804916950082</v>
      </c>
      <c r="J32" s="231">
        <f ca="1">SUM(J27:J31)</f>
        <v>13.06210319277962</v>
      </c>
    </row>
  </sheetData>
  <mergeCells count="2">
    <mergeCell ref="U1:Y1"/>
    <mergeCell ref="A25:J25"/>
  </mergeCells>
  <conditionalFormatting sqref="Q2:Q23">
    <cfRule type="cellIs" dxfId="73" priority="1" operator="lessThan">
      <formula>12</formula>
    </cfRule>
  </conditionalFormatting>
  <conditionalFormatting sqref="Q2:Q23">
    <cfRule type="cellIs" dxfId="72" priority="2" operator="between">
      <formula>12</formula>
      <formula>17</formula>
    </cfRule>
  </conditionalFormatting>
  <conditionalFormatting sqref="Q2:Q23">
    <cfRule type="cellIs" dxfId="71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B77F-4BDD-44EA-B10C-1675F606743C}">
  <dimension ref="A1:D9"/>
  <sheetViews>
    <sheetView workbookViewId="0">
      <selection activeCell="G9" sqref="G9"/>
    </sheetView>
  </sheetViews>
  <sheetFormatPr baseColWidth="10" defaultRowHeight="15" x14ac:dyDescent="0.25"/>
  <cols>
    <col min="1" max="1" width="8.7109375" style="3" bestFit="1" customWidth="1"/>
    <col min="2" max="2" width="33.42578125" bestFit="1" customWidth="1"/>
    <col min="3" max="3" width="20.5703125" bestFit="1" customWidth="1"/>
    <col min="4" max="4" width="19.85546875" bestFit="1" customWidth="1"/>
  </cols>
  <sheetData>
    <row r="1" spans="1:4" s="3" customFormat="1" x14ac:dyDescent="0.25">
      <c r="B1" s="3" t="s">
        <v>676</v>
      </c>
      <c r="C1" s="3" t="s">
        <v>677</v>
      </c>
      <c r="D1" s="3" t="s">
        <v>678</v>
      </c>
    </row>
    <row r="2" spans="1:4" x14ac:dyDescent="0.25">
      <c r="A2" s="3" t="s">
        <v>679</v>
      </c>
      <c r="B2" t="s">
        <v>684</v>
      </c>
      <c r="C2" s="541">
        <f>14*91000</f>
        <v>1274000</v>
      </c>
      <c r="D2" s="541">
        <f>14*91000</f>
        <v>1274000</v>
      </c>
    </row>
    <row r="3" spans="1:4" x14ac:dyDescent="0.25">
      <c r="A3" s="3" t="s">
        <v>680</v>
      </c>
      <c r="B3" t="s">
        <v>689</v>
      </c>
      <c r="C3" s="541">
        <f>273000</f>
        <v>273000</v>
      </c>
      <c r="D3" s="541">
        <f>4*273000</f>
        <v>1092000</v>
      </c>
    </row>
    <row r="4" spans="1:4" x14ac:dyDescent="0.25">
      <c r="A4" s="3" t="s">
        <v>681</v>
      </c>
      <c r="B4" t="s">
        <v>685</v>
      </c>
      <c r="C4">
        <f>12*27000</f>
        <v>324000</v>
      </c>
      <c r="D4">
        <f>20*27000</f>
        <v>540000</v>
      </c>
    </row>
    <row r="5" spans="1:4" x14ac:dyDescent="0.25">
      <c r="B5" t="s">
        <v>686</v>
      </c>
      <c r="C5">
        <v>0</v>
      </c>
      <c r="D5">
        <v>820000</v>
      </c>
    </row>
    <row r="6" spans="1:4" x14ac:dyDescent="0.25">
      <c r="A6" s="3" t="s">
        <v>682</v>
      </c>
      <c r="B6" t="s">
        <v>687</v>
      </c>
      <c r="C6">
        <f>8*53000</f>
        <v>424000</v>
      </c>
      <c r="D6">
        <f>12*53000</f>
        <v>636000</v>
      </c>
    </row>
    <row r="7" spans="1:4" x14ac:dyDescent="0.25">
      <c r="B7" t="s">
        <v>688</v>
      </c>
      <c r="C7">
        <f>5*99000</f>
        <v>495000</v>
      </c>
      <c r="D7">
        <f>7*99000</f>
        <v>693000</v>
      </c>
    </row>
    <row r="8" spans="1:4" x14ac:dyDescent="0.25">
      <c r="A8" s="3" t="s">
        <v>683</v>
      </c>
      <c r="C8">
        <f>7*49000</f>
        <v>343000</v>
      </c>
      <c r="D8">
        <f>10*49000</f>
        <v>490000</v>
      </c>
    </row>
    <row r="9" spans="1:4" x14ac:dyDescent="0.25">
      <c r="C9">
        <f>39000*3</f>
        <v>117000</v>
      </c>
      <c r="D9">
        <f>5*39000</f>
        <v>195000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385">
        <f>C2-G2</f>
        <v>0</v>
      </c>
      <c r="J1" s="375"/>
      <c r="K1" s="375"/>
      <c r="L1" s="376"/>
      <c r="M1" s="377">
        <v>44543</v>
      </c>
      <c r="N1" s="377">
        <f t="shared" ref="N1:AB1" si="0">M1+7</f>
        <v>44550</v>
      </c>
      <c r="O1" s="377">
        <f t="shared" si="0"/>
        <v>44557</v>
      </c>
      <c r="P1" s="377">
        <f t="shared" si="0"/>
        <v>44564</v>
      </c>
      <c r="Q1" s="377">
        <f t="shared" si="0"/>
        <v>44571</v>
      </c>
      <c r="R1" s="377">
        <f t="shared" si="0"/>
        <v>44578</v>
      </c>
      <c r="S1" s="377">
        <f t="shared" si="0"/>
        <v>44585</v>
      </c>
      <c r="T1" s="377">
        <f t="shared" si="0"/>
        <v>44592</v>
      </c>
      <c r="U1" s="377">
        <f t="shared" si="0"/>
        <v>44599</v>
      </c>
      <c r="V1" s="377">
        <f t="shared" si="0"/>
        <v>44606</v>
      </c>
      <c r="W1" s="377">
        <f t="shared" si="0"/>
        <v>44613</v>
      </c>
      <c r="X1" s="377">
        <f t="shared" si="0"/>
        <v>44620</v>
      </c>
      <c r="Y1" s="377">
        <f t="shared" si="0"/>
        <v>44627</v>
      </c>
      <c r="Z1" s="377">
        <f t="shared" si="0"/>
        <v>44634</v>
      </c>
      <c r="AA1" s="377">
        <f t="shared" si="0"/>
        <v>44641</v>
      </c>
      <c r="AB1" s="377">
        <f t="shared" si="0"/>
        <v>44648</v>
      </c>
      <c r="AC1" s="316"/>
    </row>
    <row r="2" spans="2:32" ht="21" x14ac:dyDescent="0.35">
      <c r="B2" s="378" t="s">
        <v>210</v>
      </c>
      <c r="C2" s="379">
        <f>C3+C7+C10+C14+C25</f>
        <v>59198412</v>
      </c>
      <c r="D2" s="380">
        <f>C2/C2</f>
        <v>1</v>
      </c>
      <c r="E2" s="381"/>
      <c r="F2" s="382" t="s">
        <v>211</v>
      </c>
      <c r="G2" s="383">
        <f>G3+G7+G14</f>
        <v>59198412</v>
      </c>
      <c r="H2" s="384">
        <f>G2/G2</f>
        <v>1</v>
      </c>
      <c r="J2" s="528">
        <f>C2-G2</f>
        <v>0</v>
      </c>
      <c r="K2" s="348"/>
      <c r="L2" s="348" t="s">
        <v>519</v>
      </c>
      <c r="M2" s="423" t="s">
        <v>195</v>
      </c>
      <c r="N2" s="423" t="s">
        <v>196</v>
      </c>
      <c r="O2" s="423" t="s">
        <v>197</v>
      </c>
      <c r="P2" s="423" t="s">
        <v>198</v>
      </c>
      <c r="Q2" s="423" t="s">
        <v>199</v>
      </c>
      <c r="R2" s="423" t="s">
        <v>200</v>
      </c>
      <c r="S2" s="423" t="s">
        <v>201</v>
      </c>
      <c r="T2" s="423" t="s">
        <v>202</v>
      </c>
      <c r="U2" s="423" t="s">
        <v>203</v>
      </c>
      <c r="V2" s="423" t="s">
        <v>204</v>
      </c>
      <c r="W2" s="423" t="s">
        <v>205</v>
      </c>
      <c r="X2" s="423" t="s">
        <v>206</v>
      </c>
      <c r="Y2" s="423" t="s">
        <v>207</v>
      </c>
      <c r="Z2" s="423" t="s">
        <v>208</v>
      </c>
      <c r="AA2" s="423" t="s">
        <v>209</v>
      </c>
      <c r="AB2" s="423" t="s">
        <v>194</v>
      </c>
      <c r="AC2" s="316"/>
      <c r="AD2" s="423" t="s">
        <v>220</v>
      </c>
    </row>
    <row r="3" spans="2:32" ht="21" x14ac:dyDescent="0.35">
      <c r="B3" s="387" t="s">
        <v>213</v>
      </c>
      <c r="C3" s="388">
        <f>C4+C5+C6</f>
        <v>8900445</v>
      </c>
      <c r="D3" s="389">
        <f>C3/C2</f>
        <v>0.15034938775046872</v>
      </c>
      <c r="E3" s="390"/>
      <c r="F3" s="315" t="s">
        <v>214</v>
      </c>
      <c r="G3" s="388">
        <f>G4+G5</f>
        <v>72671004</v>
      </c>
      <c r="H3" s="389">
        <f>G3/$G$2</f>
        <v>1.2275836723458056</v>
      </c>
      <c r="J3" s="318"/>
      <c r="K3" s="386"/>
      <c r="L3" s="348" t="s">
        <v>212</v>
      </c>
      <c r="M3" s="424">
        <v>3004</v>
      </c>
      <c r="N3" s="424">
        <f t="shared" ref="N3:AB3" si="1">M3+M11/30</f>
        <v>3005</v>
      </c>
      <c r="O3" s="424">
        <f t="shared" si="1"/>
        <v>3006</v>
      </c>
      <c r="P3" s="424">
        <f t="shared" si="1"/>
        <v>3007</v>
      </c>
      <c r="Q3" s="424">
        <f t="shared" si="1"/>
        <v>3008</v>
      </c>
      <c r="R3" s="424">
        <f t="shared" si="1"/>
        <v>3009</v>
      </c>
      <c r="S3" s="424">
        <f t="shared" si="1"/>
        <v>3010</v>
      </c>
      <c r="T3" s="424">
        <f t="shared" si="1"/>
        <v>3011</v>
      </c>
      <c r="U3" s="424">
        <f t="shared" si="1"/>
        <v>3012</v>
      </c>
      <c r="V3" s="424">
        <f t="shared" si="1"/>
        <v>3013</v>
      </c>
      <c r="W3" s="424">
        <f t="shared" si="1"/>
        <v>3014</v>
      </c>
      <c r="X3" s="424">
        <f t="shared" si="1"/>
        <v>3015</v>
      </c>
      <c r="Y3" s="424">
        <f t="shared" si="1"/>
        <v>3016</v>
      </c>
      <c r="Z3" s="424">
        <f t="shared" si="1"/>
        <v>3017</v>
      </c>
      <c r="AA3" s="424">
        <f t="shared" si="1"/>
        <v>3018</v>
      </c>
      <c r="AB3" s="424">
        <f t="shared" si="1"/>
        <v>3019</v>
      </c>
      <c r="AC3" s="316"/>
      <c r="AD3" t="s">
        <v>658</v>
      </c>
      <c r="AE3" t="s">
        <v>659</v>
      </c>
      <c r="AF3">
        <f>62000*14</f>
        <v>868000</v>
      </c>
    </row>
    <row r="4" spans="2:32" ht="18.75" x14ac:dyDescent="0.3">
      <c r="B4" s="537" t="s">
        <v>216</v>
      </c>
      <c r="C4" s="393">
        <f>(45*35404)+(75*13589)+(90*11811)+(300*1417)+L17</f>
        <v>4100445</v>
      </c>
      <c r="D4" s="394">
        <f>C4/C2</f>
        <v>6.926613166582915E-2</v>
      </c>
      <c r="E4" s="395"/>
      <c r="F4" s="539" t="s">
        <v>217</v>
      </c>
      <c r="G4" s="393">
        <v>300000</v>
      </c>
      <c r="H4" s="394">
        <f>G4/$G$2</f>
        <v>5.0677035052899728E-3</v>
      </c>
      <c r="I4" s="397"/>
      <c r="J4" s="425" t="s">
        <v>503</v>
      </c>
      <c r="K4" s="425"/>
      <c r="L4" s="426">
        <v>0</v>
      </c>
      <c r="M4" s="427">
        <f>L4</f>
        <v>0</v>
      </c>
      <c r="N4" s="427">
        <f>M26</f>
        <v>0</v>
      </c>
      <c r="O4" s="427">
        <f t="shared" ref="O4:AB4" si="2">N26</f>
        <v>0</v>
      </c>
      <c r="P4" s="427">
        <f t="shared" si="2"/>
        <v>0</v>
      </c>
      <c r="Q4" s="427">
        <f t="shared" si="2"/>
        <v>0</v>
      </c>
      <c r="R4" s="427">
        <f t="shared" si="2"/>
        <v>0</v>
      </c>
      <c r="S4" s="427">
        <f t="shared" si="2"/>
        <v>0</v>
      </c>
      <c r="T4" s="427">
        <f t="shared" si="2"/>
        <v>0</v>
      </c>
      <c r="U4" s="427">
        <f t="shared" si="2"/>
        <v>0</v>
      </c>
      <c r="V4" s="427">
        <f t="shared" si="2"/>
        <v>0</v>
      </c>
      <c r="W4" s="427">
        <f t="shared" si="2"/>
        <v>0</v>
      </c>
      <c r="X4" s="427">
        <f t="shared" si="2"/>
        <v>0</v>
      </c>
      <c r="Y4" s="427">
        <f t="shared" si="2"/>
        <v>0</v>
      </c>
      <c r="Z4" s="427">
        <f t="shared" si="2"/>
        <v>0</v>
      </c>
      <c r="AA4" s="427">
        <f t="shared" si="2"/>
        <v>0</v>
      </c>
      <c r="AB4" s="427">
        <f t="shared" si="2"/>
        <v>0</v>
      </c>
      <c r="AC4" s="391"/>
      <c r="AD4" t="s">
        <v>660</v>
      </c>
      <c r="AE4" t="s">
        <v>661</v>
      </c>
      <c r="AF4">
        <f>17*32500</f>
        <v>552500</v>
      </c>
    </row>
    <row r="5" spans="2:32" ht="18.75" x14ac:dyDescent="0.3">
      <c r="B5" s="537" t="s">
        <v>219</v>
      </c>
      <c r="C5" s="393">
        <f>4800000+L21</f>
        <v>4800000</v>
      </c>
      <c r="D5" s="394">
        <f>C5/C2</f>
        <v>8.1083256084639566E-2</v>
      </c>
      <c r="E5" s="395"/>
      <c r="F5" s="539" t="s">
        <v>504</v>
      </c>
      <c r="G5" s="393">
        <v>72371004</v>
      </c>
      <c r="H5" s="394">
        <f>G5/$G$2</f>
        <v>1.2225159688405156</v>
      </c>
      <c r="I5" s="397"/>
      <c r="J5" s="428" t="s">
        <v>215</v>
      </c>
      <c r="K5" s="428"/>
      <c r="L5" s="429">
        <v>8247419</v>
      </c>
      <c r="M5" s="430">
        <f>L5</f>
        <v>8247419</v>
      </c>
      <c r="N5" s="430">
        <f t="shared" ref="N5:AB5" si="3">M27</f>
        <v>7929295</v>
      </c>
      <c r="O5" s="430">
        <f t="shared" si="3"/>
        <v>7637901</v>
      </c>
      <c r="P5" s="430">
        <f t="shared" si="3"/>
        <v>7890541</v>
      </c>
      <c r="Q5" s="430">
        <f t="shared" si="3"/>
        <v>8250883</v>
      </c>
      <c r="R5" s="430">
        <f t="shared" si="3"/>
        <v>8060199</v>
      </c>
      <c r="S5" s="430">
        <f t="shared" si="3"/>
        <v>8077029</v>
      </c>
      <c r="T5" s="430">
        <f t="shared" si="3"/>
        <v>7739255</v>
      </c>
      <c r="U5" s="430">
        <f t="shared" si="3"/>
        <v>8061481</v>
      </c>
      <c r="V5" s="430">
        <f t="shared" si="3"/>
        <v>7723707</v>
      </c>
      <c r="W5" s="430">
        <f t="shared" si="3"/>
        <v>8045933</v>
      </c>
      <c r="X5" s="430">
        <f t="shared" si="3"/>
        <v>7708159</v>
      </c>
      <c r="Y5" s="430">
        <f t="shared" si="3"/>
        <v>8030385</v>
      </c>
      <c r="Z5" s="430">
        <f t="shared" si="3"/>
        <v>7692611</v>
      </c>
      <c r="AA5" s="430">
        <f t="shared" si="3"/>
        <v>8014837</v>
      </c>
      <c r="AB5" s="430">
        <f t="shared" si="3"/>
        <v>7692063</v>
      </c>
      <c r="AC5" s="391"/>
      <c r="AD5" t="s">
        <v>662</v>
      </c>
      <c r="AE5" t="s">
        <v>663</v>
      </c>
      <c r="AF5">
        <v>220000</v>
      </c>
    </row>
    <row r="6" spans="2:32" ht="21" x14ac:dyDescent="0.35">
      <c r="B6" s="537" t="s">
        <v>505</v>
      </c>
      <c r="C6" s="393">
        <v>0</v>
      </c>
      <c r="D6" s="394">
        <f>C6/C2</f>
        <v>0</v>
      </c>
      <c r="E6" s="390"/>
      <c r="F6" s="315"/>
      <c r="G6" s="388"/>
      <c r="H6" s="389"/>
      <c r="J6" s="398" t="s">
        <v>218</v>
      </c>
      <c r="K6" s="398" t="s">
        <v>218</v>
      </c>
      <c r="L6" s="431">
        <f t="shared" ref="L6:L25" si="4">SUM(M6:AB6)</f>
        <v>4766254</v>
      </c>
      <c r="M6" s="399">
        <v>34650</v>
      </c>
      <c r="N6" s="524">
        <v>61380</v>
      </c>
      <c r="O6" s="524">
        <f>519614+85800</f>
        <v>605414</v>
      </c>
      <c r="P6" s="524">
        <v>713116</v>
      </c>
      <c r="Q6" s="524">
        <v>162090</v>
      </c>
      <c r="R6" s="519">
        <v>369604</v>
      </c>
      <c r="S6" s="519">
        <v>15000</v>
      </c>
      <c r="T6" s="519">
        <f>65000+610000</f>
        <v>675000</v>
      </c>
      <c r="U6" s="519">
        <v>15000</v>
      </c>
      <c r="V6" s="519">
        <f>65000+610000</f>
        <v>675000</v>
      </c>
      <c r="W6" s="519">
        <v>15000</v>
      </c>
      <c r="X6" s="519">
        <f>65000+610000</f>
        <v>675000</v>
      </c>
      <c r="Y6" s="519">
        <v>15000</v>
      </c>
      <c r="Z6" s="519">
        <f>65000+610000</f>
        <v>675000</v>
      </c>
      <c r="AA6" s="519">
        <v>30000</v>
      </c>
      <c r="AB6" s="519">
        <v>30000</v>
      </c>
      <c r="AC6" s="316"/>
      <c r="AE6" t="s">
        <v>664</v>
      </c>
      <c r="AF6">
        <v>74500</v>
      </c>
    </row>
    <row r="7" spans="2:32" ht="21" x14ac:dyDescent="0.35">
      <c r="B7" s="387" t="s">
        <v>506</v>
      </c>
      <c r="C7" s="388">
        <f>C9</f>
        <v>0</v>
      </c>
      <c r="D7" s="389">
        <f>C7/C2</f>
        <v>0</v>
      </c>
      <c r="E7" s="390"/>
      <c r="F7" s="315" t="s">
        <v>584</v>
      </c>
      <c r="G7" s="388">
        <f>G8+G9+G10</f>
        <v>-22317456</v>
      </c>
      <c r="H7" s="389">
        <f>G7/$G$2</f>
        <v>-0.37699416666784913</v>
      </c>
      <c r="J7" s="398" t="s">
        <v>220</v>
      </c>
      <c r="K7" s="398" t="s">
        <v>220</v>
      </c>
      <c r="L7" s="431">
        <f t="shared" si="4"/>
        <v>3008000</v>
      </c>
      <c r="M7" s="400">
        <v>188000</v>
      </c>
      <c r="N7" s="525">
        <f>M7</f>
        <v>188000</v>
      </c>
      <c r="O7" s="525">
        <f>N7</f>
        <v>188000</v>
      </c>
      <c r="P7" s="525">
        <f t="shared" ref="P7:AB7" si="5">O7</f>
        <v>188000</v>
      </c>
      <c r="Q7" s="525">
        <f t="shared" si="5"/>
        <v>188000</v>
      </c>
      <c r="R7" s="525">
        <f t="shared" si="5"/>
        <v>188000</v>
      </c>
      <c r="S7" s="525">
        <f t="shared" si="5"/>
        <v>188000</v>
      </c>
      <c r="T7" s="525">
        <f t="shared" si="5"/>
        <v>188000</v>
      </c>
      <c r="U7" s="525">
        <f t="shared" si="5"/>
        <v>188000</v>
      </c>
      <c r="V7" s="525">
        <f t="shared" si="5"/>
        <v>188000</v>
      </c>
      <c r="W7" s="525">
        <f t="shared" si="5"/>
        <v>188000</v>
      </c>
      <c r="X7" s="525">
        <f t="shared" si="5"/>
        <v>188000</v>
      </c>
      <c r="Y7" s="525">
        <f t="shared" si="5"/>
        <v>188000</v>
      </c>
      <c r="Z7" s="525">
        <f t="shared" si="5"/>
        <v>188000</v>
      </c>
      <c r="AA7" s="525">
        <f t="shared" si="5"/>
        <v>188000</v>
      </c>
      <c r="AB7" s="525">
        <f t="shared" si="5"/>
        <v>188000</v>
      </c>
      <c r="AC7" s="316"/>
      <c r="AD7" t="s">
        <v>665</v>
      </c>
      <c r="AE7" t="s">
        <v>666</v>
      </c>
      <c r="AF7">
        <f>3*77500</f>
        <v>232500</v>
      </c>
    </row>
    <row r="8" spans="2:32" ht="18.75" x14ac:dyDescent="0.3">
      <c r="B8" s="537" t="s">
        <v>507</v>
      </c>
      <c r="C8" s="393">
        <f>L4</f>
        <v>0</v>
      </c>
      <c r="D8" s="390"/>
      <c r="E8" s="390"/>
      <c r="F8" s="539" t="s">
        <v>602</v>
      </c>
      <c r="G8" s="393">
        <f>C6+C13+(C26-C25)</f>
        <v>-22317456</v>
      </c>
      <c r="H8" s="394">
        <f>G8/$G$2</f>
        <v>-0.37699416666784913</v>
      </c>
      <c r="J8" s="398" t="s">
        <v>221</v>
      </c>
      <c r="K8" s="398" t="s">
        <v>222</v>
      </c>
      <c r="L8" s="431">
        <f t="shared" si="4"/>
        <v>0</v>
      </c>
      <c r="M8" s="399">
        <v>0</v>
      </c>
      <c r="N8" s="524">
        <v>0</v>
      </c>
      <c r="O8" s="524">
        <v>0</v>
      </c>
      <c r="P8" s="524">
        <v>0</v>
      </c>
      <c r="Q8" s="524">
        <v>0</v>
      </c>
      <c r="R8" s="519">
        <v>0</v>
      </c>
      <c r="S8" s="519">
        <v>0</v>
      </c>
      <c r="T8" s="519">
        <v>0</v>
      </c>
      <c r="U8" s="519">
        <v>0</v>
      </c>
      <c r="V8" s="519">
        <v>0</v>
      </c>
      <c r="W8" s="519">
        <v>0</v>
      </c>
      <c r="X8" s="519">
        <v>0</v>
      </c>
      <c r="Y8" s="519">
        <v>0</v>
      </c>
      <c r="Z8" s="519">
        <v>0</v>
      </c>
      <c r="AA8" s="519">
        <v>0</v>
      </c>
      <c r="AB8" s="519">
        <v>0</v>
      </c>
      <c r="AC8" s="316"/>
      <c r="AE8" t="s">
        <v>667</v>
      </c>
      <c r="AF8">
        <f>32*8500</f>
        <v>272000</v>
      </c>
    </row>
    <row r="9" spans="2:32" ht="18.75" x14ac:dyDescent="0.3">
      <c r="B9" s="537" t="s">
        <v>508</v>
      </c>
      <c r="C9" s="401">
        <f>L26</f>
        <v>0</v>
      </c>
      <c r="D9" s="394">
        <f>C9/C2</f>
        <v>0</v>
      </c>
      <c r="E9" s="390"/>
      <c r="F9" s="539" t="s">
        <v>599</v>
      </c>
      <c r="G9" s="401">
        <f>C23</f>
        <v>0</v>
      </c>
      <c r="H9" s="394">
        <f>G9/$G$2</f>
        <v>0</v>
      </c>
      <c r="J9" s="398"/>
      <c r="K9" s="398" t="s">
        <v>223</v>
      </c>
      <c r="L9" s="431">
        <f t="shared" si="4"/>
        <v>0</v>
      </c>
      <c r="M9" s="399">
        <v>0</v>
      </c>
      <c r="N9" s="524">
        <v>0</v>
      </c>
      <c r="O9" s="524">
        <v>0</v>
      </c>
      <c r="P9" s="524">
        <v>0</v>
      </c>
      <c r="Q9" s="524">
        <v>0</v>
      </c>
      <c r="R9" s="519">
        <v>0</v>
      </c>
      <c r="S9" s="519">
        <v>0</v>
      </c>
      <c r="T9" s="519">
        <v>0</v>
      </c>
      <c r="U9" s="519">
        <v>0</v>
      </c>
      <c r="V9" s="519">
        <v>0</v>
      </c>
      <c r="W9" s="519">
        <v>0</v>
      </c>
      <c r="X9" s="519">
        <v>0</v>
      </c>
      <c r="Y9" s="519">
        <v>0</v>
      </c>
      <c r="Z9" s="519">
        <v>0</v>
      </c>
      <c r="AA9" s="519">
        <v>0</v>
      </c>
      <c r="AB9" s="519">
        <v>0</v>
      </c>
      <c r="AC9" s="316"/>
      <c r="AD9" t="s">
        <v>668</v>
      </c>
      <c r="AE9" t="s">
        <v>669</v>
      </c>
      <c r="AF9">
        <v>700000</v>
      </c>
    </row>
    <row r="10" spans="2:32" ht="21" x14ac:dyDescent="0.35">
      <c r="B10" s="402" t="s">
        <v>229</v>
      </c>
      <c r="C10" s="388">
        <f>C12+C13</f>
        <v>33993214</v>
      </c>
      <c r="D10" s="389">
        <f>C10/$C$2</f>
        <v>0.57422509914624065</v>
      </c>
      <c r="E10" s="390"/>
      <c r="F10" s="539" t="s">
        <v>600</v>
      </c>
      <c r="G10" s="388">
        <v>0</v>
      </c>
      <c r="H10" s="394">
        <f>G10/$G$2</f>
        <v>0</v>
      </c>
      <c r="J10" s="398" t="s">
        <v>225</v>
      </c>
      <c r="K10" s="398" t="s">
        <v>225</v>
      </c>
      <c r="L10" s="431">
        <f t="shared" si="4"/>
        <v>192000</v>
      </c>
      <c r="M10" s="400">
        <v>12000</v>
      </c>
      <c r="N10" s="525">
        <f>M10</f>
        <v>12000</v>
      </c>
      <c r="O10" s="525">
        <f t="shared" ref="O10:AB10" si="6">N10</f>
        <v>12000</v>
      </c>
      <c r="P10" s="525">
        <f t="shared" si="6"/>
        <v>12000</v>
      </c>
      <c r="Q10" s="525">
        <f t="shared" si="6"/>
        <v>12000</v>
      </c>
      <c r="R10" s="525">
        <f t="shared" si="6"/>
        <v>12000</v>
      </c>
      <c r="S10" s="525">
        <f t="shared" si="6"/>
        <v>12000</v>
      </c>
      <c r="T10" s="525">
        <f t="shared" si="6"/>
        <v>12000</v>
      </c>
      <c r="U10" s="525">
        <f t="shared" si="6"/>
        <v>12000</v>
      </c>
      <c r="V10" s="525">
        <f t="shared" si="6"/>
        <v>12000</v>
      </c>
      <c r="W10" s="525">
        <f t="shared" si="6"/>
        <v>12000</v>
      </c>
      <c r="X10" s="525">
        <f t="shared" si="6"/>
        <v>12000</v>
      </c>
      <c r="Y10" s="525">
        <f t="shared" si="6"/>
        <v>12000</v>
      </c>
      <c r="Z10" s="525">
        <f t="shared" si="6"/>
        <v>12000</v>
      </c>
      <c r="AA10" s="525">
        <f t="shared" si="6"/>
        <v>12000</v>
      </c>
      <c r="AB10" s="525">
        <f t="shared" si="6"/>
        <v>12000</v>
      </c>
      <c r="AC10" s="316"/>
      <c r="AE10" t="s">
        <v>670</v>
      </c>
      <c r="AF10">
        <f>9*21500</f>
        <v>193500</v>
      </c>
    </row>
    <row r="11" spans="2:32" ht="18.75" x14ac:dyDescent="0.3">
      <c r="B11" s="537" t="s">
        <v>509</v>
      </c>
      <c r="C11" s="403">
        <f>K31</f>
        <v>77053066</v>
      </c>
      <c r="D11" s="394"/>
      <c r="E11" s="390"/>
      <c r="F11" s="396"/>
      <c r="G11" s="403"/>
      <c r="H11" s="390"/>
      <c r="J11" s="549" t="s">
        <v>226</v>
      </c>
      <c r="K11" s="398" t="s">
        <v>212</v>
      </c>
      <c r="L11" s="431">
        <f t="shared" si="4"/>
        <v>91080</v>
      </c>
      <c r="M11" s="400">
        <v>30</v>
      </c>
      <c r="N11" s="525">
        <f>M11</f>
        <v>30</v>
      </c>
      <c r="O11" s="525">
        <f t="shared" ref="O11:AA11" si="7">N11</f>
        <v>30</v>
      </c>
      <c r="P11" s="525">
        <f t="shared" si="7"/>
        <v>30</v>
      </c>
      <c r="Q11" s="525">
        <f t="shared" si="7"/>
        <v>30</v>
      </c>
      <c r="R11" s="525">
        <f t="shared" si="7"/>
        <v>30</v>
      </c>
      <c r="S11" s="525">
        <f t="shared" si="7"/>
        <v>30</v>
      </c>
      <c r="T11" s="525">
        <f t="shared" si="7"/>
        <v>30</v>
      </c>
      <c r="U11" s="525">
        <f t="shared" si="7"/>
        <v>30</v>
      </c>
      <c r="V11" s="525">
        <f t="shared" si="7"/>
        <v>30</v>
      </c>
      <c r="W11" s="525">
        <f t="shared" si="7"/>
        <v>30</v>
      </c>
      <c r="X11" s="525">
        <f t="shared" si="7"/>
        <v>30</v>
      </c>
      <c r="Y11" s="525">
        <f t="shared" si="7"/>
        <v>30</v>
      </c>
      <c r="Z11" s="525">
        <f t="shared" si="7"/>
        <v>30</v>
      </c>
      <c r="AA11" s="525">
        <f t="shared" si="7"/>
        <v>30</v>
      </c>
      <c r="AB11" s="520">
        <f>60+30*AB3</f>
        <v>90630</v>
      </c>
      <c r="AC11" s="316"/>
    </row>
    <row r="12" spans="2:32" ht="18.75" x14ac:dyDescent="0.3">
      <c r="B12" s="537" t="s">
        <v>596</v>
      </c>
      <c r="C12" s="403">
        <f>N31</f>
        <v>55523140</v>
      </c>
      <c r="D12" s="394"/>
      <c r="E12" s="390"/>
      <c r="F12" s="396"/>
      <c r="G12" s="403"/>
      <c r="H12" s="390"/>
      <c r="J12" s="549"/>
      <c r="K12" s="398" t="s">
        <v>227</v>
      </c>
      <c r="L12" s="431">
        <f t="shared" si="4"/>
        <v>0</v>
      </c>
      <c r="M12" s="400">
        <v>0</v>
      </c>
      <c r="N12" s="525">
        <v>0</v>
      </c>
      <c r="O12" s="525">
        <v>0</v>
      </c>
      <c r="P12" s="525">
        <v>0</v>
      </c>
      <c r="Q12" s="525">
        <v>0</v>
      </c>
      <c r="R12" s="520">
        <v>0</v>
      </c>
      <c r="S12" s="520">
        <v>0</v>
      </c>
      <c r="T12" s="520">
        <v>0</v>
      </c>
      <c r="U12" s="520">
        <v>0</v>
      </c>
      <c r="V12" s="520">
        <v>0</v>
      </c>
      <c r="W12" s="520">
        <v>0</v>
      </c>
      <c r="X12" s="520">
        <v>0</v>
      </c>
      <c r="Y12" s="520">
        <v>0</v>
      </c>
      <c r="Z12" s="520">
        <v>0</v>
      </c>
      <c r="AA12" s="520">
        <v>0</v>
      </c>
      <c r="AB12" s="520">
        <v>0</v>
      </c>
      <c r="AC12" s="316"/>
    </row>
    <row r="13" spans="2:32" ht="21" x14ac:dyDescent="0.35">
      <c r="B13" s="537" t="s">
        <v>510</v>
      </c>
      <c r="C13" s="403">
        <f>M31*-1</f>
        <v>-21529926</v>
      </c>
      <c r="D13" s="394">
        <f t="shared" ref="D13:D25" si="8">C13/$C$2</f>
        <v>-0.36369093819611242</v>
      </c>
      <c r="E13" s="390"/>
      <c r="F13" s="518"/>
      <c r="G13" s="388"/>
      <c r="H13" s="389"/>
      <c r="J13" s="549"/>
      <c r="K13" s="398" t="s">
        <v>224</v>
      </c>
      <c r="L13" s="431">
        <f t="shared" si="4"/>
        <v>0</v>
      </c>
      <c r="M13" s="400">
        <v>0</v>
      </c>
      <c r="N13" s="525">
        <v>0</v>
      </c>
      <c r="O13" s="525">
        <v>0</v>
      </c>
      <c r="P13" s="525">
        <v>0</v>
      </c>
      <c r="Q13" s="525">
        <f t="shared" ref="Q13:AB13" si="9">P13</f>
        <v>0</v>
      </c>
      <c r="R13" s="520">
        <f t="shared" si="9"/>
        <v>0</v>
      </c>
      <c r="S13" s="520">
        <f t="shared" si="9"/>
        <v>0</v>
      </c>
      <c r="T13" s="520">
        <f t="shared" si="9"/>
        <v>0</v>
      </c>
      <c r="U13" s="520">
        <f t="shared" si="9"/>
        <v>0</v>
      </c>
      <c r="V13" s="520">
        <f t="shared" si="9"/>
        <v>0</v>
      </c>
      <c r="W13" s="520">
        <f t="shared" si="9"/>
        <v>0</v>
      </c>
      <c r="X13" s="520">
        <f t="shared" si="9"/>
        <v>0</v>
      </c>
      <c r="Y13" s="520">
        <f t="shared" si="9"/>
        <v>0</v>
      </c>
      <c r="Z13" s="520">
        <f t="shared" si="9"/>
        <v>0</v>
      </c>
      <c r="AA13" s="520">
        <f t="shared" si="9"/>
        <v>0</v>
      </c>
      <c r="AB13" s="520">
        <f t="shared" si="9"/>
        <v>0</v>
      </c>
      <c r="AC13" s="316"/>
    </row>
    <row r="14" spans="2:32" ht="21" x14ac:dyDescent="0.35">
      <c r="B14" s="402" t="s">
        <v>601</v>
      </c>
      <c r="C14" s="388">
        <f>C15+C16+C17+C18+C19+C20+C21+C22+C23</f>
        <v>8057334</v>
      </c>
      <c r="D14" s="389">
        <f t="shared" si="8"/>
        <v>0.13610726585030694</v>
      </c>
      <c r="E14" s="390"/>
      <c r="F14" s="402" t="s">
        <v>603</v>
      </c>
      <c r="G14" s="388">
        <f>G15+G16+G17+G18+G19+G20+G21+G23</f>
        <v>8844864</v>
      </c>
      <c r="H14" s="389">
        <f t="shared" ref="H14:H20" si="10">G14/$G$2</f>
        <v>0.14941049432204365</v>
      </c>
      <c r="I14" s="397"/>
      <c r="J14" s="432" t="s">
        <v>228</v>
      </c>
      <c r="K14" s="433"/>
      <c r="L14" s="434">
        <f t="shared" si="4"/>
        <v>8057334</v>
      </c>
      <c r="M14" s="435">
        <f t="shared" ref="M14:AB14" si="11">SUM(M6:M13)</f>
        <v>234680</v>
      </c>
      <c r="N14" s="435">
        <f t="shared" si="11"/>
        <v>261410</v>
      </c>
      <c r="O14" s="435">
        <f t="shared" si="11"/>
        <v>805444</v>
      </c>
      <c r="P14" s="435">
        <f t="shared" si="11"/>
        <v>913146</v>
      </c>
      <c r="Q14" s="435">
        <f t="shared" si="11"/>
        <v>362120</v>
      </c>
      <c r="R14" s="521">
        <f t="shared" si="11"/>
        <v>569634</v>
      </c>
      <c r="S14" s="521">
        <f t="shared" si="11"/>
        <v>215030</v>
      </c>
      <c r="T14" s="521">
        <f t="shared" si="11"/>
        <v>875030</v>
      </c>
      <c r="U14" s="521">
        <f t="shared" si="11"/>
        <v>215030</v>
      </c>
      <c r="V14" s="521">
        <f t="shared" si="11"/>
        <v>875030</v>
      </c>
      <c r="W14" s="521">
        <f t="shared" si="11"/>
        <v>215030</v>
      </c>
      <c r="X14" s="521">
        <f t="shared" si="11"/>
        <v>875030</v>
      </c>
      <c r="Y14" s="521">
        <f t="shared" si="11"/>
        <v>215030</v>
      </c>
      <c r="Z14" s="521">
        <f t="shared" si="11"/>
        <v>875030</v>
      </c>
      <c r="AA14" s="521">
        <f t="shared" si="11"/>
        <v>230030</v>
      </c>
      <c r="AB14" s="521">
        <f t="shared" si="11"/>
        <v>320630</v>
      </c>
      <c r="AC14" s="391"/>
    </row>
    <row r="15" spans="2:32" ht="18.75" x14ac:dyDescent="0.3">
      <c r="B15" s="537" t="s">
        <v>212</v>
      </c>
      <c r="C15" s="393">
        <f>L11</f>
        <v>91080</v>
      </c>
      <c r="D15" s="394">
        <f t="shared" si="8"/>
        <v>1.5385547842060357E-3</v>
      </c>
      <c r="E15" s="390"/>
      <c r="F15" s="539" t="s">
        <v>511</v>
      </c>
      <c r="G15" s="401">
        <f>L16</f>
        <v>681088</v>
      </c>
      <c r="H15" s="394">
        <f t="shared" si="10"/>
        <v>1.1505173483369791E-2</v>
      </c>
      <c r="J15" s="436" t="s">
        <v>230</v>
      </c>
      <c r="K15" s="404" t="s">
        <v>241</v>
      </c>
      <c r="L15" s="437">
        <f t="shared" si="4"/>
        <v>6735296</v>
      </c>
      <c r="M15" s="405">
        <v>420956</v>
      </c>
      <c r="N15" s="526">
        <f>M15</f>
        <v>420956</v>
      </c>
      <c r="O15" s="526">
        <f t="shared" ref="O15:AB15" si="12">N15</f>
        <v>420956</v>
      </c>
      <c r="P15" s="526">
        <f t="shared" si="12"/>
        <v>420956</v>
      </c>
      <c r="Q15" s="526">
        <f t="shared" si="12"/>
        <v>420956</v>
      </c>
      <c r="R15" s="526">
        <f t="shared" si="12"/>
        <v>420956</v>
      </c>
      <c r="S15" s="526">
        <f t="shared" si="12"/>
        <v>420956</v>
      </c>
      <c r="T15" s="526">
        <f t="shared" si="12"/>
        <v>420956</v>
      </c>
      <c r="U15" s="526">
        <f t="shared" si="12"/>
        <v>420956</v>
      </c>
      <c r="V15" s="526">
        <f t="shared" si="12"/>
        <v>420956</v>
      </c>
      <c r="W15" s="526">
        <f t="shared" si="12"/>
        <v>420956</v>
      </c>
      <c r="X15" s="526">
        <f t="shared" si="12"/>
        <v>420956</v>
      </c>
      <c r="Y15" s="526">
        <f t="shared" si="12"/>
        <v>420956</v>
      </c>
      <c r="Z15" s="526">
        <f t="shared" si="12"/>
        <v>420956</v>
      </c>
      <c r="AA15" s="526">
        <f t="shared" si="12"/>
        <v>420956</v>
      </c>
      <c r="AB15" s="526">
        <f t="shared" si="12"/>
        <v>420956</v>
      </c>
      <c r="AC15" s="316"/>
    </row>
    <row r="16" spans="2:32" ht="18.75" x14ac:dyDescent="0.3">
      <c r="B16" s="537" t="s">
        <v>227</v>
      </c>
      <c r="C16" s="393">
        <f>L12</f>
        <v>0</v>
      </c>
      <c r="D16" s="394">
        <f t="shared" si="8"/>
        <v>0</v>
      </c>
      <c r="E16" s="390"/>
      <c r="F16" s="539" t="s">
        <v>241</v>
      </c>
      <c r="G16" s="401">
        <f>L15</f>
        <v>6735296</v>
      </c>
      <c r="H16" s="394">
        <f t="shared" si="10"/>
        <v>0.11377494382788511</v>
      </c>
      <c r="J16" s="436" t="s">
        <v>231</v>
      </c>
      <c r="K16" s="404" t="str">
        <f>J16</f>
        <v xml:space="preserve">Mantenimiento </v>
      </c>
      <c r="L16" s="437">
        <f t="shared" si="4"/>
        <v>681088</v>
      </c>
      <c r="M16" s="405">
        <v>42568</v>
      </c>
      <c r="N16" s="526">
        <f>M16</f>
        <v>42568</v>
      </c>
      <c r="O16" s="526">
        <f t="shared" ref="O16:AB16" si="13">N16</f>
        <v>42568</v>
      </c>
      <c r="P16" s="526">
        <f t="shared" si="13"/>
        <v>42568</v>
      </c>
      <c r="Q16" s="526">
        <f t="shared" si="13"/>
        <v>42568</v>
      </c>
      <c r="R16" s="522">
        <f t="shared" si="13"/>
        <v>42568</v>
      </c>
      <c r="S16" s="522">
        <f t="shared" si="13"/>
        <v>42568</v>
      </c>
      <c r="T16" s="522">
        <f t="shared" si="13"/>
        <v>42568</v>
      </c>
      <c r="U16" s="522">
        <f t="shared" si="13"/>
        <v>42568</v>
      </c>
      <c r="V16" s="522">
        <f t="shared" si="13"/>
        <v>42568</v>
      </c>
      <c r="W16" s="522">
        <f t="shared" si="13"/>
        <v>42568</v>
      </c>
      <c r="X16" s="522">
        <f t="shared" si="13"/>
        <v>42568</v>
      </c>
      <c r="Y16" s="522">
        <f t="shared" si="13"/>
        <v>42568</v>
      </c>
      <c r="Z16" s="522">
        <f t="shared" si="13"/>
        <v>42568</v>
      </c>
      <c r="AA16" s="522">
        <f t="shared" si="13"/>
        <v>42568</v>
      </c>
      <c r="AB16" s="522">
        <f t="shared" si="13"/>
        <v>42568</v>
      </c>
      <c r="AC16" s="316"/>
    </row>
    <row r="17" spans="2:29" ht="24" customHeight="1" x14ac:dyDescent="0.3">
      <c r="B17" s="537" t="s">
        <v>218</v>
      </c>
      <c r="C17" s="393">
        <f>L6</f>
        <v>4766254</v>
      </c>
      <c r="D17" s="394">
        <f t="shared" si="8"/>
        <v>8.0513207009674514E-2</v>
      </c>
      <c r="E17" s="390"/>
      <c r="F17" s="539" t="s">
        <v>233</v>
      </c>
      <c r="G17" s="401">
        <f>L18</f>
        <v>1044480</v>
      </c>
      <c r="H17" s="394">
        <f t="shared" si="10"/>
        <v>1.7643716524017569E-2</v>
      </c>
      <c r="J17" s="436" t="s">
        <v>232</v>
      </c>
      <c r="K17" s="404" t="s">
        <v>216</v>
      </c>
      <c r="L17" s="437">
        <f t="shared" si="4"/>
        <v>0</v>
      </c>
      <c r="M17" s="405">
        <v>0</v>
      </c>
      <c r="N17" s="526">
        <v>0</v>
      </c>
      <c r="O17" s="526">
        <v>0</v>
      </c>
      <c r="P17" s="526">
        <v>0</v>
      </c>
      <c r="Q17" s="526">
        <v>0</v>
      </c>
      <c r="R17" s="522">
        <v>0</v>
      </c>
      <c r="S17" s="522">
        <v>0</v>
      </c>
      <c r="T17" s="522">
        <v>0</v>
      </c>
      <c r="U17" s="522">
        <v>0</v>
      </c>
      <c r="V17" s="522">
        <v>0</v>
      </c>
      <c r="W17" s="522">
        <v>0</v>
      </c>
      <c r="X17" s="522">
        <v>0</v>
      </c>
      <c r="Y17" s="522">
        <v>0</v>
      </c>
      <c r="Z17" s="522">
        <v>0</v>
      </c>
      <c r="AA17" s="522">
        <v>0</v>
      </c>
      <c r="AB17" s="522">
        <v>0</v>
      </c>
      <c r="AC17" s="316"/>
    </row>
    <row r="18" spans="2:29" ht="18.75" x14ac:dyDescent="0.3">
      <c r="B18" s="537" t="s">
        <v>220</v>
      </c>
      <c r="C18" s="393">
        <f>L7</f>
        <v>3008000</v>
      </c>
      <c r="D18" s="394">
        <f t="shared" si="8"/>
        <v>5.0812173813040797E-2</v>
      </c>
      <c r="E18" s="395"/>
      <c r="F18" s="539" t="s">
        <v>235</v>
      </c>
      <c r="G18" s="406">
        <f>L19</f>
        <v>320000</v>
      </c>
      <c r="H18" s="394">
        <f t="shared" si="10"/>
        <v>5.4055504056426378E-3</v>
      </c>
      <c r="J18" s="436" t="s">
        <v>233</v>
      </c>
      <c r="K18" s="404" t="str">
        <f>J18</f>
        <v>Empleados</v>
      </c>
      <c r="L18" s="437">
        <f t="shared" si="4"/>
        <v>1044480</v>
      </c>
      <c r="M18" s="405">
        <v>65280</v>
      </c>
      <c r="N18" s="526">
        <f t="shared" ref="N18:AB24" si="14">M18</f>
        <v>65280</v>
      </c>
      <c r="O18" s="526">
        <f t="shared" si="14"/>
        <v>65280</v>
      </c>
      <c r="P18" s="526">
        <f t="shared" si="14"/>
        <v>65280</v>
      </c>
      <c r="Q18" s="526">
        <f t="shared" si="14"/>
        <v>65280</v>
      </c>
      <c r="R18" s="522">
        <f t="shared" si="14"/>
        <v>65280</v>
      </c>
      <c r="S18" s="522">
        <f t="shared" si="14"/>
        <v>65280</v>
      </c>
      <c r="T18" s="522">
        <f t="shared" si="14"/>
        <v>65280</v>
      </c>
      <c r="U18" s="522">
        <f t="shared" si="14"/>
        <v>65280</v>
      </c>
      <c r="V18" s="522">
        <f t="shared" si="14"/>
        <v>65280</v>
      </c>
      <c r="W18" s="522">
        <f t="shared" si="14"/>
        <v>65280</v>
      </c>
      <c r="X18" s="522">
        <f t="shared" si="14"/>
        <v>65280</v>
      </c>
      <c r="Y18" s="522">
        <f t="shared" si="14"/>
        <v>65280</v>
      </c>
      <c r="Z18" s="522">
        <f t="shared" si="14"/>
        <v>65280</v>
      </c>
      <c r="AA18" s="522">
        <f t="shared" si="14"/>
        <v>65280</v>
      </c>
      <c r="AB18" s="522">
        <f t="shared" si="14"/>
        <v>65280</v>
      </c>
      <c r="AC18" s="316"/>
    </row>
    <row r="19" spans="2:29" ht="18.75" x14ac:dyDescent="0.3">
      <c r="B19" s="537" t="s">
        <v>225</v>
      </c>
      <c r="C19" s="393">
        <f>L10</f>
        <v>192000</v>
      </c>
      <c r="D19" s="394">
        <f t="shared" si="8"/>
        <v>3.2433302433855825E-3</v>
      </c>
      <c r="E19" s="395"/>
      <c r="F19" s="540" t="s">
        <v>237</v>
      </c>
      <c r="G19" s="406">
        <f>L22</f>
        <v>64000</v>
      </c>
      <c r="H19" s="394">
        <f t="shared" si="10"/>
        <v>1.0811100811285277E-3</v>
      </c>
      <c r="J19" s="436" t="s">
        <v>235</v>
      </c>
      <c r="K19" s="404" t="str">
        <f>J19</f>
        <v>Juveniles</v>
      </c>
      <c r="L19" s="437">
        <f t="shared" si="4"/>
        <v>320000</v>
      </c>
      <c r="M19" s="405">
        <v>20000</v>
      </c>
      <c r="N19" s="526">
        <f t="shared" si="14"/>
        <v>20000</v>
      </c>
      <c r="O19" s="526">
        <f t="shared" si="14"/>
        <v>20000</v>
      </c>
      <c r="P19" s="526">
        <f t="shared" si="14"/>
        <v>20000</v>
      </c>
      <c r="Q19" s="526">
        <f t="shared" si="14"/>
        <v>20000</v>
      </c>
      <c r="R19" s="522">
        <f t="shared" si="14"/>
        <v>20000</v>
      </c>
      <c r="S19" s="522">
        <f t="shared" si="14"/>
        <v>20000</v>
      </c>
      <c r="T19" s="522">
        <f t="shared" si="14"/>
        <v>20000</v>
      </c>
      <c r="U19" s="522">
        <f t="shared" si="14"/>
        <v>20000</v>
      </c>
      <c r="V19" s="522">
        <f t="shared" si="14"/>
        <v>20000</v>
      </c>
      <c r="W19" s="522">
        <f t="shared" si="14"/>
        <v>20000</v>
      </c>
      <c r="X19" s="522">
        <f t="shared" si="14"/>
        <v>20000</v>
      </c>
      <c r="Y19" s="522">
        <f t="shared" si="14"/>
        <v>20000</v>
      </c>
      <c r="Z19" s="522">
        <f t="shared" si="14"/>
        <v>20000</v>
      </c>
      <c r="AA19" s="522">
        <f t="shared" si="14"/>
        <v>20000</v>
      </c>
      <c r="AB19" s="522">
        <f t="shared" si="14"/>
        <v>20000</v>
      </c>
      <c r="AC19" s="316"/>
    </row>
    <row r="20" spans="2:29" ht="18.75" x14ac:dyDescent="0.3">
      <c r="B20" s="537" t="s">
        <v>513</v>
      </c>
      <c r="C20" s="393">
        <f>L13</f>
        <v>0</v>
      </c>
      <c r="D20" s="394">
        <f t="shared" si="8"/>
        <v>0</v>
      </c>
      <c r="E20" s="395"/>
      <c r="F20" s="539" t="s">
        <v>238</v>
      </c>
      <c r="G20" s="388">
        <f>L24</f>
        <v>0</v>
      </c>
      <c r="H20" s="394">
        <f t="shared" si="10"/>
        <v>0</v>
      </c>
      <c r="J20" s="436" t="s">
        <v>236</v>
      </c>
      <c r="K20" s="404" t="s">
        <v>234</v>
      </c>
      <c r="L20" s="437">
        <f t="shared" si="4"/>
        <v>0</v>
      </c>
      <c r="M20" s="405">
        <v>0</v>
      </c>
      <c r="N20" s="526">
        <v>0</v>
      </c>
      <c r="O20" s="526">
        <f t="shared" si="14"/>
        <v>0</v>
      </c>
      <c r="P20" s="526">
        <f t="shared" si="14"/>
        <v>0</v>
      </c>
      <c r="Q20" s="526">
        <f t="shared" si="14"/>
        <v>0</v>
      </c>
      <c r="R20" s="522">
        <v>0</v>
      </c>
      <c r="S20" s="522">
        <v>0</v>
      </c>
      <c r="T20" s="522">
        <v>0</v>
      </c>
      <c r="U20" s="522">
        <v>0</v>
      </c>
      <c r="V20" s="522">
        <v>0</v>
      </c>
      <c r="W20" s="522">
        <v>0</v>
      </c>
      <c r="X20" s="522">
        <f t="shared" si="14"/>
        <v>0</v>
      </c>
      <c r="Y20" s="522">
        <f t="shared" si="14"/>
        <v>0</v>
      </c>
      <c r="Z20" s="522">
        <v>0</v>
      </c>
      <c r="AA20" s="522">
        <v>0</v>
      </c>
      <c r="AB20" s="522">
        <v>0</v>
      </c>
      <c r="AC20" s="316"/>
    </row>
    <row r="21" spans="2:29" ht="18.75" x14ac:dyDescent="0.3">
      <c r="B21" s="537" t="s">
        <v>514</v>
      </c>
      <c r="C21" s="393">
        <f>L23*-1</f>
        <v>0</v>
      </c>
      <c r="D21" s="394">
        <f t="shared" si="8"/>
        <v>0</v>
      </c>
      <c r="E21" s="390"/>
      <c r="F21" s="392"/>
      <c r="G21" s="403"/>
      <c r="H21" s="394"/>
      <c r="J21" s="550" t="s">
        <v>226</v>
      </c>
      <c r="K21" s="404" t="s">
        <v>219</v>
      </c>
      <c r="L21" s="437">
        <f t="shared" si="4"/>
        <v>0</v>
      </c>
      <c r="M21" s="405">
        <v>0</v>
      </c>
      <c r="N21" s="526">
        <f>M21</f>
        <v>0</v>
      </c>
      <c r="O21" s="526">
        <f t="shared" si="14"/>
        <v>0</v>
      </c>
      <c r="P21" s="526">
        <f t="shared" si="14"/>
        <v>0</v>
      </c>
      <c r="Q21" s="526">
        <f t="shared" si="14"/>
        <v>0</v>
      </c>
      <c r="R21" s="522">
        <f t="shared" si="14"/>
        <v>0</v>
      </c>
      <c r="S21" s="522">
        <f t="shared" si="14"/>
        <v>0</v>
      </c>
      <c r="T21" s="522">
        <f t="shared" si="14"/>
        <v>0</v>
      </c>
      <c r="U21" s="522">
        <f t="shared" si="14"/>
        <v>0</v>
      </c>
      <c r="V21" s="522">
        <f t="shared" si="14"/>
        <v>0</v>
      </c>
      <c r="W21" s="522">
        <f t="shared" si="14"/>
        <v>0</v>
      </c>
      <c r="X21" s="522">
        <f t="shared" si="14"/>
        <v>0</v>
      </c>
      <c r="Y21" s="522">
        <f t="shared" si="14"/>
        <v>0</v>
      </c>
      <c r="Z21" s="522">
        <v>0</v>
      </c>
      <c r="AA21" s="522">
        <f t="shared" ref="AA21:AB24" si="15">Z21</f>
        <v>0</v>
      </c>
      <c r="AB21" s="522">
        <f t="shared" si="15"/>
        <v>0</v>
      </c>
      <c r="AC21" s="316"/>
    </row>
    <row r="22" spans="2:29" ht="18.75" x14ac:dyDescent="0.3">
      <c r="B22" s="392"/>
      <c r="C22" s="393"/>
      <c r="D22" s="394"/>
      <c r="E22" s="390"/>
      <c r="F22" s="396"/>
      <c r="G22" s="401"/>
      <c r="H22" s="394"/>
      <c r="J22" s="550"/>
      <c r="K22" s="404" t="s">
        <v>237</v>
      </c>
      <c r="L22" s="437">
        <f t="shared" si="4"/>
        <v>64000</v>
      </c>
      <c r="M22" s="405">
        <v>4000</v>
      </c>
      <c r="N22" s="526">
        <f>M22</f>
        <v>4000</v>
      </c>
      <c r="O22" s="526">
        <f t="shared" si="14"/>
        <v>4000</v>
      </c>
      <c r="P22" s="526">
        <f t="shared" si="14"/>
        <v>4000</v>
      </c>
      <c r="Q22" s="526">
        <f t="shared" si="14"/>
        <v>4000</v>
      </c>
      <c r="R22" s="526">
        <f t="shared" si="14"/>
        <v>4000</v>
      </c>
      <c r="S22" s="526">
        <f t="shared" si="14"/>
        <v>4000</v>
      </c>
      <c r="T22" s="526">
        <f t="shared" si="14"/>
        <v>4000</v>
      </c>
      <c r="U22" s="526">
        <f t="shared" si="14"/>
        <v>4000</v>
      </c>
      <c r="V22" s="526">
        <f t="shared" si="14"/>
        <v>4000</v>
      </c>
      <c r="W22" s="526">
        <f t="shared" si="14"/>
        <v>4000</v>
      </c>
      <c r="X22" s="526">
        <f t="shared" si="14"/>
        <v>4000</v>
      </c>
      <c r="Y22" s="526">
        <f t="shared" si="14"/>
        <v>4000</v>
      </c>
      <c r="Z22" s="526">
        <f t="shared" ref="Z22" si="16">Y22</f>
        <v>4000</v>
      </c>
      <c r="AA22" s="526">
        <f t="shared" si="15"/>
        <v>4000</v>
      </c>
      <c r="AB22" s="526">
        <f t="shared" si="15"/>
        <v>4000</v>
      </c>
      <c r="AC22" s="316"/>
    </row>
    <row r="23" spans="2:29" ht="18.75" x14ac:dyDescent="0.3">
      <c r="B23" s="537" t="s">
        <v>222</v>
      </c>
      <c r="C23" s="393">
        <f>L8+L9</f>
        <v>0</v>
      </c>
      <c r="D23" s="394">
        <f t="shared" si="8"/>
        <v>0</v>
      </c>
      <c r="E23" s="390"/>
      <c r="F23" s="392" t="s">
        <v>657</v>
      </c>
      <c r="G23" s="401">
        <f>L20</f>
        <v>0</v>
      </c>
      <c r="H23" s="394">
        <f t="shared" ref="H23" si="17">G23/$G$2</f>
        <v>0</v>
      </c>
      <c r="J23" s="550"/>
      <c r="K23" s="404" t="s">
        <v>224</v>
      </c>
      <c r="L23" s="437">
        <f t="shared" si="4"/>
        <v>0</v>
      </c>
      <c r="M23" s="405">
        <v>0</v>
      </c>
      <c r="N23" s="526">
        <f>M23</f>
        <v>0</v>
      </c>
      <c r="O23" s="526">
        <f t="shared" si="14"/>
        <v>0</v>
      </c>
      <c r="P23" s="526">
        <f t="shared" si="14"/>
        <v>0</v>
      </c>
      <c r="Q23" s="526">
        <f t="shared" si="14"/>
        <v>0</v>
      </c>
      <c r="R23" s="522">
        <f t="shared" si="14"/>
        <v>0</v>
      </c>
      <c r="S23" s="522">
        <f t="shared" si="14"/>
        <v>0</v>
      </c>
      <c r="T23" s="522">
        <f t="shared" si="14"/>
        <v>0</v>
      </c>
      <c r="U23" s="522">
        <f t="shared" si="14"/>
        <v>0</v>
      </c>
      <c r="V23" s="522">
        <f t="shared" si="14"/>
        <v>0</v>
      </c>
      <c r="W23" s="522">
        <f t="shared" si="14"/>
        <v>0</v>
      </c>
      <c r="X23" s="522">
        <f t="shared" si="14"/>
        <v>0</v>
      </c>
      <c r="Y23" s="522">
        <f t="shared" si="14"/>
        <v>0</v>
      </c>
      <c r="Z23" s="522">
        <v>0</v>
      </c>
      <c r="AA23" s="522">
        <f t="shared" si="15"/>
        <v>0</v>
      </c>
      <c r="AB23" s="522">
        <f t="shared" si="15"/>
        <v>0</v>
      </c>
      <c r="AC23" s="316"/>
    </row>
    <row r="24" spans="2:29" ht="21" x14ac:dyDescent="0.35">
      <c r="B24" s="402" t="s">
        <v>512</v>
      </c>
      <c r="C24" s="388">
        <f>C25</f>
        <v>8247419</v>
      </c>
      <c r="D24" s="389">
        <f t="shared" si="8"/>
        <v>0.13931824725298375</v>
      </c>
      <c r="E24" s="390"/>
      <c r="F24" s="396"/>
      <c r="G24" s="401"/>
      <c r="H24" s="390"/>
      <c r="J24" s="436" t="s">
        <v>238</v>
      </c>
      <c r="K24" s="404" t="str">
        <f>J24</f>
        <v>Intereses</v>
      </c>
      <c r="L24" s="437">
        <f t="shared" si="4"/>
        <v>0</v>
      </c>
      <c r="M24" s="405">
        <v>0</v>
      </c>
      <c r="N24" s="526">
        <f>M24</f>
        <v>0</v>
      </c>
      <c r="O24" s="526">
        <f t="shared" si="14"/>
        <v>0</v>
      </c>
      <c r="P24" s="526">
        <f t="shared" si="14"/>
        <v>0</v>
      </c>
      <c r="Q24" s="526">
        <f t="shared" si="14"/>
        <v>0</v>
      </c>
      <c r="R24" s="522">
        <f t="shared" si="14"/>
        <v>0</v>
      </c>
      <c r="S24" s="522">
        <f t="shared" si="14"/>
        <v>0</v>
      </c>
      <c r="T24" s="522">
        <f t="shared" si="14"/>
        <v>0</v>
      </c>
      <c r="U24" s="522">
        <f t="shared" si="14"/>
        <v>0</v>
      </c>
      <c r="V24" s="522">
        <f t="shared" si="14"/>
        <v>0</v>
      </c>
      <c r="W24" s="522">
        <f t="shared" si="14"/>
        <v>0</v>
      </c>
      <c r="X24" s="522">
        <f t="shared" si="14"/>
        <v>0</v>
      </c>
      <c r="Y24" s="522">
        <f t="shared" si="14"/>
        <v>0</v>
      </c>
      <c r="Z24" s="522">
        <v>0</v>
      </c>
      <c r="AA24" s="522">
        <f t="shared" si="15"/>
        <v>0</v>
      </c>
      <c r="AB24" s="522">
        <f t="shared" si="15"/>
        <v>0</v>
      </c>
      <c r="AC24" s="316"/>
    </row>
    <row r="25" spans="2:29" ht="18.75" x14ac:dyDescent="0.3">
      <c r="B25" s="537" t="s">
        <v>597</v>
      </c>
      <c r="C25" s="393">
        <f>L5</f>
        <v>8247419</v>
      </c>
      <c r="D25" s="394">
        <f t="shared" si="8"/>
        <v>0.13931824725298375</v>
      </c>
      <c r="E25" s="390"/>
      <c r="F25" s="396"/>
      <c r="G25" s="401"/>
      <c r="H25" s="390"/>
      <c r="I25" s="397"/>
      <c r="J25" s="438" t="s">
        <v>239</v>
      </c>
      <c r="K25" s="439"/>
      <c r="L25" s="440">
        <f t="shared" si="4"/>
        <v>8844864</v>
      </c>
      <c r="M25" s="441">
        <f t="shared" ref="M25:AB25" si="18">SUM(M15:M24)</f>
        <v>552804</v>
      </c>
      <c r="N25" s="441">
        <f t="shared" si="18"/>
        <v>552804</v>
      </c>
      <c r="O25" s="441">
        <f t="shared" si="18"/>
        <v>552804</v>
      </c>
      <c r="P25" s="441">
        <f t="shared" si="18"/>
        <v>552804</v>
      </c>
      <c r="Q25" s="441">
        <f t="shared" si="18"/>
        <v>552804</v>
      </c>
      <c r="R25" s="441">
        <f t="shared" si="18"/>
        <v>552804</v>
      </c>
      <c r="S25" s="441">
        <f t="shared" si="18"/>
        <v>552804</v>
      </c>
      <c r="T25" s="441">
        <f t="shared" si="18"/>
        <v>552804</v>
      </c>
      <c r="U25" s="441">
        <f t="shared" si="18"/>
        <v>552804</v>
      </c>
      <c r="V25" s="441">
        <f t="shared" si="18"/>
        <v>552804</v>
      </c>
      <c r="W25" s="441">
        <f t="shared" si="18"/>
        <v>552804</v>
      </c>
      <c r="X25" s="441">
        <f t="shared" si="18"/>
        <v>552804</v>
      </c>
      <c r="Y25" s="441">
        <f t="shared" si="18"/>
        <v>552804</v>
      </c>
      <c r="Z25" s="441">
        <f t="shared" si="18"/>
        <v>552804</v>
      </c>
      <c r="AA25" s="441">
        <f t="shared" si="18"/>
        <v>552804</v>
      </c>
      <c r="AB25" s="441">
        <f t="shared" si="18"/>
        <v>552804</v>
      </c>
      <c r="AC25" s="391"/>
    </row>
    <row r="26" spans="2:29" ht="18.75" x14ac:dyDescent="0.3">
      <c r="B26" s="537" t="s">
        <v>598</v>
      </c>
      <c r="C26" s="403">
        <f>L27</f>
        <v>7459889</v>
      </c>
      <c r="D26" s="394"/>
      <c r="E26" s="411"/>
      <c r="F26" s="412"/>
      <c r="G26" s="409"/>
      <c r="H26" s="411"/>
      <c r="I26" s="397"/>
      <c r="J26" s="425" t="s">
        <v>515</v>
      </c>
      <c r="K26" s="425"/>
      <c r="L26" s="426">
        <f>L4-L13+L23</f>
        <v>0</v>
      </c>
      <c r="M26" s="427">
        <f>M4-M13+M23</f>
        <v>0</v>
      </c>
      <c r="N26" s="427">
        <f t="shared" ref="N26:AB26" si="19">N4-N13+N23</f>
        <v>0</v>
      </c>
      <c r="O26" s="427">
        <f t="shared" si="19"/>
        <v>0</v>
      </c>
      <c r="P26" s="427">
        <f t="shared" si="19"/>
        <v>0</v>
      </c>
      <c r="Q26" s="427">
        <f t="shared" si="19"/>
        <v>0</v>
      </c>
      <c r="R26" s="427">
        <f t="shared" si="19"/>
        <v>0</v>
      </c>
      <c r="S26" s="427">
        <f t="shared" si="19"/>
        <v>0</v>
      </c>
      <c r="T26" s="427">
        <f t="shared" si="19"/>
        <v>0</v>
      </c>
      <c r="U26" s="427">
        <f t="shared" si="19"/>
        <v>0</v>
      </c>
      <c r="V26" s="427">
        <f t="shared" si="19"/>
        <v>0</v>
      </c>
      <c r="W26" s="427">
        <f t="shared" si="19"/>
        <v>0</v>
      </c>
      <c r="X26" s="427">
        <f t="shared" si="19"/>
        <v>0</v>
      </c>
      <c r="Y26" s="427">
        <f t="shared" si="19"/>
        <v>0</v>
      </c>
      <c r="Z26" s="427">
        <f t="shared" si="19"/>
        <v>0</v>
      </c>
      <c r="AA26" s="427">
        <f t="shared" si="19"/>
        <v>0</v>
      </c>
      <c r="AB26" s="427">
        <f t="shared" si="19"/>
        <v>0</v>
      </c>
      <c r="AC26" s="391"/>
    </row>
    <row r="27" spans="2:29" ht="18.75" x14ac:dyDescent="0.3">
      <c r="B27" s="392"/>
      <c r="C27" s="401"/>
      <c r="D27" s="394"/>
      <c r="E27" s="397"/>
      <c r="F27" s="397"/>
      <c r="G27" s="397"/>
      <c r="H27" s="397"/>
      <c r="I27" s="397"/>
      <c r="J27" s="428" t="s">
        <v>240</v>
      </c>
      <c r="K27" s="428"/>
      <c r="L27" s="429">
        <f>AB27</f>
        <v>7459889</v>
      </c>
      <c r="M27" s="430">
        <f t="shared" ref="M27:AB27" si="20">M5+M14-M25</f>
        <v>7929295</v>
      </c>
      <c r="N27" s="430">
        <f t="shared" si="20"/>
        <v>7637901</v>
      </c>
      <c r="O27" s="430">
        <f t="shared" si="20"/>
        <v>7890541</v>
      </c>
      <c r="P27" s="430">
        <f t="shared" si="20"/>
        <v>8250883</v>
      </c>
      <c r="Q27" s="430">
        <f t="shared" si="20"/>
        <v>8060199</v>
      </c>
      <c r="R27" s="430">
        <f t="shared" si="20"/>
        <v>8077029</v>
      </c>
      <c r="S27" s="430">
        <f t="shared" si="20"/>
        <v>7739255</v>
      </c>
      <c r="T27" s="430">
        <f t="shared" si="20"/>
        <v>8061481</v>
      </c>
      <c r="U27" s="430">
        <f t="shared" si="20"/>
        <v>7723707</v>
      </c>
      <c r="V27" s="430">
        <f t="shared" si="20"/>
        <v>8045933</v>
      </c>
      <c r="W27" s="430">
        <f t="shared" si="20"/>
        <v>7708159</v>
      </c>
      <c r="X27" s="430">
        <f t="shared" si="20"/>
        <v>8030385</v>
      </c>
      <c r="Y27" s="430">
        <f t="shared" si="20"/>
        <v>7692611</v>
      </c>
      <c r="Z27" s="430">
        <f t="shared" si="20"/>
        <v>8014837</v>
      </c>
      <c r="AA27" s="430">
        <f t="shared" si="20"/>
        <v>7692063</v>
      </c>
      <c r="AB27" s="430">
        <f t="shared" si="20"/>
        <v>7459889</v>
      </c>
      <c r="AC27" s="391"/>
    </row>
    <row r="28" spans="2:29" ht="15.75" x14ac:dyDescent="0.25">
      <c r="B28" s="392"/>
      <c r="C28" s="401"/>
      <c r="D28" s="394"/>
      <c r="J28" s="413"/>
      <c r="K28" s="413"/>
      <c r="L28" s="414"/>
      <c r="M28" s="415">
        <f>M1+7</f>
        <v>44550</v>
      </c>
      <c r="N28" s="415">
        <f t="shared" ref="N28:AB28" si="21">M28+7</f>
        <v>44557</v>
      </c>
      <c r="O28" s="415">
        <f t="shared" si="21"/>
        <v>44564</v>
      </c>
      <c r="P28" s="415">
        <f t="shared" si="21"/>
        <v>44571</v>
      </c>
      <c r="Q28" s="415">
        <f t="shared" si="21"/>
        <v>44578</v>
      </c>
      <c r="R28" s="415">
        <f t="shared" si="21"/>
        <v>44585</v>
      </c>
      <c r="S28" s="415">
        <f t="shared" si="21"/>
        <v>44592</v>
      </c>
      <c r="T28" s="415">
        <f t="shared" si="21"/>
        <v>44599</v>
      </c>
      <c r="U28" s="415">
        <f t="shared" si="21"/>
        <v>44606</v>
      </c>
      <c r="V28" s="415">
        <f t="shared" si="21"/>
        <v>44613</v>
      </c>
      <c r="W28" s="415">
        <f t="shared" si="21"/>
        <v>44620</v>
      </c>
      <c r="X28" s="415">
        <f t="shared" si="21"/>
        <v>44627</v>
      </c>
      <c r="Y28" s="415">
        <f t="shared" si="21"/>
        <v>44634</v>
      </c>
      <c r="Z28" s="415">
        <f t="shared" si="21"/>
        <v>44641</v>
      </c>
      <c r="AA28" s="415">
        <f t="shared" si="21"/>
        <v>44648</v>
      </c>
      <c r="AB28" s="415">
        <f t="shared" si="21"/>
        <v>44655</v>
      </c>
      <c r="AC28" s="316"/>
    </row>
    <row r="29" spans="2:29" ht="15.75" x14ac:dyDescent="0.25">
      <c r="B29" s="392"/>
      <c r="C29" s="401"/>
      <c r="D29" s="394"/>
      <c r="G29" s="385"/>
      <c r="J29" s="316"/>
      <c r="K29" s="316"/>
      <c r="L29" s="321"/>
      <c r="M29" s="316"/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</row>
    <row r="30" spans="2:29" ht="15.75" x14ac:dyDescent="0.25">
      <c r="B30" s="408"/>
      <c r="C30" s="409"/>
      <c r="D30" s="410"/>
      <c r="G30" s="385"/>
      <c r="J30" s="316"/>
      <c r="K30" s="316"/>
      <c r="L30" s="407" t="s">
        <v>516</v>
      </c>
      <c r="M30" s="416">
        <v>44537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</row>
    <row r="31" spans="2:29" ht="15.75" x14ac:dyDescent="0.25">
      <c r="E31" s="419"/>
      <c r="F31" s="419"/>
      <c r="G31" s="527"/>
      <c r="H31" s="419"/>
      <c r="I31" s="419"/>
      <c r="J31" s="417"/>
      <c r="K31" s="418">
        <f>SUM(K33:K55)</f>
        <v>77053066</v>
      </c>
      <c r="L31" s="418">
        <f>SUM(L33:L55)</f>
        <v>75800000</v>
      </c>
      <c r="M31" s="418">
        <f>SUM(M33:M55)</f>
        <v>21529926</v>
      </c>
      <c r="N31" s="418">
        <f>SUM(N33:N55)</f>
        <v>55523140</v>
      </c>
      <c r="O31" s="417"/>
      <c r="P31" s="418"/>
      <c r="Q31" s="417"/>
      <c r="R31" s="417"/>
      <c r="S31" s="417"/>
      <c r="T31" s="417"/>
      <c r="U31" s="417"/>
      <c r="V31" s="417"/>
      <c r="W31" s="417"/>
      <c r="X31" s="417"/>
      <c r="Y31" s="417"/>
      <c r="Z31" s="417"/>
      <c r="AA31" s="417"/>
      <c r="AB31" s="408"/>
      <c r="AC31" s="409"/>
    </row>
    <row r="32" spans="2:29" ht="15.75" x14ac:dyDescent="0.25">
      <c r="B32" s="419"/>
      <c r="C32" s="419"/>
      <c r="D32" s="419"/>
      <c r="E32" s="2"/>
      <c r="F32" s="2"/>
      <c r="G32" s="2"/>
      <c r="H32" s="2"/>
      <c r="I32" s="2"/>
      <c r="J32" s="420" t="s">
        <v>84</v>
      </c>
      <c r="K32" s="420" t="s">
        <v>517</v>
      </c>
      <c r="L32" s="420" t="s">
        <v>518</v>
      </c>
      <c r="M32" s="420" t="s">
        <v>510</v>
      </c>
      <c r="N32" s="420" t="s">
        <v>655</v>
      </c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</row>
    <row r="33" spans="2:29" ht="15.75" x14ac:dyDescent="0.25">
      <c r="B33" s="2"/>
      <c r="C33" s="2"/>
      <c r="D33" s="2"/>
      <c r="J33" s="538" t="s">
        <v>520</v>
      </c>
      <c r="K33" s="421">
        <v>11113000</v>
      </c>
      <c r="L33" s="421">
        <v>8350000</v>
      </c>
      <c r="M33" s="422">
        <f>IF((K33-L33)&gt;0,(K33-L33),0)</f>
        <v>2763000</v>
      </c>
      <c r="N33" s="403">
        <f>K33-M33</f>
        <v>8350000</v>
      </c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419"/>
      <c r="AC33" s="419"/>
    </row>
    <row r="34" spans="2:29" x14ac:dyDescent="0.25">
      <c r="J34" s="538" t="s">
        <v>521</v>
      </c>
      <c r="K34" s="421">
        <v>11662680</v>
      </c>
      <c r="L34" s="421">
        <v>1500000</v>
      </c>
      <c r="M34" s="422">
        <f t="shared" ref="M34:M49" si="22">IF((K34-L34)&gt;0,(K34-L34),0)</f>
        <v>10162680</v>
      </c>
      <c r="N34" s="403">
        <f t="shared" ref="N34:N49" si="23">K34-M34</f>
        <v>1500000</v>
      </c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2"/>
      <c r="AC34" s="2"/>
    </row>
    <row r="35" spans="2:29" x14ac:dyDescent="0.25">
      <c r="J35" s="538" t="s">
        <v>656</v>
      </c>
      <c r="K35" s="421">
        <f>5464000+30516</f>
        <v>5494516</v>
      </c>
      <c r="L35" s="421">
        <v>4350000</v>
      </c>
      <c r="M35" s="422">
        <f t="shared" si="22"/>
        <v>1144516</v>
      </c>
      <c r="N35" s="403">
        <f t="shared" si="23"/>
        <v>4350000</v>
      </c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</row>
    <row r="36" spans="2:29" x14ac:dyDescent="0.25">
      <c r="J36" s="538" t="s">
        <v>522</v>
      </c>
      <c r="K36" s="421">
        <v>2121600</v>
      </c>
      <c r="L36" s="421">
        <v>3450000</v>
      </c>
      <c r="M36" s="422">
        <f t="shared" si="22"/>
        <v>0</v>
      </c>
      <c r="N36" s="403">
        <f t="shared" si="23"/>
        <v>2121600</v>
      </c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</row>
    <row r="37" spans="2:29" x14ac:dyDescent="0.25">
      <c r="J37" s="538" t="s">
        <v>523</v>
      </c>
      <c r="K37" s="421">
        <v>3900000</v>
      </c>
      <c r="L37" s="421">
        <v>3750000</v>
      </c>
      <c r="M37" s="422">
        <f t="shared" si="22"/>
        <v>150000</v>
      </c>
      <c r="N37" s="403">
        <f t="shared" si="23"/>
        <v>3750000</v>
      </c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</row>
    <row r="38" spans="2:29" x14ac:dyDescent="0.25">
      <c r="J38" s="538" t="s">
        <v>524</v>
      </c>
      <c r="K38" s="421">
        <v>3550000</v>
      </c>
      <c r="L38" s="421">
        <v>3100000</v>
      </c>
      <c r="M38" s="422">
        <f t="shared" si="22"/>
        <v>450000</v>
      </c>
      <c r="N38" s="403">
        <f t="shared" si="23"/>
        <v>3100000</v>
      </c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16"/>
      <c r="Z38" s="316"/>
      <c r="AA38" s="316"/>
    </row>
    <row r="39" spans="2:29" x14ac:dyDescent="0.25">
      <c r="J39" s="538" t="s">
        <v>525</v>
      </c>
      <c r="K39" s="421">
        <v>2040000</v>
      </c>
      <c r="L39" s="421">
        <v>3100000</v>
      </c>
      <c r="M39" s="422">
        <f t="shared" si="22"/>
        <v>0</v>
      </c>
      <c r="N39" s="403">
        <f t="shared" si="23"/>
        <v>2040000</v>
      </c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316"/>
    </row>
    <row r="40" spans="2:29" x14ac:dyDescent="0.25">
      <c r="J40" s="538" t="s">
        <v>526</v>
      </c>
      <c r="K40" s="421">
        <v>4689000</v>
      </c>
      <c r="L40" s="421">
        <v>5150000</v>
      </c>
      <c r="M40" s="422">
        <f t="shared" si="22"/>
        <v>0</v>
      </c>
      <c r="N40" s="403">
        <f t="shared" si="23"/>
        <v>4689000</v>
      </c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</row>
    <row r="41" spans="2:29" x14ac:dyDescent="0.25">
      <c r="J41" s="538" t="s">
        <v>527</v>
      </c>
      <c r="K41" s="421">
        <v>3852540</v>
      </c>
      <c r="L41" s="421">
        <v>5100000</v>
      </c>
      <c r="M41" s="422">
        <f t="shared" si="22"/>
        <v>0</v>
      </c>
      <c r="N41" s="403">
        <f t="shared" si="23"/>
        <v>3852540</v>
      </c>
      <c r="O41" s="316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16"/>
      <c r="AA41" s="316"/>
    </row>
    <row r="42" spans="2:29" x14ac:dyDescent="0.25">
      <c r="J42" s="538" t="s">
        <v>528</v>
      </c>
      <c r="K42" s="421">
        <v>1887000</v>
      </c>
      <c r="L42" s="421">
        <v>7350000</v>
      </c>
      <c r="M42" s="422">
        <f t="shared" si="22"/>
        <v>0</v>
      </c>
      <c r="N42" s="403">
        <f t="shared" si="23"/>
        <v>1887000</v>
      </c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6"/>
      <c r="Z42" s="316"/>
      <c r="AA42" s="316"/>
    </row>
    <row r="43" spans="2:29" x14ac:dyDescent="0.25">
      <c r="J43" s="538" t="s">
        <v>529</v>
      </c>
      <c r="K43" s="421">
        <v>2327000</v>
      </c>
      <c r="L43" s="421">
        <v>5150000</v>
      </c>
      <c r="M43" s="422">
        <f t="shared" si="22"/>
        <v>0</v>
      </c>
      <c r="N43" s="403">
        <f t="shared" si="23"/>
        <v>2327000</v>
      </c>
      <c r="O43" s="316"/>
      <c r="P43" s="316"/>
      <c r="Q43" s="316"/>
      <c r="R43" s="316"/>
      <c r="S43" s="316"/>
      <c r="T43" s="316"/>
      <c r="U43" s="316"/>
      <c r="V43" s="316"/>
      <c r="W43" s="316"/>
      <c r="X43" s="316"/>
      <c r="Y43" s="316"/>
      <c r="Z43" s="316"/>
      <c r="AA43" s="316"/>
    </row>
    <row r="44" spans="2:29" x14ac:dyDescent="0.25">
      <c r="J44" s="538" t="s">
        <v>531</v>
      </c>
      <c r="K44" s="421">
        <v>1308000</v>
      </c>
      <c r="L44" s="421">
        <v>5400000</v>
      </c>
      <c r="M44" s="422">
        <f t="shared" si="22"/>
        <v>0</v>
      </c>
      <c r="N44" s="403">
        <f t="shared" si="23"/>
        <v>1308000</v>
      </c>
      <c r="O44" s="316"/>
      <c r="P44" s="316"/>
      <c r="Q44" s="316"/>
      <c r="R44" s="316"/>
      <c r="S44" s="316"/>
      <c r="T44" s="316"/>
      <c r="U44" s="316"/>
      <c r="V44" s="316"/>
      <c r="W44" s="316"/>
      <c r="X44" s="316"/>
      <c r="Y44" s="316"/>
      <c r="Z44" s="316"/>
      <c r="AA44" s="316"/>
    </row>
    <row r="45" spans="2:29" x14ac:dyDescent="0.25">
      <c r="J45" s="538" t="s">
        <v>532</v>
      </c>
      <c r="K45" s="421">
        <v>1548000</v>
      </c>
      <c r="L45" s="421">
        <v>5350000</v>
      </c>
      <c r="M45" s="422">
        <f t="shared" si="22"/>
        <v>0</v>
      </c>
      <c r="N45" s="403">
        <f t="shared" si="23"/>
        <v>1548000</v>
      </c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</row>
    <row r="46" spans="2:29" x14ac:dyDescent="0.25">
      <c r="J46" s="538" t="s">
        <v>533</v>
      </c>
      <c r="K46" s="421">
        <v>4162000</v>
      </c>
      <c r="L46" s="421">
        <v>2650000</v>
      </c>
      <c r="M46" s="422">
        <f t="shared" si="22"/>
        <v>1512000</v>
      </c>
      <c r="N46" s="403">
        <f t="shared" si="23"/>
        <v>2650000</v>
      </c>
      <c r="O46" s="316"/>
      <c r="P46" s="316"/>
      <c r="Q46" s="316"/>
      <c r="R46" s="316"/>
      <c r="S46" s="316"/>
      <c r="T46" s="316"/>
      <c r="U46" s="316"/>
      <c r="V46" s="316"/>
      <c r="W46" s="316"/>
      <c r="X46" s="316"/>
      <c r="Y46" s="316"/>
      <c r="Z46" s="316"/>
      <c r="AA46" s="316"/>
    </row>
    <row r="47" spans="2:29" x14ac:dyDescent="0.25">
      <c r="J47" s="538" t="s">
        <v>534</v>
      </c>
      <c r="K47" s="421">
        <v>5380000</v>
      </c>
      <c r="L47" s="421">
        <v>3500000</v>
      </c>
      <c r="M47" s="422">
        <f t="shared" si="22"/>
        <v>1880000</v>
      </c>
      <c r="N47" s="403">
        <f t="shared" si="23"/>
        <v>3500000</v>
      </c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</row>
    <row r="48" spans="2:29" x14ac:dyDescent="0.25">
      <c r="J48" s="538" t="s">
        <v>535</v>
      </c>
      <c r="K48" s="421">
        <v>2989620</v>
      </c>
      <c r="L48" s="421">
        <v>1200000</v>
      </c>
      <c r="M48" s="422">
        <f t="shared" si="22"/>
        <v>1789620</v>
      </c>
      <c r="N48" s="403">
        <f t="shared" si="23"/>
        <v>1200000</v>
      </c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316"/>
    </row>
    <row r="49" spans="10:29" x14ac:dyDescent="0.25">
      <c r="J49" s="538" t="s">
        <v>616</v>
      </c>
      <c r="K49" s="421">
        <v>9028110</v>
      </c>
      <c r="L49" s="421">
        <v>7350000</v>
      </c>
      <c r="M49" s="422">
        <f t="shared" si="22"/>
        <v>1678110</v>
      </c>
      <c r="N49" s="403">
        <f t="shared" si="23"/>
        <v>7350000</v>
      </c>
      <c r="O49" s="316"/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</row>
    <row r="50" spans="10:29" x14ac:dyDescent="0.25">
      <c r="J50" s="321"/>
      <c r="K50" s="421"/>
      <c r="L50" s="421"/>
      <c r="M50" s="421"/>
      <c r="N50" s="422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16"/>
      <c r="AA50" s="316"/>
      <c r="AB50" s="316"/>
      <c r="AC50" s="316"/>
    </row>
    <row r="51" spans="10:29" x14ac:dyDescent="0.25">
      <c r="J51" s="321"/>
      <c r="K51" s="421"/>
      <c r="L51" s="421"/>
      <c r="M51" s="421"/>
      <c r="N51" s="422"/>
      <c r="O51" s="316"/>
      <c r="P51" s="316"/>
      <c r="Q51" s="316"/>
      <c r="R51" s="316"/>
      <c r="S51" s="316"/>
      <c r="T51" s="316"/>
      <c r="U51" s="316"/>
      <c r="V51" s="316"/>
      <c r="W51" s="316"/>
      <c r="X51" s="316"/>
      <c r="Y51" s="316"/>
      <c r="Z51" s="316"/>
      <c r="AA51" s="316"/>
      <c r="AB51" s="316"/>
      <c r="AC51" s="316"/>
    </row>
    <row r="52" spans="10:29" x14ac:dyDescent="0.25">
      <c r="J52" s="321"/>
      <c r="K52" s="421"/>
      <c r="L52" s="421"/>
      <c r="M52" s="421"/>
      <c r="N52" s="422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  <c r="AA52" s="316"/>
      <c r="AB52" s="316"/>
      <c r="AC52" s="316"/>
    </row>
    <row r="53" spans="10:29" x14ac:dyDescent="0.25">
      <c r="J53" s="321"/>
      <c r="K53" s="421"/>
      <c r="L53" s="421"/>
      <c r="M53" s="421"/>
      <c r="N53" s="422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16"/>
      <c r="Z53" s="316"/>
      <c r="AA53" s="316"/>
      <c r="AB53" s="316"/>
      <c r="AC53" s="316"/>
    </row>
    <row r="54" spans="10:29" x14ac:dyDescent="0.25">
      <c r="J54" s="321"/>
      <c r="K54" s="316"/>
      <c r="L54" s="321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16"/>
      <c r="Z54" s="316"/>
      <c r="AA54" s="316"/>
      <c r="AB54" s="316"/>
      <c r="AC54" s="316"/>
    </row>
  </sheetData>
  <mergeCells count="2">
    <mergeCell ref="J11:J13"/>
    <mergeCell ref="J21:J23"/>
  </mergeCells>
  <conditionalFormatting sqref="AC31">
    <cfRule type="cellIs" dxfId="70" priority="33" operator="greaterThan">
      <formula>0</formula>
    </cfRule>
    <cfRule type="cellIs" dxfId="69" priority="34" operator="lessThan">
      <formula>0</formula>
    </cfRule>
  </conditionalFormatting>
  <conditionalFormatting sqref="C4:C5 G15:G26 C27:C30">
    <cfRule type="cellIs" dxfId="68" priority="25" operator="greaterThan">
      <formula>0</formula>
    </cfRule>
    <cfRule type="cellIs" dxfId="67" priority="26" operator="lessThan">
      <formula>0</formula>
    </cfRule>
  </conditionalFormatting>
  <conditionalFormatting sqref="C6 C9">
    <cfRule type="cellIs" dxfId="66" priority="17" operator="greaterThan">
      <formula>0</formula>
    </cfRule>
    <cfRule type="cellIs" dxfId="65" priority="18" operator="lessThan">
      <formula>0</formula>
    </cfRule>
  </conditionalFormatting>
  <conditionalFormatting sqref="C13">
    <cfRule type="cellIs" dxfId="64" priority="15" operator="greaterThan">
      <formula>0</formula>
    </cfRule>
    <cfRule type="cellIs" dxfId="63" priority="16" operator="lessThan">
      <formula>0</formula>
    </cfRule>
  </conditionalFormatting>
  <conditionalFormatting sqref="C25">
    <cfRule type="cellIs" dxfId="62" priority="1" operator="greaterThan">
      <formula>0</formula>
    </cfRule>
    <cfRule type="cellIs" dxfId="61" priority="2" operator="lessThan">
      <formula>0</formula>
    </cfRule>
  </conditionalFormatting>
  <conditionalFormatting sqref="C15:C23">
    <cfRule type="cellIs" dxfId="60" priority="9" operator="greaterThan">
      <formula>0</formula>
    </cfRule>
    <cfRule type="cellIs" dxfId="59" priority="10" operator="lessThan">
      <formula>0</formula>
    </cfRule>
  </conditionalFormatting>
  <conditionalFormatting sqref="G4:G5">
    <cfRule type="cellIs" dxfId="58" priority="7" operator="greaterThan">
      <formula>0</formula>
    </cfRule>
    <cfRule type="cellIs" dxfId="57" priority="8" operator="lessThan">
      <formula>0</formula>
    </cfRule>
  </conditionalFormatting>
  <conditionalFormatting sqref="G8">
    <cfRule type="cellIs" dxfId="56" priority="5" operator="greaterThan">
      <formula>0</formula>
    </cfRule>
    <cfRule type="cellIs" dxfId="55" priority="6" operator="lessThan">
      <formula>0</formula>
    </cfRule>
  </conditionalFormatting>
  <conditionalFormatting sqref="G9">
    <cfRule type="cellIs" dxfId="54" priority="3" operator="greaterThan">
      <formula>0</formula>
    </cfRule>
    <cfRule type="cellIs" dxfId="53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311"/>
      <c r="N2" s="49" t="e">
        <f>SUM(N4:N14)</f>
        <v>#REF!</v>
      </c>
      <c r="Y2" s="49" t="e">
        <f>SUM(Y4:Y14)</f>
        <v>#REF!</v>
      </c>
    </row>
    <row r="3" spans="1:28" x14ac:dyDescent="0.25">
      <c r="A3" s="81" t="s">
        <v>183</v>
      </c>
      <c r="B3" s="79" t="s">
        <v>83</v>
      </c>
      <c r="C3" s="79" t="s">
        <v>184</v>
      </c>
      <c r="D3" s="79" t="s">
        <v>185</v>
      </c>
      <c r="E3" s="79" t="s">
        <v>186</v>
      </c>
      <c r="F3" s="79" t="s">
        <v>86</v>
      </c>
      <c r="G3" s="79" t="s">
        <v>104</v>
      </c>
      <c r="H3" s="79" t="s">
        <v>105</v>
      </c>
      <c r="I3" s="79" t="s">
        <v>106</v>
      </c>
      <c r="J3" s="79" t="s">
        <v>107</v>
      </c>
      <c r="K3" s="79" t="s">
        <v>108</v>
      </c>
      <c r="L3" s="79" t="s">
        <v>109</v>
      </c>
      <c r="M3" s="79" t="s">
        <v>87</v>
      </c>
      <c r="N3" s="79" t="s">
        <v>187</v>
      </c>
      <c r="P3" s="79" t="s">
        <v>186</v>
      </c>
      <c r="Q3" s="79" t="s">
        <v>86</v>
      </c>
      <c r="R3" s="79" t="s">
        <v>104</v>
      </c>
      <c r="S3" s="79" t="s">
        <v>105</v>
      </c>
      <c r="T3" s="79" t="s">
        <v>106</v>
      </c>
      <c r="U3" s="79" t="s">
        <v>107</v>
      </c>
      <c r="V3" s="79" t="s">
        <v>108</v>
      </c>
      <c r="W3" s="79" t="s">
        <v>109</v>
      </c>
      <c r="X3" s="79" t="s">
        <v>87</v>
      </c>
      <c r="Y3" s="79" t="s">
        <v>187</v>
      </c>
      <c r="AA3" s="311" t="s">
        <v>188</v>
      </c>
      <c r="AB3">
        <v>0</v>
      </c>
    </row>
    <row r="4" spans="1:28" x14ac:dyDescent="0.25">
      <c r="A4" s="314" t="str">
        <f>PLANTILLA!A4</f>
        <v>#1</v>
      </c>
      <c r="B4" s="69" t="s">
        <v>14</v>
      </c>
      <c r="C4" s="223" t="str">
        <f>PLANTILLA!D4</f>
        <v>L. Guangwei</v>
      </c>
      <c r="D4" s="70" t="str">
        <f>PLANTILLA!G4</f>
        <v>IMP</v>
      </c>
      <c r="E4" s="70">
        <f>PLANTILLA!E4</f>
        <v>29</v>
      </c>
      <c r="F4" s="138">
        <f ca="1">PLANTILLA!F4</f>
        <v>59</v>
      </c>
      <c r="G4" s="85">
        <f>PLANTILLA!X4</f>
        <v>15</v>
      </c>
      <c r="H4" s="85">
        <f>PLANTILLA!Y4</f>
        <v>9.4444444444444446</v>
      </c>
      <c r="I4" s="85">
        <f>PLANTILLA!Z4</f>
        <v>3</v>
      </c>
      <c r="J4" s="85">
        <f>PLANTILLA!AA4</f>
        <v>1</v>
      </c>
      <c r="K4" s="85">
        <f>PLANTILLA!AB4</f>
        <v>5</v>
      </c>
      <c r="L4" s="85">
        <f>PLANTILLA!AC4</f>
        <v>5.6</v>
      </c>
      <c r="M4" s="85">
        <f>PLANTILLA!AD4</f>
        <v>22</v>
      </c>
      <c r="N4" s="95">
        <f>PLANTILLA!V4</f>
        <v>28500</v>
      </c>
      <c r="P4" s="70">
        <f>E4</f>
        <v>29</v>
      </c>
      <c r="Q4" s="138">
        <f ca="1">F4+$AB$7*7</f>
        <v>108</v>
      </c>
      <c r="R4" s="85">
        <f>G4</f>
        <v>15</v>
      </c>
      <c r="S4" s="85">
        <f t="shared" ref="S4:X4" si="0">H4</f>
        <v>9.4444444444444446</v>
      </c>
      <c r="T4" s="85">
        <f t="shared" si="0"/>
        <v>3</v>
      </c>
      <c r="U4" s="85">
        <f t="shared" si="0"/>
        <v>1</v>
      </c>
      <c r="V4" s="85">
        <f t="shared" si="0"/>
        <v>5</v>
      </c>
      <c r="W4" s="85">
        <f t="shared" si="0"/>
        <v>5.6</v>
      </c>
      <c r="X4" s="85">
        <f t="shared" si="0"/>
        <v>22</v>
      </c>
      <c r="Y4" s="95">
        <f>N4</f>
        <v>28500</v>
      </c>
      <c r="AA4" s="311" t="s">
        <v>189</v>
      </c>
      <c r="AB4">
        <v>7</v>
      </c>
    </row>
    <row r="5" spans="1:28" x14ac:dyDescent="0.25">
      <c r="A5" s="314" t="e">
        <f>PLANTILLA!#REF!</f>
        <v>#REF!</v>
      </c>
      <c r="B5" s="69" t="s">
        <v>37</v>
      </c>
      <c r="C5" s="223" t="str">
        <f>PLANTILLA!D7</f>
        <v>S. Swärdborn</v>
      </c>
      <c r="D5" s="70" t="str">
        <f>PLANTILLA!G7</f>
        <v>IMP</v>
      </c>
      <c r="E5" s="70">
        <f>PLANTILLA!E7</f>
        <v>28</v>
      </c>
      <c r="F5" s="138">
        <f ca="1">PLANTILLA!F7</f>
        <v>88</v>
      </c>
      <c r="G5" s="85">
        <f>PLANTILLA!X7</f>
        <v>0</v>
      </c>
      <c r="H5" s="85">
        <f>PLANTILLA!Y7</f>
        <v>14.85</v>
      </c>
      <c r="I5" s="85">
        <f>PLANTILLA!Z7</f>
        <v>10</v>
      </c>
      <c r="J5" s="85">
        <f>PLANTILLA!AA7</f>
        <v>1</v>
      </c>
      <c r="K5" s="85">
        <f>PLANTILLA!AB7</f>
        <v>3</v>
      </c>
      <c r="L5" s="85">
        <f>PLANTILLA!AC7</f>
        <v>7.916666666666667</v>
      </c>
      <c r="M5" s="85">
        <f>PLANTILLA!AD7</f>
        <v>18.75</v>
      </c>
      <c r="N5" s="95">
        <f>PLANTILLA!V7</f>
        <v>31476</v>
      </c>
      <c r="P5" s="70">
        <f t="shared" ref="P5:P14" si="1">E5</f>
        <v>28</v>
      </c>
      <c r="Q5" s="138">
        <f t="shared" ref="Q5:Q14" ca="1" si="2">F5+$AB$7*7</f>
        <v>137</v>
      </c>
      <c r="R5" s="85">
        <f t="shared" ref="R5:R15" si="3">G5</f>
        <v>0</v>
      </c>
      <c r="S5" s="85">
        <f t="shared" ref="S5:S15" si="4">H5</f>
        <v>14.85</v>
      </c>
      <c r="T5" s="85">
        <f t="shared" ref="T5:T9" si="5">I5</f>
        <v>10</v>
      </c>
      <c r="U5" s="85">
        <f t="shared" ref="U5:U15" si="6">J5</f>
        <v>1</v>
      </c>
      <c r="V5" s="85">
        <f t="shared" ref="V5:V15" si="7">K5</f>
        <v>3</v>
      </c>
      <c r="W5" s="85">
        <f t="shared" ref="W5:W15" si="8">L5</f>
        <v>7.916666666666667</v>
      </c>
      <c r="X5" s="85">
        <f t="shared" ref="X5:X15" si="9">M5</f>
        <v>18.75</v>
      </c>
      <c r="Y5" s="95">
        <f t="shared" ref="Y5:Y15" si="10">N5</f>
        <v>31476</v>
      </c>
      <c r="AA5" s="311" t="s">
        <v>170</v>
      </c>
      <c r="AB5">
        <v>0</v>
      </c>
    </row>
    <row r="6" spans="1:28" x14ac:dyDescent="0.25">
      <c r="A6" s="314" t="str">
        <f>PLANTILLA!A12</f>
        <v>#2</v>
      </c>
      <c r="B6" s="69" t="s">
        <v>37</v>
      </c>
      <c r="C6" s="223" t="str">
        <f>PLANTILLA!D8</f>
        <v>A. Grimaud</v>
      </c>
      <c r="D6" s="70" t="str">
        <f>PLANTILLA!G8</f>
        <v>RAP</v>
      </c>
      <c r="E6" s="70">
        <f>PLANTILLA!E8</f>
        <v>28</v>
      </c>
      <c r="F6" s="138">
        <f ca="1">PLANTILLA!F8</f>
        <v>111</v>
      </c>
      <c r="G6" s="85">
        <f>PLANTILLA!X8</f>
        <v>0</v>
      </c>
      <c r="H6" s="85">
        <f>PLANTILLA!Y8</f>
        <v>14.9</v>
      </c>
      <c r="I6" s="85">
        <f>PLANTILLA!Z8</f>
        <v>10.222222222222221</v>
      </c>
      <c r="J6" s="85">
        <f>PLANTILLA!AA8</f>
        <v>3</v>
      </c>
      <c r="K6" s="85">
        <f>PLANTILLA!AB8</f>
        <v>3</v>
      </c>
      <c r="L6" s="85">
        <f>PLANTILLA!AC8</f>
        <v>7.25</v>
      </c>
      <c r="M6" s="85">
        <f>PLANTILLA!AD8</f>
        <v>18.2</v>
      </c>
      <c r="N6" s="95">
        <f>PLANTILLA!V8</f>
        <v>31212</v>
      </c>
      <c r="P6" s="70">
        <v>23</v>
      </c>
      <c r="Q6" s="138">
        <f ca="1">F6+$AB$7*7-112</f>
        <v>48</v>
      </c>
      <c r="R6" s="85">
        <f t="shared" si="3"/>
        <v>0</v>
      </c>
      <c r="S6" s="85">
        <f t="shared" si="4"/>
        <v>14.9</v>
      </c>
      <c r="T6" s="85">
        <f t="shared" si="5"/>
        <v>10.222222222222221</v>
      </c>
      <c r="U6" s="85">
        <f t="shared" si="6"/>
        <v>3</v>
      </c>
      <c r="V6" s="85">
        <f t="shared" si="7"/>
        <v>3</v>
      </c>
      <c r="W6" s="85">
        <f t="shared" si="8"/>
        <v>7.25</v>
      </c>
      <c r="X6" s="85">
        <f t="shared" si="9"/>
        <v>18.2</v>
      </c>
      <c r="Y6" s="95">
        <f t="shared" si="10"/>
        <v>31212</v>
      </c>
      <c r="AA6" s="311" t="s">
        <v>169</v>
      </c>
      <c r="AB6">
        <v>0</v>
      </c>
    </row>
    <row r="7" spans="1:28" x14ac:dyDescent="0.25">
      <c r="A7" s="314" t="e">
        <f>PLANTILLA!#REF!</f>
        <v>#REF!</v>
      </c>
      <c r="B7" s="69" t="s">
        <v>37</v>
      </c>
      <c r="C7" s="223" t="str">
        <f>PLANTILLA!D6</f>
        <v>V. Gardner</v>
      </c>
      <c r="D7" s="70">
        <f>PLANTILLA!G6</f>
        <v>0</v>
      </c>
      <c r="E7" s="70">
        <f>PLANTILLA!E6</f>
        <v>28</v>
      </c>
      <c r="F7" s="138">
        <f ca="1">PLANTILLA!F6</f>
        <v>100</v>
      </c>
      <c r="G7" s="85">
        <f>PLANTILLA!X6</f>
        <v>0</v>
      </c>
      <c r="H7" s="85">
        <f>PLANTILLA!Y6</f>
        <v>15</v>
      </c>
      <c r="I7" s="85">
        <f>PLANTILLA!Z6</f>
        <v>8.375</v>
      </c>
      <c r="J7" s="85">
        <f>PLANTILLA!AA6</f>
        <v>3</v>
      </c>
      <c r="K7" s="85">
        <f>PLANTILLA!AB6</f>
        <v>5</v>
      </c>
      <c r="L7" s="85">
        <f>PLANTILLA!AC6</f>
        <v>7.333333333333333</v>
      </c>
      <c r="M7" s="85">
        <f>PLANTILLA!AD6</f>
        <v>19</v>
      </c>
      <c r="N7" s="95">
        <f>PLANTILLA!V6</f>
        <v>26600</v>
      </c>
      <c r="P7" s="70">
        <v>23</v>
      </c>
      <c r="Q7" s="138">
        <f ca="1">F7+$AB$7*7-112</f>
        <v>37</v>
      </c>
      <c r="R7" s="85">
        <f t="shared" si="3"/>
        <v>0</v>
      </c>
      <c r="S7" s="85">
        <f t="shared" si="4"/>
        <v>15</v>
      </c>
      <c r="T7" s="85">
        <f t="shared" si="5"/>
        <v>8.375</v>
      </c>
      <c r="U7" s="85">
        <f t="shared" si="6"/>
        <v>3</v>
      </c>
      <c r="V7" s="85">
        <f t="shared" si="7"/>
        <v>5</v>
      </c>
      <c r="W7" s="85">
        <f t="shared" si="8"/>
        <v>7.333333333333333</v>
      </c>
      <c r="X7" s="85">
        <f t="shared" si="9"/>
        <v>19</v>
      </c>
      <c r="Y7" s="95">
        <f t="shared" si="10"/>
        <v>26600</v>
      </c>
      <c r="AA7" s="311" t="s">
        <v>190</v>
      </c>
      <c r="AB7">
        <f>AB5+AB4+AB3+AB6</f>
        <v>7</v>
      </c>
    </row>
    <row r="8" spans="1:28" x14ac:dyDescent="0.25">
      <c r="A8" s="314" t="str">
        <f>PLANTILLA!A7</f>
        <v>#2</v>
      </c>
      <c r="B8" s="69" t="s">
        <v>37</v>
      </c>
      <c r="C8" s="223" t="e">
        <f>PLANTILLA!#REF!</f>
        <v>#REF!</v>
      </c>
      <c r="D8" s="70" t="e">
        <f>PLANTILLA!#REF!</f>
        <v>#REF!</v>
      </c>
      <c r="E8" s="70" t="e">
        <f>PLANTILLA!#REF!</f>
        <v>#REF!</v>
      </c>
      <c r="F8" s="138" t="e">
        <f>PLANTILLA!#REF!</f>
        <v>#REF!</v>
      </c>
      <c r="G8" s="85" t="e">
        <f>PLANTILLA!#REF!</f>
        <v>#REF!</v>
      </c>
      <c r="H8" s="85" t="e">
        <f>PLANTILLA!#REF!</f>
        <v>#REF!</v>
      </c>
      <c r="I8" s="85" t="e">
        <f>PLANTILLA!#REF!</f>
        <v>#REF!</v>
      </c>
      <c r="J8" s="85" t="e">
        <f>PLANTILLA!#REF!</f>
        <v>#REF!</v>
      </c>
      <c r="K8" s="85" t="e">
        <f>PLANTILLA!#REF!</f>
        <v>#REF!</v>
      </c>
      <c r="L8" s="85" t="e">
        <f>PLANTILLA!#REF!</f>
        <v>#REF!</v>
      </c>
      <c r="M8" s="85" t="e">
        <f>PLANTILLA!#REF!</f>
        <v>#REF!</v>
      </c>
      <c r="N8" s="95" t="e">
        <f>PLANTILLA!#REF!</f>
        <v>#REF!</v>
      </c>
      <c r="P8" s="70" t="e">
        <f t="shared" si="1"/>
        <v>#REF!</v>
      </c>
      <c r="Q8" s="138" t="e">
        <f t="shared" si="2"/>
        <v>#REF!</v>
      </c>
      <c r="R8" s="85" t="e">
        <f t="shared" si="3"/>
        <v>#REF!</v>
      </c>
      <c r="S8" s="85" t="e">
        <f t="shared" si="4"/>
        <v>#REF!</v>
      </c>
      <c r="T8" s="85" t="e">
        <f t="shared" si="5"/>
        <v>#REF!</v>
      </c>
      <c r="U8" s="85" t="e">
        <f t="shared" si="6"/>
        <v>#REF!</v>
      </c>
      <c r="V8" s="85" t="e">
        <f t="shared" si="7"/>
        <v>#REF!</v>
      </c>
      <c r="W8" s="85" t="e">
        <f t="shared" si="8"/>
        <v>#REF!</v>
      </c>
      <c r="X8" s="85" t="e">
        <f t="shared" si="9"/>
        <v>#REF!</v>
      </c>
      <c r="Y8" s="95" t="e">
        <f t="shared" si="10"/>
        <v>#REF!</v>
      </c>
      <c r="AA8" s="311" t="s">
        <v>191</v>
      </c>
      <c r="AB8" s="71">
        <f>AB7/16</f>
        <v>0.4375</v>
      </c>
    </row>
    <row r="9" spans="1:28" x14ac:dyDescent="0.25">
      <c r="A9" s="314" t="str">
        <f>PLANTILLA!A8</f>
        <v>#19</v>
      </c>
      <c r="B9" s="69" t="s">
        <v>37</v>
      </c>
      <c r="C9" s="223" t="str">
        <f>PLANTILLA!D9</f>
        <v>E. Deus</v>
      </c>
      <c r="D9" s="70" t="str">
        <f>PLANTILLA!G9</f>
        <v>IMP</v>
      </c>
      <c r="E9" s="70">
        <f>PLANTILLA!E9</f>
        <v>28</v>
      </c>
      <c r="F9" s="138">
        <f ca="1">PLANTILLA!F9</f>
        <v>27</v>
      </c>
      <c r="G9" s="85">
        <f>PLANTILLA!X9</f>
        <v>0</v>
      </c>
      <c r="H9" s="85">
        <f>PLANTILLA!Y9</f>
        <v>14.1</v>
      </c>
      <c r="I9" s="85">
        <f>PLANTILLA!Z9</f>
        <v>9.375</v>
      </c>
      <c r="J9" s="85">
        <f>PLANTILLA!AA9</f>
        <v>1</v>
      </c>
      <c r="K9" s="85">
        <f>PLANTILLA!AB9</f>
        <v>6</v>
      </c>
      <c r="L9" s="85">
        <f>PLANTILLA!AC9</f>
        <v>6.4</v>
      </c>
      <c r="M9" s="85">
        <f>PLANTILLA!AD9</f>
        <v>19.2</v>
      </c>
      <c r="N9" s="95">
        <f>PLANTILLA!V9</f>
        <v>24468</v>
      </c>
      <c r="P9" s="70">
        <v>22</v>
      </c>
      <c r="Q9" s="138">
        <f ca="1">F9+$AB$7*7-112</f>
        <v>-36</v>
      </c>
      <c r="R9" s="85">
        <f t="shared" si="3"/>
        <v>0</v>
      </c>
      <c r="S9" s="85">
        <f t="shared" si="4"/>
        <v>14.1</v>
      </c>
      <c r="T9" s="85">
        <f t="shared" si="5"/>
        <v>9.375</v>
      </c>
      <c r="U9" s="85">
        <f t="shared" si="6"/>
        <v>1</v>
      </c>
      <c r="V9" s="85">
        <f t="shared" si="7"/>
        <v>6</v>
      </c>
      <c r="W9" s="85">
        <f t="shared" si="8"/>
        <v>6.4</v>
      </c>
      <c r="X9" s="85">
        <f t="shared" si="9"/>
        <v>19.2</v>
      </c>
      <c r="Y9" s="95">
        <f t="shared" si="10"/>
        <v>24468</v>
      </c>
    </row>
    <row r="10" spans="1:28" x14ac:dyDescent="0.25">
      <c r="A10" s="314" t="str">
        <f>PLANTILLA!A6</f>
        <v>#22</v>
      </c>
      <c r="B10" s="69" t="s">
        <v>192</v>
      </c>
      <c r="C10" s="223" t="str">
        <f>PLANTILLA!D16</f>
        <v>I. Vanags</v>
      </c>
      <c r="D10" s="70" t="str">
        <f>PLANTILLA!G16</f>
        <v>CAB</v>
      </c>
      <c r="E10" s="70">
        <f>PLANTILLA!E16</f>
        <v>28</v>
      </c>
      <c r="F10" s="138">
        <f ca="1">PLANTILLA!F16</f>
        <v>87</v>
      </c>
      <c r="G10" s="85">
        <f>PLANTILLA!X16</f>
        <v>0</v>
      </c>
      <c r="H10" s="85">
        <f>PLANTILLA!Y16</f>
        <v>10</v>
      </c>
      <c r="I10" s="85">
        <f>PLANTILLA!Z16</f>
        <v>15</v>
      </c>
      <c r="J10" s="85">
        <f>PLANTILLA!AA16</f>
        <v>3</v>
      </c>
      <c r="K10" s="85">
        <f>PLANTILLA!AB16</f>
        <v>4</v>
      </c>
      <c r="L10" s="85">
        <f>PLANTILLA!AC16</f>
        <v>8.375</v>
      </c>
      <c r="M10" s="85">
        <f>PLANTILLA!AD16</f>
        <v>19.399999999999999</v>
      </c>
      <c r="N10" s="95">
        <f>PLANTILLA!V16</f>
        <v>42012</v>
      </c>
      <c r="P10" s="70">
        <f t="shared" si="1"/>
        <v>28</v>
      </c>
      <c r="Q10" s="138">
        <f t="shared" ca="1" si="2"/>
        <v>136</v>
      </c>
      <c r="R10" s="85">
        <f t="shared" si="3"/>
        <v>0</v>
      </c>
      <c r="S10" s="85">
        <f t="shared" si="4"/>
        <v>10</v>
      </c>
      <c r="T10" s="85">
        <f>I10+$AB$4/9</f>
        <v>15.777777777777779</v>
      </c>
      <c r="U10" s="85">
        <f t="shared" si="6"/>
        <v>3</v>
      </c>
      <c r="V10" s="85">
        <f t="shared" si="7"/>
        <v>4</v>
      </c>
      <c r="W10" s="85">
        <f t="shared" si="8"/>
        <v>8.375</v>
      </c>
      <c r="X10" s="85">
        <f t="shared" si="9"/>
        <v>19.399999999999999</v>
      </c>
      <c r="Y10" s="95">
        <f t="shared" si="10"/>
        <v>42012</v>
      </c>
    </row>
    <row r="11" spans="1:28" x14ac:dyDescent="0.25">
      <c r="A11" s="314" t="e">
        <f>PLANTILLA!#REF!</f>
        <v>#REF!</v>
      </c>
      <c r="B11" s="69" t="s">
        <v>192</v>
      </c>
      <c r="C11" s="223" t="str">
        <f>PLANTILLA!D17</f>
        <v>I. Stone</v>
      </c>
      <c r="D11" s="70" t="str">
        <f>PLANTILLA!G17</f>
        <v>RAP</v>
      </c>
      <c r="E11" s="70">
        <f>PLANTILLA!E17</f>
        <v>28</v>
      </c>
      <c r="F11" s="138">
        <f ca="1">PLANTILLA!F17</f>
        <v>30</v>
      </c>
      <c r="G11" s="85">
        <f>PLANTILLA!X17</f>
        <v>0</v>
      </c>
      <c r="H11" s="85">
        <f>PLANTILLA!Y17</f>
        <v>8.3333333333333339</v>
      </c>
      <c r="I11" s="85">
        <f>PLANTILLA!Z17</f>
        <v>14</v>
      </c>
      <c r="J11" s="85">
        <f>PLANTILLA!AA17</f>
        <v>2</v>
      </c>
      <c r="K11" s="85">
        <f>PLANTILLA!AB17</f>
        <v>6</v>
      </c>
      <c r="L11" s="85">
        <f>PLANTILLA!AC17</f>
        <v>10.199999999999999</v>
      </c>
      <c r="M11" s="85">
        <f>PLANTILLA!AD17</f>
        <v>19</v>
      </c>
      <c r="N11" s="95">
        <f>PLANTILLA!V17</f>
        <v>24700</v>
      </c>
      <c r="P11" s="70">
        <v>22</v>
      </c>
      <c r="Q11" s="138">
        <f ca="1">F11+$AB$7*7-112</f>
        <v>-33</v>
      </c>
      <c r="R11" s="85">
        <f t="shared" si="3"/>
        <v>0</v>
      </c>
      <c r="S11" s="85">
        <f t="shared" si="4"/>
        <v>8.3333333333333339</v>
      </c>
      <c r="T11" s="85">
        <f>I11+$AB$4/9</f>
        <v>14.777777777777779</v>
      </c>
      <c r="U11" s="85">
        <f t="shared" si="6"/>
        <v>2</v>
      </c>
      <c r="V11" s="85">
        <f t="shared" si="7"/>
        <v>6</v>
      </c>
      <c r="W11" s="85">
        <f t="shared" si="8"/>
        <v>10.199999999999999</v>
      </c>
      <c r="X11" s="85">
        <f t="shared" si="9"/>
        <v>19</v>
      </c>
      <c r="Y11" s="95">
        <f t="shared" si="10"/>
        <v>24700</v>
      </c>
    </row>
    <row r="12" spans="1:28" x14ac:dyDescent="0.25">
      <c r="A12" s="314" t="str">
        <f>PLANTILLA!A9</f>
        <v>#4</v>
      </c>
      <c r="B12" s="69" t="s">
        <v>192</v>
      </c>
      <c r="C12" s="223" t="str">
        <f>PLANTILLA!D18</f>
        <v>G. Piscaer</v>
      </c>
      <c r="D12" s="70" t="str">
        <f>PLANTILLA!G18</f>
        <v>IMP</v>
      </c>
      <c r="E12" s="70">
        <f>PLANTILLA!E18</f>
        <v>28</v>
      </c>
      <c r="F12" s="138">
        <f ca="1">PLANTILLA!F18</f>
        <v>103</v>
      </c>
      <c r="G12" s="85">
        <f>PLANTILLA!X18</f>
        <v>0</v>
      </c>
      <c r="H12" s="85">
        <f>PLANTILLA!Y18</f>
        <v>9.5</v>
      </c>
      <c r="I12" s="85">
        <f>PLANTILLA!Z18</f>
        <v>15.19047619047619</v>
      </c>
      <c r="J12" s="85">
        <f>PLANTILLA!AA18</f>
        <v>3</v>
      </c>
      <c r="K12" s="85">
        <f>PLANTILLA!AB18</f>
        <v>2</v>
      </c>
      <c r="L12" s="85">
        <f>PLANTILLA!AC18</f>
        <v>9.25</v>
      </c>
      <c r="M12" s="85">
        <f>PLANTILLA!AD18</f>
        <v>18.666666666666668</v>
      </c>
      <c r="N12" s="95">
        <f>PLANTILLA!V18</f>
        <v>44004</v>
      </c>
      <c r="P12" s="70">
        <v>23</v>
      </c>
      <c r="Q12" s="138">
        <f t="shared" ref="Q12:Q13" ca="1" si="11">F12+$AB$7*7-112</f>
        <v>40</v>
      </c>
      <c r="R12" s="85">
        <f t="shared" si="3"/>
        <v>0</v>
      </c>
      <c r="S12" s="85">
        <f t="shared" si="4"/>
        <v>9.5</v>
      </c>
      <c r="T12" s="85">
        <f>14+2/12</f>
        <v>14.166666666666666</v>
      </c>
      <c r="U12" s="85">
        <f t="shared" si="6"/>
        <v>3</v>
      </c>
      <c r="V12" s="85">
        <f t="shared" si="7"/>
        <v>2</v>
      </c>
      <c r="W12" s="85">
        <f t="shared" si="8"/>
        <v>9.25</v>
      </c>
      <c r="X12" s="85">
        <f t="shared" si="9"/>
        <v>18.666666666666668</v>
      </c>
      <c r="Y12" s="95">
        <f t="shared" si="10"/>
        <v>44004</v>
      </c>
    </row>
    <row r="13" spans="1:28" x14ac:dyDescent="0.25">
      <c r="A13" s="314" t="str">
        <f>PLANTILLA!A16</f>
        <v>#16</v>
      </c>
      <c r="B13" s="69" t="s">
        <v>192</v>
      </c>
      <c r="C13" s="223" t="str">
        <f>PLANTILLA!D19</f>
        <v>M. Bondarewski</v>
      </c>
      <c r="D13" s="70" t="str">
        <f>PLANTILLA!G19</f>
        <v>RAP</v>
      </c>
      <c r="E13" s="70">
        <f>PLANTILLA!E19</f>
        <v>28</v>
      </c>
      <c r="F13" s="138">
        <f ca="1">PLANTILLA!F19</f>
        <v>103</v>
      </c>
      <c r="G13" s="85">
        <f>PLANTILLA!X19</f>
        <v>0</v>
      </c>
      <c r="H13" s="85">
        <f>PLANTILLA!Y19</f>
        <v>8.3333333333333339</v>
      </c>
      <c r="I13" s="85">
        <f>PLANTILLA!Z19</f>
        <v>15</v>
      </c>
      <c r="J13" s="85">
        <f>PLANTILLA!AA19</f>
        <v>5</v>
      </c>
      <c r="K13" s="85">
        <f>PLANTILLA!AB19</f>
        <v>4</v>
      </c>
      <c r="L13" s="85">
        <f>PLANTILLA!AC19</f>
        <v>9.125</v>
      </c>
      <c r="M13" s="85">
        <f>PLANTILLA!AD19</f>
        <v>20.166666666666668</v>
      </c>
      <c r="N13" s="95">
        <f>PLANTILLA!V19</f>
        <v>40284</v>
      </c>
      <c r="P13" s="70">
        <v>23</v>
      </c>
      <c r="Q13" s="138">
        <f t="shared" ca="1" si="11"/>
        <v>40</v>
      </c>
      <c r="R13" s="85">
        <f t="shared" si="3"/>
        <v>0</v>
      </c>
      <c r="S13" s="85">
        <f t="shared" si="4"/>
        <v>8.3333333333333339</v>
      </c>
      <c r="T13" s="85">
        <f>14+2/12</f>
        <v>14.166666666666666</v>
      </c>
      <c r="U13" s="85">
        <f t="shared" si="6"/>
        <v>5</v>
      </c>
      <c r="V13" s="85">
        <f t="shared" si="7"/>
        <v>4</v>
      </c>
      <c r="W13" s="85">
        <f t="shared" si="8"/>
        <v>9.125</v>
      </c>
      <c r="X13" s="85">
        <f t="shared" si="9"/>
        <v>20.166666666666668</v>
      </c>
      <c r="Y13" s="95">
        <f t="shared" si="10"/>
        <v>40284</v>
      </c>
    </row>
    <row r="14" spans="1:28" x14ac:dyDescent="0.25">
      <c r="A14" s="314" t="str">
        <f>PLANTILLA!A17</f>
        <v>#8</v>
      </c>
      <c r="B14" s="69" t="s">
        <v>192</v>
      </c>
      <c r="C14" s="223" t="str">
        <f>PLANTILLA!D15</f>
        <v>P. Tuderek</v>
      </c>
      <c r="D14" s="70" t="str">
        <f>PLANTILLA!G15</f>
        <v>CAB</v>
      </c>
      <c r="E14" s="70">
        <f>PLANTILLA!E15</f>
        <v>28</v>
      </c>
      <c r="F14" s="138">
        <f ca="1">PLANTILLA!F15</f>
        <v>89</v>
      </c>
      <c r="G14" s="85">
        <f>PLANTILLA!X15</f>
        <v>0</v>
      </c>
      <c r="H14" s="85">
        <f>PLANTILLA!Y15</f>
        <v>11.307692307692308</v>
      </c>
      <c r="I14" s="85">
        <f>PLANTILLA!Z15</f>
        <v>14.333333333333334</v>
      </c>
      <c r="J14" s="85">
        <f>PLANTILLA!AA15</f>
        <v>2</v>
      </c>
      <c r="K14" s="85">
        <f>PLANTILLA!AB15</f>
        <v>3</v>
      </c>
      <c r="L14" s="85">
        <f>PLANTILLA!AC15</f>
        <v>8</v>
      </c>
      <c r="M14" s="85">
        <f>PLANTILLA!AD15</f>
        <v>20.166666666666668</v>
      </c>
      <c r="N14" s="95">
        <f>PLANTILLA!V15</f>
        <v>31812</v>
      </c>
      <c r="P14" s="70">
        <f t="shared" si="1"/>
        <v>28</v>
      </c>
      <c r="Q14" s="138">
        <f t="shared" ca="1" si="2"/>
        <v>138</v>
      </c>
      <c r="R14" s="85">
        <f t="shared" si="3"/>
        <v>0</v>
      </c>
      <c r="S14" s="85">
        <f t="shared" si="4"/>
        <v>11.307692307692308</v>
      </c>
      <c r="T14" s="85">
        <v>13</v>
      </c>
      <c r="U14" s="85">
        <f t="shared" si="6"/>
        <v>2</v>
      </c>
      <c r="V14" s="85">
        <f t="shared" si="7"/>
        <v>3</v>
      </c>
      <c r="W14" s="85">
        <f t="shared" si="8"/>
        <v>8</v>
      </c>
      <c r="X14" s="85">
        <f t="shared" si="9"/>
        <v>20.166666666666668</v>
      </c>
      <c r="Y14" s="95">
        <f t="shared" si="10"/>
        <v>31812</v>
      </c>
    </row>
    <row r="15" spans="1:28" x14ac:dyDescent="0.25">
      <c r="A15" s="314" t="str">
        <f>PLANTILLA!A18</f>
        <v>#14</v>
      </c>
      <c r="B15" s="69" t="s">
        <v>192</v>
      </c>
      <c r="C15" s="223" t="str">
        <f>PLANTILLA!D13</f>
        <v>R. Forsyth</v>
      </c>
      <c r="D15" s="70" t="str">
        <f>PLANTILLA!G13</f>
        <v>POT</v>
      </c>
      <c r="E15" s="70">
        <f>PLANTILLA!E13</f>
        <v>29</v>
      </c>
      <c r="F15" s="138">
        <f ca="1">PLANTILLA!F13</f>
        <v>32</v>
      </c>
      <c r="G15" s="85">
        <f>PLANTILLA!X13</f>
        <v>0</v>
      </c>
      <c r="H15" s="85">
        <f>PLANTILLA!Y13</f>
        <v>11.76923076923077</v>
      </c>
      <c r="I15" s="85">
        <f>PLANTILLA!Z13</f>
        <v>15</v>
      </c>
      <c r="J15" s="85">
        <f>PLANTILLA!AA13</f>
        <v>3</v>
      </c>
      <c r="K15" s="85">
        <f>PLANTILLA!AB13</f>
        <v>4</v>
      </c>
      <c r="L15" s="85">
        <f>PLANTILLA!AC13</f>
        <v>7.5</v>
      </c>
      <c r="M15" s="85">
        <f>PLANTILLA!AD13</f>
        <v>19</v>
      </c>
      <c r="N15" s="95">
        <f>PLANTILLA!V13</f>
        <v>31540</v>
      </c>
      <c r="P15" s="70">
        <v>23</v>
      </c>
      <c r="Q15" s="138">
        <f ca="1">F15+$AB$7*7-112</f>
        <v>-31</v>
      </c>
      <c r="R15" s="85">
        <f t="shared" si="3"/>
        <v>0</v>
      </c>
      <c r="S15" s="85">
        <f t="shared" si="4"/>
        <v>11.76923076923077</v>
      </c>
      <c r="T15" s="85">
        <f>13+7/9</f>
        <v>13.777777777777779</v>
      </c>
      <c r="U15" s="85">
        <f t="shared" si="6"/>
        <v>3</v>
      </c>
      <c r="V15" s="85">
        <f t="shared" si="7"/>
        <v>4</v>
      </c>
      <c r="W15" s="85">
        <f t="shared" si="8"/>
        <v>7.5</v>
      </c>
      <c r="X15" s="85">
        <f t="shared" si="9"/>
        <v>19</v>
      </c>
      <c r="Y15" s="95">
        <f t="shared" si="10"/>
        <v>31540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Banderas</vt:lpstr>
      <vt:lpstr>Hall_of_Fame</vt:lpstr>
      <vt:lpstr>Fites</vt:lpstr>
      <vt:lpstr>PLANTILLA</vt:lpstr>
      <vt:lpstr>JUVENILES</vt:lpstr>
      <vt:lpstr>Calculadora_Tactica</vt:lpstr>
      <vt:lpstr>Patrocinadores</vt:lpstr>
      <vt:lpstr>ECONOMIA</vt:lpstr>
      <vt:lpstr>Planning_v3</vt:lpstr>
      <vt:lpstr>T78_III.7</vt:lpstr>
      <vt:lpstr>Evaluacion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2022-08-05T14:23:56Z</dcterms:modified>
</cp:coreProperties>
</file>