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Personal\HI\projects\current\hattrick\"/>
    </mc:Choice>
  </mc:AlternateContent>
  <xr:revisionPtr revIDLastSave="0" documentId="13_ncr:1_{373205E3-D0A1-471C-8EF7-5336E3B81843}" xr6:coauthVersionLast="47" xr6:coauthVersionMax="47" xr10:uidLastSave="{00000000-0000-0000-0000-000000000000}"/>
  <bookViews>
    <workbookView xWindow="990" yWindow="-120" windowWidth="27930" windowHeight="16440" tabRatio="500" firstSheet="7" activeTab="9" xr2:uid="{00000000-000D-0000-FFFF-FFFF00000000}"/>
  </bookViews>
  <sheets>
    <sheet name="Loko-LUKE" sheetId="38" r:id="rId1"/>
    <sheet name="VADER_ConjuntoVacio" sheetId="35" r:id="rId2"/>
    <sheet name="VADER-Stephen" sheetId="39" r:id="rId3"/>
    <sheet name="Gaditano-VADER" sheetId="40" r:id="rId4"/>
    <sheet name="VADER-Pamboli" sheetId="41" r:id="rId5"/>
    <sheet name="Granada-VADER" sheetId="42" r:id="rId6"/>
    <sheet name="VADER-Granada" sheetId="44" r:id="rId7"/>
    <sheet name="Pamboli-VADER" sheetId="43" r:id="rId8"/>
    <sheet name="LUKE-Palazzo" sheetId="45" r:id="rId9"/>
    <sheet name="SIMULADOR_v5" sheetId="31" r:id="rId10"/>
    <sheet name="SIMULADOR_v4" sheetId="10" r:id="rId11"/>
    <sheet name="Eventos" sheetId="32" r:id="rId12"/>
    <sheet name="SIMULADOR_sinJC" sheetId="8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F48" i="45" l="1"/>
  <c r="BF47" i="45"/>
  <c r="BQ45" i="45"/>
  <c r="BE45" i="45"/>
  <c r="BF46" i="45" s="1"/>
  <c r="BE44" i="45"/>
  <c r="BF45" i="45" s="1"/>
  <c r="BD44" i="45"/>
  <c r="BE43" i="45"/>
  <c r="BF44" i="45" s="1"/>
  <c r="BD43" i="45"/>
  <c r="BC43" i="45"/>
  <c r="BE42" i="45"/>
  <c r="BD42" i="45"/>
  <c r="BC42" i="45"/>
  <c r="BF41" i="45"/>
  <c r="BE41" i="45"/>
  <c r="BF42" i="45" s="1"/>
  <c r="BD41" i="45"/>
  <c r="BC41" i="45"/>
  <c r="BF40" i="45"/>
  <c r="BE40" i="45"/>
  <c r="BD40" i="45"/>
  <c r="BC40" i="45"/>
  <c r="BC39" i="45"/>
  <c r="AS38" i="45"/>
  <c r="AR38" i="45"/>
  <c r="AQ38" i="45"/>
  <c r="AP38" i="45"/>
  <c r="AO38" i="45"/>
  <c r="AN38" i="45"/>
  <c r="AM38" i="45"/>
  <c r="AL38" i="45"/>
  <c r="AK38" i="45"/>
  <c r="AJ38" i="45"/>
  <c r="AI38" i="45"/>
  <c r="AH38" i="45"/>
  <c r="AG38" i="45"/>
  <c r="AF38" i="45"/>
  <c r="AE38" i="45"/>
  <c r="AD38" i="45"/>
  <c r="AC38" i="45"/>
  <c r="AB38" i="45"/>
  <c r="AA38" i="45"/>
  <c r="Z38" i="45"/>
  <c r="Y38" i="45"/>
  <c r="X38" i="45"/>
  <c r="W38" i="45"/>
  <c r="V38" i="45"/>
  <c r="U38" i="45"/>
  <c r="T38" i="45"/>
  <c r="S38" i="45"/>
  <c r="R38" i="45"/>
  <c r="Q38" i="45"/>
  <c r="P38" i="45"/>
  <c r="O38" i="45"/>
  <c r="N38" i="45"/>
  <c r="M38" i="45"/>
  <c r="L38" i="45"/>
  <c r="K38" i="45"/>
  <c r="J38" i="45"/>
  <c r="I38" i="45"/>
  <c r="H38" i="45"/>
  <c r="G38" i="45"/>
  <c r="BF34" i="45"/>
  <c r="BF33" i="45"/>
  <c r="B33" i="45"/>
  <c r="C32" i="45"/>
  <c r="B32" i="45"/>
  <c r="BE31" i="45"/>
  <c r="BF32" i="45" s="1"/>
  <c r="BI30" i="45"/>
  <c r="BI37" i="45" s="1"/>
  <c r="BI43" i="45" s="1"/>
  <c r="BI48" i="45" s="1"/>
  <c r="BI53" i="45" s="1"/>
  <c r="BI56" i="45" s="1"/>
  <c r="BI58" i="45" s="1"/>
  <c r="BI59" i="45" s="1"/>
  <c r="BE30" i="45"/>
  <c r="BF31" i="45" s="1"/>
  <c r="BD30" i="45"/>
  <c r="E30" i="45"/>
  <c r="D30" i="45"/>
  <c r="C30" i="45"/>
  <c r="B30" i="45"/>
  <c r="BI29" i="45"/>
  <c r="BI36" i="45" s="1"/>
  <c r="BI42" i="45" s="1"/>
  <c r="BI47" i="45" s="1"/>
  <c r="BI52" i="45" s="1"/>
  <c r="BI55" i="45" s="1"/>
  <c r="BI57" i="45" s="1"/>
  <c r="BM13" i="45" s="1"/>
  <c r="BE29" i="45"/>
  <c r="BF30" i="45" s="1"/>
  <c r="BD29" i="45"/>
  <c r="BC29" i="45"/>
  <c r="C29" i="45"/>
  <c r="B29" i="45"/>
  <c r="BI28" i="45"/>
  <c r="BI35" i="45" s="1"/>
  <c r="BI41" i="45" s="1"/>
  <c r="BI46" i="45" s="1"/>
  <c r="BI51" i="45" s="1"/>
  <c r="BI54" i="45" s="1"/>
  <c r="BM12" i="45" s="1"/>
  <c r="BQ47" i="45" s="1"/>
  <c r="BE28" i="45"/>
  <c r="BD28" i="45"/>
  <c r="BC28" i="45"/>
  <c r="BI27" i="45"/>
  <c r="BI34" i="45" s="1"/>
  <c r="BI40" i="45" s="1"/>
  <c r="BI45" i="45" s="1"/>
  <c r="BI50" i="45" s="1"/>
  <c r="BF27" i="45"/>
  <c r="BE27" i="45"/>
  <c r="BF28" i="45" s="1"/>
  <c r="BD27" i="45"/>
  <c r="BC27" i="45"/>
  <c r="C27" i="45"/>
  <c r="B27" i="45"/>
  <c r="BI26" i="45"/>
  <c r="BI33" i="45" s="1"/>
  <c r="BI39" i="45" s="1"/>
  <c r="BI44" i="45" s="1"/>
  <c r="BF26" i="45"/>
  <c r="BE26" i="45"/>
  <c r="BD26" i="45"/>
  <c r="BC26" i="45"/>
  <c r="E26" i="45"/>
  <c r="E27" i="45" s="1"/>
  <c r="D26" i="45"/>
  <c r="D27" i="45" s="1"/>
  <c r="C26" i="45"/>
  <c r="B26" i="45"/>
  <c r="BI25" i="45"/>
  <c r="BI32" i="45" s="1"/>
  <c r="BI38" i="45" s="1"/>
  <c r="BM9" i="45" s="1"/>
  <c r="BQ23" i="45" s="1"/>
  <c r="BQ29" i="45" s="1"/>
  <c r="BQ36" i="45" s="1"/>
  <c r="BQ44" i="45" s="1"/>
  <c r="BC25" i="45"/>
  <c r="E25" i="45"/>
  <c r="D25" i="45"/>
  <c r="D23" i="45" s="1"/>
  <c r="C25" i="45"/>
  <c r="B25" i="45"/>
  <c r="BI24" i="45"/>
  <c r="BI31" i="45" s="1"/>
  <c r="BI23" i="45"/>
  <c r="B22" i="45"/>
  <c r="B20" i="45"/>
  <c r="B21" i="45" s="1"/>
  <c r="W16" i="45"/>
  <c r="V16" i="45"/>
  <c r="R16" i="45"/>
  <c r="Q16" i="45"/>
  <c r="P16" i="45"/>
  <c r="W15" i="45"/>
  <c r="V15" i="45"/>
  <c r="Q15" i="45"/>
  <c r="U15" i="45" s="1"/>
  <c r="Y15" i="45" s="1"/>
  <c r="AG15" i="45" s="1"/>
  <c r="P15" i="45"/>
  <c r="T15" i="45" s="1"/>
  <c r="W14" i="45"/>
  <c r="V14" i="45"/>
  <c r="Q14" i="45"/>
  <c r="P14" i="45"/>
  <c r="BQ13" i="45"/>
  <c r="BQ17" i="45" s="1"/>
  <c r="BQ21" i="45" s="1"/>
  <c r="BQ27" i="45" s="1"/>
  <c r="BQ34" i="45" s="1"/>
  <c r="BQ42" i="45" s="1"/>
  <c r="Q13" i="45"/>
  <c r="P13" i="45"/>
  <c r="W12" i="45"/>
  <c r="V12" i="45"/>
  <c r="Q12" i="45"/>
  <c r="P12" i="45"/>
  <c r="BQ11" i="45"/>
  <c r="BQ15" i="45" s="1"/>
  <c r="BQ19" i="45" s="1"/>
  <c r="BQ25" i="45" s="1"/>
  <c r="BQ32" i="45" s="1"/>
  <c r="BQ40" i="45" s="1"/>
  <c r="BM11" i="45"/>
  <c r="BQ38" i="45" s="1"/>
  <c r="BQ46" i="45" s="1"/>
  <c r="Q11" i="45"/>
  <c r="P11" i="45"/>
  <c r="BQ10" i="45"/>
  <c r="BQ14" i="45" s="1"/>
  <c r="BI49" i="45" s="1"/>
  <c r="BQ24" i="45" s="1"/>
  <c r="BQ31" i="45" s="1"/>
  <c r="BQ39" i="45" s="1"/>
  <c r="BM14" i="45" s="1"/>
  <c r="BM10" i="45"/>
  <c r="BQ30" i="45" s="1"/>
  <c r="BQ37" i="45" s="1"/>
  <c r="W10" i="45"/>
  <c r="V10" i="45"/>
  <c r="W9" i="45"/>
  <c r="V9" i="45"/>
  <c r="Q9" i="45"/>
  <c r="P9" i="45"/>
  <c r="BM8" i="45"/>
  <c r="BQ18" i="45" s="1"/>
  <c r="BQ22" i="45" s="1"/>
  <c r="BQ28" i="45" s="1"/>
  <c r="BQ35" i="45" s="1"/>
  <c r="BQ43" i="45" s="1"/>
  <c r="W8" i="45"/>
  <c r="V8" i="45"/>
  <c r="Q8" i="45"/>
  <c r="P8" i="45"/>
  <c r="BM7" i="45"/>
  <c r="W7" i="45"/>
  <c r="V7" i="45"/>
  <c r="Q7" i="45"/>
  <c r="P7" i="45"/>
  <c r="BQ6" i="45"/>
  <c r="BQ8" i="45" s="1"/>
  <c r="BM6" i="45"/>
  <c r="BQ9" i="45" s="1"/>
  <c r="BQ12" i="45" s="1"/>
  <c r="BQ16" i="45" s="1"/>
  <c r="BQ20" i="45" s="1"/>
  <c r="BQ26" i="45" s="1"/>
  <c r="BQ33" i="45" s="1"/>
  <c r="BQ41" i="45" s="1"/>
  <c r="W6" i="45"/>
  <c r="V6" i="45"/>
  <c r="Q6" i="45"/>
  <c r="P6" i="45"/>
  <c r="BQ5" i="45"/>
  <c r="BQ7" i="45" s="1"/>
  <c r="W5" i="45"/>
  <c r="V5" i="45"/>
  <c r="Q5" i="45"/>
  <c r="P5" i="45"/>
  <c r="W4" i="45"/>
  <c r="V4" i="45"/>
  <c r="Q4" i="45"/>
  <c r="P4" i="45"/>
  <c r="D3" i="45"/>
  <c r="Q1" i="45"/>
  <c r="P1" i="45"/>
  <c r="N1" i="45"/>
  <c r="BF48" i="44"/>
  <c r="BF47" i="44"/>
  <c r="BF46" i="44"/>
  <c r="BF45" i="44"/>
  <c r="BE45" i="44"/>
  <c r="BF44" i="44"/>
  <c r="BE44" i="44"/>
  <c r="BD44" i="44"/>
  <c r="BE43" i="44"/>
  <c r="BD43" i="44"/>
  <c r="BC43" i="44"/>
  <c r="BF42" i="44"/>
  <c r="BE42" i="44"/>
  <c r="BD42" i="44"/>
  <c r="BC42" i="44"/>
  <c r="BF41" i="44"/>
  <c r="BE41" i="44"/>
  <c r="BD41" i="44"/>
  <c r="BC41" i="44"/>
  <c r="BI40" i="44"/>
  <c r="BI45" i="44" s="1"/>
  <c r="BI50" i="44" s="1"/>
  <c r="BF40" i="44"/>
  <c r="BE40" i="44"/>
  <c r="BD40" i="44"/>
  <c r="BC40" i="44"/>
  <c r="BC39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BI35" i="44"/>
  <c r="BI41" i="44" s="1"/>
  <c r="BI46" i="44" s="1"/>
  <c r="BI51" i="44" s="1"/>
  <c r="BI54" i="44" s="1"/>
  <c r="BM12" i="44" s="1"/>
  <c r="BQ47" i="44" s="1"/>
  <c r="BI34" i="44"/>
  <c r="BF34" i="44"/>
  <c r="BF33" i="44"/>
  <c r="C33" i="44"/>
  <c r="BF32" i="44"/>
  <c r="C32" i="44"/>
  <c r="B32" i="44"/>
  <c r="BE31" i="44"/>
  <c r="BI30" i="44"/>
  <c r="BI37" i="44" s="1"/>
  <c r="BI43" i="44" s="1"/>
  <c r="BI48" i="44" s="1"/>
  <c r="BI53" i="44" s="1"/>
  <c r="BI56" i="44" s="1"/>
  <c r="BI58" i="44" s="1"/>
  <c r="BI59" i="44" s="1"/>
  <c r="BE30" i="44"/>
  <c r="BF31" i="44" s="1"/>
  <c r="BD30" i="44"/>
  <c r="E30" i="44"/>
  <c r="D30" i="44"/>
  <c r="C30" i="44"/>
  <c r="B30" i="44"/>
  <c r="BI29" i="44"/>
  <c r="BI36" i="44" s="1"/>
  <c r="BI42" i="44" s="1"/>
  <c r="BI47" i="44" s="1"/>
  <c r="BI52" i="44" s="1"/>
  <c r="BI55" i="44" s="1"/>
  <c r="BI57" i="44" s="1"/>
  <c r="BM13" i="44" s="1"/>
  <c r="BF29" i="44"/>
  <c r="BE29" i="44"/>
  <c r="BF30" i="44" s="1"/>
  <c r="BD29" i="44"/>
  <c r="BC29" i="44"/>
  <c r="C29" i="44"/>
  <c r="B29" i="44"/>
  <c r="BI28" i="44"/>
  <c r="BE28" i="44"/>
  <c r="BD28" i="44"/>
  <c r="BC28" i="44"/>
  <c r="BI27" i="44"/>
  <c r="BF27" i="44"/>
  <c r="BE27" i="44"/>
  <c r="BF28" i="44" s="1"/>
  <c r="BD27" i="44"/>
  <c r="BC27" i="44"/>
  <c r="C27" i="44"/>
  <c r="B27" i="44"/>
  <c r="BI26" i="44"/>
  <c r="BI33" i="44" s="1"/>
  <c r="BI39" i="44" s="1"/>
  <c r="BI44" i="44" s="1"/>
  <c r="BM10" i="44" s="1"/>
  <c r="BQ30" i="44" s="1"/>
  <c r="BQ37" i="44" s="1"/>
  <c r="BQ45" i="44" s="1"/>
  <c r="BF26" i="44"/>
  <c r="BE26" i="44"/>
  <c r="BD26" i="44"/>
  <c r="BC26" i="44"/>
  <c r="E26" i="44"/>
  <c r="E27" i="44" s="1"/>
  <c r="D26" i="44"/>
  <c r="D27" i="44" s="1"/>
  <c r="C26" i="44"/>
  <c r="B26" i="44"/>
  <c r="BI25" i="44"/>
  <c r="BI32" i="44" s="1"/>
  <c r="BI38" i="44" s="1"/>
  <c r="BM9" i="44" s="1"/>
  <c r="BQ23" i="44" s="1"/>
  <c r="BQ29" i="44" s="1"/>
  <c r="BQ36" i="44" s="1"/>
  <c r="BQ44" i="44" s="1"/>
  <c r="BC25" i="44"/>
  <c r="E25" i="44"/>
  <c r="D25" i="44"/>
  <c r="C25" i="44"/>
  <c r="B25" i="44"/>
  <c r="BI24" i="44"/>
  <c r="BI31" i="44" s="1"/>
  <c r="BI23" i="44"/>
  <c r="B22" i="44"/>
  <c r="G13" i="44" s="1"/>
  <c r="B20" i="44"/>
  <c r="B21" i="44" s="1"/>
  <c r="BQ18" i="44"/>
  <c r="BQ22" i="44" s="1"/>
  <c r="BQ28" i="44" s="1"/>
  <c r="BQ35" i="44" s="1"/>
  <c r="BQ43" i="44" s="1"/>
  <c r="W16" i="44"/>
  <c r="V16" i="44"/>
  <c r="R16" i="44"/>
  <c r="Q16" i="44"/>
  <c r="P16" i="44"/>
  <c r="W15" i="44"/>
  <c r="V15" i="44"/>
  <c r="Q15" i="44"/>
  <c r="P15" i="44"/>
  <c r="T15" i="44" s="1"/>
  <c r="W14" i="44"/>
  <c r="V14" i="44"/>
  <c r="Q14" i="44"/>
  <c r="P14" i="44"/>
  <c r="BQ13" i="44"/>
  <c r="BQ17" i="44" s="1"/>
  <c r="BQ21" i="44" s="1"/>
  <c r="BQ27" i="44" s="1"/>
  <c r="BQ34" i="44" s="1"/>
  <c r="BQ42" i="44" s="1"/>
  <c r="Q13" i="44"/>
  <c r="P13" i="44"/>
  <c r="W12" i="44"/>
  <c r="V12" i="44"/>
  <c r="Q12" i="44"/>
  <c r="P12" i="44"/>
  <c r="BM11" i="44"/>
  <c r="BQ38" i="44" s="1"/>
  <c r="BQ46" i="44" s="1"/>
  <c r="Q11" i="44"/>
  <c r="P11" i="44"/>
  <c r="W10" i="44"/>
  <c r="V10" i="44"/>
  <c r="W9" i="44"/>
  <c r="V9" i="44"/>
  <c r="Q9" i="44"/>
  <c r="P9" i="44"/>
  <c r="BM8" i="44"/>
  <c r="W8" i="44"/>
  <c r="V8" i="44"/>
  <c r="Q8" i="44"/>
  <c r="P8" i="44"/>
  <c r="BM7" i="44"/>
  <c r="W7" i="44"/>
  <c r="V7" i="44"/>
  <c r="Q7" i="44"/>
  <c r="P7" i="44"/>
  <c r="BQ6" i="44"/>
  <c r="BQ8" i="44" s="1"/>
  <c r="BQ11" i="44" s="1"/>
  <c r="BQ15" i="44" s="1"/>
  <c r="BQ19" i="44" s="1"/>
  <c r="BQ25" i="44" s="1"/>
  <c r="BQ32" i="44" s="1"/>
  <c r="BQ40" i="44" s="1"/>
  <c r="BM6" i="44"/>
  <c r="BQ9" i="44" s="1"/>
  <c r="BQ12" i="44" s="1"/>
  <c r="BQ16" i="44" s="1"/>
  <c r="BQ20" i="44" s="1"/>
  <c r="BQ26" i="44" s="1"/>
  <c r="BQ33" i="44" s="1"/>
  <c r="BQ41" i="44" s="1"/>
  <c r="W6" i="44"/>
  <c r="V6" i="44"/>
  <c r="Q6" i="44"/>
  <c r="P6" i="44"/>
  <c r="BQ5" i="44"/>
  <c r="BQ7" i="44" s="1"/>
  <c r="BQ10" i="44" s="1"/>
  <c r="BQ14" i="44" s="1"/>
  <c r="BI49" i="44" s="1"/>
  <c r="BQ24" i="44" s="1"/>
  <c r="BQ31" i="44" s="1"/>
  <c r="BQ39" i="44" s="1"/>
  <c r="BM14" i="44" s="1"/>
  <c r="W5" i="44"/>
  <c r="V5" i="44"/>
  <c r="Q5" i="44"/>
  <c r="P5" i="44"/>
  <c r="W4" i="44"/>
  <c r="V4" i="44"/>
  <c r="Q4" i="44"/>
  <c r="P4" i="44"/>
  <c r="D3" i="44"/>
  <c r="Q1" i="44"/>
  <c r="P1" i="44"/>
  <c r="N1" i="44"/>
  <c r="N9" i="44" s="1"/>
  <c r="R4" i="45" l="1"/>
  <c r="R7" i="45"/>
  <c r="R6" i="45"/>
  <c r="W11" i="45"/>
  <c r="R5" i="45"/>
  <c r="R12" i="45"/>
  <c r="R15" i="45"/>
  <c r="X15" i="45"/>
  <c r="AA15" i="45" s="1"/>
  <c r="AB15" i="45" s="1"/>
  <c r="C31" i="45"/>
  <c r="W39" i="45" s="1"/>
  <c r="B31" i="45"/>
  <c r="W25" i="45" s="1"/>
  <c r="N15" i="45"/>
  <c r="N14" i="45"/>
  <c r="N12" i="45"/>
  <c r="N11" i="45"/>
  <c r="N9" i="45"/>
  <c r="R9" i="45" s="1"/>
  <c r="N4" i="45"/>
  <c r="N8" i="45"/>
  <c r="R8" i="45" s="1"/>
  <c r="N6" i="45"/>
  <c r="N5" i="45"/>
  <c r="N7" i="45"/>
  <c r="N13" i="45"/>
  <c r="R13" i="45" s="1"/>
  <c r="N10" i="45"/>
  <c r="R10" i="45" s="1"/>
  <c r="R11" i="45"/>
  <c r="AJ15" i="45"/>
  <c r="AH15" i="45"/>
  <c r="BF43" i="45"/>
  <c r="E23" i="45"/>
  <c r="R14" i="45"/>
  <c r="V11" i="45"/>
  <c r="BF29" i="45"/>
  <c r="G13" i="45"/>
  <c r="C22" i="45"/>
  <c r="G14" i="45" s="1"/>
  <c r="R15" i="44"/>
  <c r="W11" i="44"/>
  <c r="R7" i="44"/>
  <c r="C22" i="44"/>
  <c r="B23" i="44" s="1"/>
  <c r="U15" i="44"/>
  <c r="Y15" i="44" s="1"/>
  <c r="AG15" i="44" s="1"/>
  <c r="AH15" i="44" s="1"/>
  <c r="R12" i="44"/>
  <c r="V11" i="44"/>
  <c r="N7" i="44"/>
  <c r="X15" i="44"/>
  <c r="AA15" i="44" s="1"/>
  <c r="AB15" i="44" s="1"/>
  <c r="C31" i="44"/>
  <c r="W39" i="44" s="1"/>
  <c r="B31" i="44"/>
  <c r="W25" i="44" s="1"/>
  <c r="R9" i="44"/>
  <c r="N6" i="44"/>
  <c r="R6" i="44" s="1"/>
  <c r="N15" i="44"/>
  <c r="N14" i="44"/>
  <c r="R14" i="44" s="1"/>
  <c r="N12" i="44"/>
  <c r="N11" i="44"/>
  <c r="R11" i="44" s="1"/>
  <c r="N5" i="44"/>
  <c r="R5" i="44" s="1"/>
  <c r="N8" i="44"/>
  <c r="R8" i="44" s="1"/>
  <c r="D23" i="44"/>
  <c r="N4" i="44"/>
  <c r="R4" i="44" s="1"/>
  <c r="N10" i="44"/>
  <c r="R10" i="44" s="1"/>
  <c r="N13" i="44"/>
  <c r="R13" i="44" s="1"/>
  <c r="E23" i="44"/>
  <c r="BF43" i="44"/>
  <c r="BF48" i="43"/>
  <c r="BF47" i="43"/>
  <c r="BF45" i="43"/>
  <c r="BE45" i="43"/>
  <c r="BF46" i="43" s="1"/>
  <c r="BF44" i="43"/>
  <c r="BE44" i="43"/>
  <c r="BD44" i="43"/>
  <c r="BF43" i="43"/>
  <c r="BE43" i="43"/>
  <c r="BD43" i="43"/>
  <c r="BC43" i="43"/>
  <c r="BE42" i="43"/>
  <c r="BD42" i="43"/>
  <c r="BC42" i="43"/>
  <c r="BF41" i="43"/>
  <c r="BE41" i="43"/>
  <c r="BF42" i="43" s="1"/>
  <c r="BD41" i="43"/>
  <c r="BC41" i="43"/>
  <c r="BF40" i="43"/>
  <c r="BE40" i="43"/>
  <c r="BD40" i="43"/>
  <c r="BC40" i="43"/>
  <c r="BC39" i="43"/>
  <c r="AS38" i="43"/>
  <c r="AR38" i="43"/>
  <c r="AQ38" i="43"/>
  <c r="AP38" i="43"/>
  <c r="AO38" i="43"/>
  <c r="AN38" i="43"/>
  <c r="AM38" i="43"/>
  <c r="AL38" i="43"/>
  <c r="AK38" i="43"/>
  <c r="AJ38" i="43"/>
  <c r="AI38" i="43"/>
  <c r="AH38" i="43"/>
  <c r="AG38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BI35" i="43"/>
  <c r="BI41" i="43" s="1"/>
  <c r="BI46" i="43" s="1"/>
  <c r="BI51" i="43" s="1"/>
  <c r="BI54" i="43" s="1"/>
  <c r="BM12" i="43" s="1"/>
  <c r="BQ47" i="43" s="1"/>
  <c r="BF34" i="43"/>
  <c r="BI33" i="43"/>
  <c r="BI39" i="43" s="1"/>
  <c r="BI44" i="43" s="1"/>
  <c r="BM10" i="43" s="1"/>
  <c r="BQ30" i="43" s="1"/>
  <c r="BQ37" i="43" s="1"/>
  <c r="BQ45" i="43" s="1"/>
  <c r="BF33" i="43"/>
  <c r="C33" i="43"/>
  <c r="B33" i="43"/>
  <c r="C32" i="43"/>
  <c r="B32" i="43"/>
  <c r="BE31" i="43"/>
  <c r="BF31" i="43" s="1"/>
  <c r="BI30" i="43"/>
  <c r="BI37" i="43" s="1"/>
  <c r="BI43" i="43" s="1"/>
  <c r="BI48" i="43" s="1"/>
  <c r="BI53" i="43" s="1"/>
  <c r="BI56" i="43" s="1"/>
  <c r="BI58" i="43" s="1"/>
  <c r="BI59" i="43" s="1"/>
  <c r="BE30" i="43"/>
  <c r="BD30" i="43"/>
  <c r="E30" i="43"/>
  <c r="D30" i="43"/>
  <c r="C30" i="43"/>
  <c r="B30" i="43"/>
  <c r="BI29" i="43"/>
  <c r="BI36" i="43" s="1"/>
  <c r="BI42" i="43" s="1"/>
  <c r="BI47" i="43" s="1"/>
  <c r="BI52" i="43" s="1"/>
  <c r="BI55" i="43" s="1"/>
  <c r="BI57" i="43" s="1"/>
  <c r="BM13" i="43" s="1"/>
  <c r="BE29" i="43"/>
  <c r="BF30" i="43" s="1"/>
  <c r="BD29" i="43"/>
  <c r="BC29" i="43"/>
  <c r="C29" i="43"/>
  <c r="B29" i="43"/>
  <c r="BI28" i="43"/>
  <c r="BE28" i="43"/>
  <c r="BF29" i="43" s="1"/>
  <c r="BD28" i="43"/>
  <c r="BC28" i="43"/>
  <c r="BI27" i="43"/>
  <c r="BI34" i="43" s="1"/>
  <c r="BI40" i="43" s="1"/>
  <c r="BI45" i="43" s="1"/>
  <c r="BI50" i="43" s="1"/>
  <c r="BM11" i="43" s="1"/>
  <c r="BQ38" i="43" s="1"/>
  <c r="BQ46" i="43" s="1"/>
  <c r="BF27" i="43"/>
  <c r="BE27" i="43"/>
  <c r="BF28" i="43" s="1"/>
  <c r="BD27" i="43"/>
  <c r="BC27" i="43"/>
  <c r="C27" i="43"/>
  <c r="B27" i="43"/>
  <c r="BI26" i="43"/>
  <c r="BF26" i="43"/>
  <c r="BE26" i="43"/>
  <c r="BD26" i="43"/>
  <c r="BC26" i="43"/>
  <c r="E26" i="43"/>
  <c r="D26" i="43"/>
  <c r="D27" i="43" s="1"/>
  <c r="D23" i="43" s="1"/>
  <c r="C26" i="43"/>
  <c r="B26" i="43"/>
  <c r="BI25" i="43"/>
  <c r="BI32" i="43" s="1"/>
  <c r="BI38" i="43" s="1"/>
  <c r="BC25" i="43"/>
  <c r="E25" i="43"/>
  <c r="D25" i="43"/>
  <c r="C25" i="43"/>
  <c r="B25" i="43"/>
  <c r="BI24" i="43"/>
  <c r="BI31" i="43" s="1"/>
  <c r="BI23" i="43"/>
  <c r="B22" i="43"/>
  <c r="G13" i="43" s="1"/>
  <c r="B20" i="43"/>
  <c r="B21" i="43" s="1"/>
  <c r="W16" i="43"/>
  <c r="V16" i="43"/>
  <c r="R16" i="43"/>
  <c r="Q16" i="43"/>
  <c r="P16" i="43"/>
  <c r="W15" i="43"/>
  <c r="V15" i="43"/>
  <c r="Q15" i="43"/>
  <c r="U15" i="43" s="1"/>
  <c r="P15" i="43"/>
  <c r="W14" i="43"/>
  <c r="V14" i="43"/>
  <c r="Q14" i="43"/>
  <c r="P14" i="43"/>
  <c r="Q13" i="43"/>
  <c r="P13" i="43"/>
  <c r="W12" i="43"/>
  <c r="V12" i="43"/>
  <c r="Q12" i="43"/>
  <c r="P12" i="43"/>
  <c r="Q11" i="43"/>
  <c r="P11" i="43"/>
  <c r="W10" i="43"/>
  <c r="V10" i="43"/>
  <c r="BQ9" i="43"/>
  <c r="BQ12" i="43" s="1"/>
  <c r="BQ16" i="43" s="1"/>
  <c r="BQ20" i="43" s="1"/>
  <c r="BQ26" i="43" s="1"/>
  <c r="BQ33" i="43" s="1"/>
  <c r="BQ41" i="43" s="1"/>
  <c r="BM9" i="43"/>
  <c r="BQ23" i="43" s="1"/>
  <c r="BQ29" i="43" s="1"/>
  <c r="BQ36" i="43" s="1"/>
  <c r="BQ44" i="43" s="1"/>
  <c r="W9" i="43"/>
  <c r="V9" i="43"/>
  <c r="Q9" i="43"/>
  <c r="P9" i="43"/>
  <c r="BM8" i="43"/>
  <c r="BQ18" i="43" s="1"/>
  <c r="BQ22" i="43" s="1"/>
  <c r="BQ28" i="43" s="1"/>
  <c r="BQ35" i="43" s="1"/>
  <c r="BQ43" i="43" s="1"/>
  <c r="W8" i="43"/>
  <c r="V8" i="43"/>
  <c r="Q8" i="43"/>
  <c r="P8" i="43"/>
  <c r="BQ7" i="43"/>
  <c r="BQ10" i="43" s="1"/>
  <c r="BQ14" i="43" s="1"/>
  <c r="BI49" i="43" s="1"/>
  <c r="BQ24" i="43" s="1"/>
  <c r="BQ31" i="43" s="1"/>
  <c r="BQ39" i="43" s="1"/>
  <c r="BM14" i="43" s="1"/>
  <c r="BM7" i="43"/>
  <c r="BQ13" i="43" s="1"/>
  <c r="BQ17" i="43" s="1"/>
  <c r="BQ21" i="43" s="1"/>
  <c r="BQ27" i="43" s="1"/>
  <c r="BQ34" i="43" s="1"/>
  <c r="BQ42" i="43" s="1"/>
  <c r="W7" i="43"/>
  <c r="V7" i="43"/>
  <c r="Q7" i="43"/>
  <c r="P7" i="43"/>
  <c r="BQ6" i="43"/>
  <c r="BQ8" i="43" s="1"/>
  <c r="BQ11" i="43" s="1"/>
  <c r="BQ15" i="43" s="1"/>
  <c r="BQ19" i="43" s="1"/>
  <c r="BQ25" i="43" s="1"/>
  <c r="BQ32" i="43" s="1"/>
  <c r="BQ40" i="43" s="1"/>
  <c r="BM6" i="43"/>
  <c r="W6" i="43"/>
  <c r="V6" i="43"/>
  <c r="Q6" i="43"/>
  <c r="P6" i="43"/>
  <c r="BQ5" i="43"/>
  <c r="W5" i="43"/>
  <c r="V5" i="43"/>
  <c r="Q5" i="43"/>
  <c r="P5" i="43"/>
  <c r="W4" i="43"/>
  <c r="V4" i="43"/>
  <c r="Q4" i="43"/>
  <c r="P4" i="43"/>
  <c r="D3" i="43"/>
  <c r="Q1" i="43"/>
  <c r="P1" i="43"/>
  <c r="N1" i="43"/>
  <c r="N11" i="43" s="1"/>
  <c r="R2" i="45" l="1"/>
  <c r="N2" i="45"/>
  <c r="B23" i="45"/>
  <c r="T45" i="44"/>
  <c r="T43" i="44"/>
  <c r="T47" i="44"/>
  <c r="G14" i="44"/>
  <c r="B24" i="44"/>
  <c r="B34" i="44"/>
  <c r="C23" i="44"/>
  <c r="T26" i="44" s="1"/>
  <c r="T46" i="44"/>
  <c r="AJ15" i="44"/>
  <c r="T49" i="44"/>
  <c r="T48" i="44"/>
  <c r="T44" i="44"/>
  <c r="T39" i="44"/>
  <c r="T40" i="44"/>
  <c r="T41" i="44"/>
  <c r="T16" i="44"/>
  <c r="X16" i="44" s="1"/>
  <c r="AA16" i="44" s="1"/>
  <c r="AB16" i="44" s="1"/>
  <c r="T42" i="44"/>
  <c r="R2" i="44"/>
  <c r="N30" i="44"/>
  <c r="P30" i="44" s="1"/>
  <c r="R35" i="44" s="1"/>
  <c r="N29" i="44"/>
  <c r="P29" i="44" s="1"/>
  <c r="N26" i="44"/>
  <c r="N28" i="44"/>
  <c r="P28" i="44" s="1"/>
  <c r="N27" i="44"/>
  <c r="P27" i="44" s="1"/>
  <c r="N25" i="44"/>
  <c r="N2" i="44"/>
  <c r="W11" i="43"/>
  <c r="R4" i="43"/>
  <c r="C22" i="43"/>
  <c r="G14" i="43" s="1"/>
  <c r="N13" i="43"/>
  <c r="N9" i="43"/>
  <c r="R9" i="43" s="1"/>
  <c r="R13" i="43"/>
  <c r="N4" i="43"/>
  <c r="V11" i="43"/>
  <c r="N12" i="43"/>
  <c r="R12" i="43" s="1"/>
  <c r="N6" i="43"/>
  <c r="R6" i="43" s="1"/>
  <c r="N7" i="43"/>
  <c r="R11" i="43"/>
  <c r="N15" i="43"/>
  <c r="N5" i="43"/>
  <c r="R5" i="43" s="1"/>
  <c r="R7" i="43"/>
  <c r="N14" i="43"/>
  <c r="R14" i="43" s="1"/>
  <c r="T15" i="43"/>
  <c r="X15" i="43" s="1"/>
  <c r="AA15" i="43" s="1"/>
  <c r="R15" i="43"/>
  <c r="B31" i="43"/>
  <c r="W25" i="43" s="1"/>
  <c r="E23" i="43"/>
  <c r="BF32" i="43"/>
  <c r="C31" i="43"/>
  <c r="W39" i="43" s="1"/>
  <c r="N8" i="43"/>
  <c r="R8" i="43" s="1"/>
  <c r="N10" i="43"/>
  <c r="R10" i="43" s="1"/>
  <c r="Y15" i="43"/>
  <c r="AG15" i="43" s="1"/>
  <c r="E27" i="43"/>
  <c r="C6" i="42"/>
  <c r="C10" i="42"/>
  <c r="C9" i="42"/>
  <c r="C8" i="42"/>
  <c r="BF48" i="42"/>
  <c r="BF47" i="42"/>
  <c r="BF46" i="42"/>
  <c r="BQ45" i="42"/>
  <c r="BF45" i="42"/>
  <c r="BE45" i="42"/>
  <c r="BE44" i="42"/>
  <c r="BD44" i="42"/>
  <c r="BE43" i="42"/>
  <c r="BF44" i="42" s="1"/>
  <c r="BD43" i="42"/>
  <c r="BC43" i="42"/>
  <c r="BF42" i="42"/>
  <c r="BE42" i="42"/>
  <c r="BF43" i="42" s="1"/>
  <c r="BD42" i="42"/>
  <c r="BC42" i="42"/>
  <c r="BF41" i="42"/>
  <c r="BE41" i="42"/>
  <c r="BD41" i="42"/>
  <c r="BC41" i="42"/>
  <c r="BF40" i="42"/>
  <c r="BE40" i="42"/>
  <c r="BD40" i="42"/>
  <c r="BC40" i="42"/>
  <c r="BC39" i="42"/>
  <c r="AS38" i="42"/>
  <c r="AR38" i="42"/>
  <c r="AQ38" i="42"/>
  <c r="AP38" i="42"/>
  <c r="AO38" i="42"/>
  <c r="AN38" i="42"/>
  <c r="AM38" i="42"/>
  <c r="AL38" i="42"/>
  <c r="AK38" i="42"/>
  <c r="AJ38" i="42"/>
  <c r="AI38" i="42"/>
  <c r="AH38" i="42"/>
  <c r="AG38" i="42"/>
  <c r="AF38" i="42"/>
  <c r="AE38" i="42"/>
  <c r="AD38" i="42"/>
  <c r="AC38" i="42"/>
  <c r="AB38" i="42"/>
  <c r="AA38" i="42"/>
  <c r="Z38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BI35" i="42"/>
  <c r="BI41" i="42" s="1"/>
  <c r="BI46" i="42" s="1"/>
  <c r="BI51" i="42" s="1"/>
  <c r="BI54" i="42" s="1"/>
  <c r="BI34" i="42"/>
  <c r="BI40" i="42" s="1"/>
  <c r="BI45" i="42" s="1"/>
  <c r="BI50" i="42" s="1"/>
  <c r="BM11" i="42" s="1"/>
  <c r="BQ38" i="42" s="1"/>
  <c r="BQ46" i="42" s="1"/>
  <c r="BF34" i="42"/>
  <c r="BI33" i="42"/>
  <c r="BI39" i="42" s="1"/>
  <c r="BI44" i="42" s="1"/>
  <c r="BF33" i="42"/>
  <c r="B33" i="42"/>
  <c r="BF32" i="42"/>
  <c r="C32" i="42"/>
  <c r="B32" i="42"/>
  <c r="BF31" i="42"/>
  <c r="BE31" i="42"/>
  <c r="BI30" i="42"/>
  <c r="BI37" i="42" s="1"/>
  <c r="BI43" i="42" s="1"/>
  <c r="BI48" i="42" s="1"/>
  <c r="BI53" i="42" s="1"/>
  <c r="BI56" i="42" s="1"/>
  <c r="BI58" i="42" s="1"/>
  <c r="BI59" i="42" s="1"/>
  <c r="BF30" i="42"/>
  <c r="BE30" i="42"/>
  <c r="BD30" i="42"/>
  <c r="E30" i="42"/>
  <c r="D30" i="42"/>
  <c r="C30" i="42"/>
  <c r="B30" i="42"/>
  <c r="BI29" i="42"/>
  <c r="BI36" i="42" s="1"/>
  <c r="BI42" i="42" s="1"/>
  <c r="BI47" i="42" s="1"/>
  <c r="BI52" i="42" s="1"/>
  <c r="BI55" i="42" s="1"/>
  <c r="BI57" i="42" s="1"/>
  <c r="BM13" i="42" s="1"/>
  <c r="BF29" i="42"/>
  <c r="BE29" i="42"/>
  <c r="BD29" i="42"/>
  <c r="BC29" i="42"/>
  <c r="C29" i="42"/>
  <c r="B29" i="42"/>
  <c r="BI28" i="42"/>
  <c r="BF28" i="42"/>
  <c r="BE28" i="42"/>
  <c r="BD28" i="42"/>
  <c r="BC28" i="42"/>
  <c r="BI27" i="42"/>
  <c r="BF27" i="42"/>
  <c r="BE27" i="42"/>
  <c r="BD27" i="42"/>
  <c r="BC27" i="42"/>
  <c r="D27" i="42"/>
  <c r="C27" i="42"/>
  <c r="B27" i="42"/>
  <c r="BI26" i="42"/>
  <c r="BF26" i="42"/>
  <c r="BE26" i="42"/>
  <c r="BD26" i="42"/>
  <c r="BC26" i="42"/>
  <c r="E26" i="42"/>
  <c r="E27" i="42" s="1"/>
  <c r="D26" i="42"/>
  <c r="C26" i="42"/>
  <c r="B26" i="42"/>
  <c r="BI25" i="42"/>
  <c r="BI32" i="42" s="1"/>
  <c r="BI38" i="42" s="1"/>
  <c r="BM9" i="42" s="1"/>
  <c r="BQ23" i="42" s="1"/>
  <c r="BQ29" i="42" s="1"/>
  <c r="BQ36" i="42" s="1"/>
  <c r="BQ44" i="42" s="1"/>
  <c r="BC25" i="42"/>
  <c r="E25" i="42"/>
  <c r="E23" i="42" s="1"/>
  <c r="D25" i="42"/>
  <c r="C25" i="42"/>
  <c r="B25" i="42"/>
  <c r="BI24" i="42"/>
  <c r="BI31" i="42" s="1"/>
  <c r="BI23" i="42"/>
  <c r="D23" i="42"/>
  <c r="B22" i="42"/>
  <c r="C22" i="42" s="1"/>
  <c r="G14" i="42" s="1"/>
  <c r="B20" i="42"/>
  <c r="B21" i="42" s="1"/>
  <c r="W16" i="42"/>
  <c r="V16" i="42"/>
  <c r="R16" i="42"/>
  <c r="Q16" i="42"/>
  <c r="P16" i="42"/>
  <c r="W15" i="42"/>
  <c r="V15" i="42"/>
  <c r="Q15" i="42"/>
  <c r="U15" i="42" s="1"/>
  <c r="Y15" i="42" s="1"/>
  <c r="AG15" i="42" s="1"/>
  <c r="P15" i="42"/>
  <c r="W14" i="42"/>
  <c r="V14" i="42"/>
  <c r="Q14" i="42"/>
  <c r="P14" i="42"/>
  <c r="Q13" i="42"/>
  <c r="P13" i="42"/>
  <c r="BM12" i="42"/>
  <c r="BQ47" i="42" s="1"/>
  <c r="W12" i="42"/>
  <c r="V12" i="42"/>
  <c r="Q12" i="42"/>
  <c r="P12" i="42"/>
  <c r="R12" i="42" s="1"/>
  <c r="Q11" i="42"/>
  <c r="P11" i="42"/>
  <c r="BQ10" i="42"/>
  <c r="BQ14" i="42" s="1"/>
  <c r="BI49" i="42" s="1"/>
  <c r="BQ24" i="42" s="1"/>
  <c r="BQ31" i="42" s="1"/>
  <c r="BQ39" i="42" s="1"/>
  <c r="BM14" i="42" s="1"/>
  <c r="BM10" i="42"/>
  <c r="BQ30" i="42" s="1"/>
  <c r="BQ37" i="42" s="1"/>
  <c r="W10" i="42"/>
  <c r="V10" i="42"/>
  <c r="W9" i="42"/>
  <c r="V9" i="42"/>
  <c r="Q9" i="42"/>
  <c r="P9" i="42"/>
  <c r="BM8" i="42"/>
  <c r="BQ18" i="42" s="1"/>
  <c r="BQ22" i="42" s="1"/>
  <c r="BQ28" i="42" s="1"/>
  <c r="BQ35" i="42" s="1"/>
  <c r="BQ43" i="42" s="1"/>
  <c r="W8" i="42"/>
  <c r="V8" i="42"/>
  <c r="Q8" i="42"/>
  <c r="P8" i="42"/>
  <c r="BM7" i="42"/>
  <c r="BQ13" i="42" s="1"/>
  <c r="BQ17" i="42" s="1"/>
  <c r="BQ21" i="42" s="1"/>
  <c r="BQ27" i="42" s="1"/>
  <c r="BQ34" i="42" s="1"/>
  <c r="BQ42" i="42" s="1"/>
  <c r="W7" i="42"/>
  <c r="V7" i="42"/>
  <c r="Q7" i="42"/>
  <c r="P7" i="42"/>
  <c r="BQ6" i="42"/>
  <c r="BQ8" i="42" s="1"/>
  <c r="BQ11" i="42" s="1"/>
  <c r="BQ15" i="42" s="1"/>
  <c r="BQ19" i="42" s="1"/>
  <c r="BQ25" i="42" s="1"/>
  <c r="BQ32" i="42" s="1"/>
  <c r="BQ40" i="42" s="1"/>
  <c r="BM6" i="42"/>
  <c r="BQ9" i="42" s="1"/>
  <c r="BQ12" i="42" s="1"/>
  <c r="BQ16" i="42" s="1"/>
  <c r="BQ20" i="42" s="1"/>
  <c r="BQ26" i="42" s="1"/>
  <c r="BQ33" i="42" s="1"/>
  <c r="BQ41" i="42" s="1"/>
  <c r="W6" i="42"/>
  <c r="V6" i="42"/>
  <c r="Q6" i="42"/>
  <c r="P6" i="42"/>
  <c r="BQ5" i="42"/>
  <c r="BQ7" i="42" s="1"/>
  <c r="W5" i="42"/>
  <c r="V5" i="42"/>
  <c r="Q5" i="42"/>
  <c r="P5" i="42"/>
  <c r="W4" i="42"/>
  <c r="V4" i="42"/>
  <c r="Q4" i="42"/>
  <c r="P4" i="42"/>
  <c r="D3" i="42"/>
  <c r="Q1" i="42"/>
  <c r="P1" i="42"/>
  <c r="N1" i="42"/>
  <c r="N6" i="42" s="1"/>
  <c r="S9" i="45" l="1"/>
  <c r="U9" i="45" s="1"/>
  <c r="Y9" i="45" s="1"/>
  <c r="AG9" i="45" s="1"/>
  <c r="S13" i="45"/>
  <c r="U13" i="45" s="1"/>
  <c r="Y13" i="45" s="1"/>
  <c r="AG13" i="45" s="1"/>
  <c r="S11" i="45"/>
  <c r="U11" i="45" s="1"/>
  <c r="Y11" i="45" s="1"/>
  <c r="AG11" i="45" s="1"/>
  <c r="S8" i="45"/>
  <c r="U8" i="45" s="1"/>
  <c r="Y8" i="45" s="1"/>
  <c r="AG8" i="45" s="1"/>
  <c r="B34" i="45"/>
  <c r="T16" i="45" s="1"/>
  <c r="X16" i="45" s="1"/>
  <c r="AA16" i="45" s="1"/>
  <c r="T39" i="45"/>
  <c r="T48" i="45"/>
  <c r="B24" i="45"/>
  <c r="T49" i="45"/>
  <c r="C23" i="45"/>
  <c r="T42" i="45"/>
  <c r="T41" i="45"/>
  <c r="T43" i="45"/>
  <c r="T45" i="45"/>
  <c r="T46" i="45"/>
  <c r="T44" i="45"/>
  <c r="T47" i="45"/>
  <c r="T40" i="45"/>
  <c r="S10" i="45"/>
  <c r="S16" i="45"/>
  <c r="S4" i="45"/>
  <c r="S5" i="45"/>
  <c r="S15" i="45"/>
  <c r="S12" i="45"/>
  <c r="S7" i="45"/>
  <c r="S6" i="45"/>
  <c r="S14" i="45"/>
  <c r="S8" i="44"/>
  <c r="U8" i="44" s="1"/>
  <c r="Y8" i="44" s="1"/>
  <c r="AG8" i="44" s="1"/>
  <c r="T33" i="44"/>
  <c r="T30" i="44"/>
  <c r="T35" i="44"/>
  <c r="T31" i="44"/>
  <c r="C24" i="44"/>
  <c r="N44" i="44" s="1"/>
  <c r="P44" i="44" s="1"/>
  <c r="T29" i="44"/>
  <c r="T28" i="44"/>
  <c r="C34" i="44"/>
  <c r="U16" i="44" s="1"/>
  <c r="Y16" i="44" s="1"/>
  <c r="AG16" i="44" s="1"/>
  <c r="AH16" i="44" s="1"/>
  <c r="T25" i="44"/>
  <c r="T34" i="44"/>
  <c r="T32" i="44"/>
  <c r="T27" i="44"/>
  <c r="S14" i="44"/>
  <c r="T14" i="44" s="1"/>
  <c r="X14" i="44" s="1"/>
  <c r="AA14" i="44" s="1"/>
  <c r="T37" i="44"/>
  <c r="AD16" i="44"/>
  <c r="R32" i="44"/>
  <c r="R33" i="44"/>
  <c r="R34" i="44"/>
  <c r="S9" i="44"/>
  <c r="N23" i="44"/>
  <c r="P25" i="44"/>
  <c r="P26" i="44"/>
  <c r="R31" i="44" s="1"/>
  <c r="S16" i="44"/>
  <c r="S6" i="44"/>
  <c r="S12" i="44"/>
  <c r="S15" i="44"/>
  <c r="S7" i="44"/>
  <c r="S4" i="44"/>
  <c r="S5" i="44"/>
  <c r="N42" i="44"/>
  <c r="P42" i="44" s="1"/>
  <c r="S11" i="44"/>
  <c r="S10" i="44"/>
  <c r="S13" i="44"/>
  <c r="B23" i="43"/>
  <c r="T49" i="43" s="1"/>
  <c r="N2" i="43"/>
  <c r="R2" i="43"/>
  <c r="S4" i="43" s="1"/>
  <c r="U4" i="43" s="1"/>
  <c r="AB15" i="43"/>
  <c r="AJ15" i="43"/>
  <c r="AH15" i="43"/>
  <c r="R4" i="42"/>
  <c r="V11" i="42"/>
  <c r="R7" i="42"/>
  <c r="R5" i="42"/>
  <c r="R15" i="42"/>
  <c r="R6" i="42"/>
  <c r="N9" i="42"/>
  <c r="R9" i="42" s="1"/>
  <c r="C31" i="42"/>
  <c r="W39" i="42" s="1"/>
  <c r="B31" i="42"/>
  <c r="W25" i="42" s="1"/>
  <c r="AH15" i="42"/>
  <c r="AJ15" i="42"/>
  <c r="N15" i="42"/>
  <c r="N14" i="42"/>
  <c r="R14" i="42" s="1"/>
  <c r="N12" i="42"/>
  <c r="N11" i="42"/>
  <c r="R11" i="42" s="1"/>
  <c r="N5" i="42"/>
  <c r="N8" i="42"/>
  <c r="R8" i="42" s="1"/>
  <c r="N4" i="42"/>
  <c r="N10" i="42"/>
  <c r="R10" i="42" s="1"/>
  <c r="N13" i="42"/>
  <c r="R13" i="42" s="1"/>
  <c r="W11" i="42"/>
  <c r="N7" i="42"/>
  <c r="T15" i="42"/>
  <c r="X15" i="42" s="1"/>
  <c r="AA15" i="42" s="1"/>
  <c r="B23" i="42"/>
  <c r="G13" i="42"/>
  <c r="B22" i="41"/>
  <c r="C22" i="41" s="1"/>
  <c r="G14" i="41" s="1"/>
  <c r="BI52" i="41"/>
  <c r="BI55" i="41" s="1"/>
  <c r="BI57" i="41" s="1"/>
  <c r="BM13" i="41" s="1"/>
  <c r="BF48" i="41"/>
  <c r="BQ47" i="41"/>
  <c r="BF47" i="41"/>
  <c r="BF46" i="41"/>
  <c r="BF45" i="41"/>
  <c r="BE45" i="41"/>
  <c r="BF44" i="41"/>
  <c r="BE44" i="41"/>
  <c r="BD44" i="41"/>
  <c r="BE43" i="41"/>
  <c r="BD43" i="41"/>
  <c r="BC43" i="41"/>
  <c r="BF42" i="41"/>
  <c r="BE42" i="41"/>
  <c r="BF43" i="41" s="1"/>
  <c r="BD42" i="41"/>
  <c r="BC42" i="41"/>
  <c r="BF41" i="41"/>
  <c r="BE41" i="41"/>
  <c r="BD41" i="41"/>
  <c r="BC41" i="41"/>
  <c r="BI40" i="41"/>
  <c r="BI45" i="41" s="1"/>
  <c r="BI50" i="41" s="1"/>
  <c r="BM11" i="41" s="1"/>
  <c r="BQ38" i="41" s="1"/>
  <c r="BQ46" i="41" s="1"/>
  <c r="BF40" i="41"/>
  <c r="BE40" i="41"/>
  <c r="BD40" i="41"/>
  <c r="BC40" i="41"/>
  <c r="BC39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BI35" i="41"/>
  <c r="BI41" i="41" s="1"/>
  <c r="BI46" i="41" s="1"/>
  <c r="BI51" i="41" s="1"/>
  <c r="BI54" i="41" s="1"/>
  <c r="BM12" i="41" s="1"/>
  <c r="BI34" i="41"/>
  <c r="BF34" i="41"/>
  <c r="BI33" i="41"/>
  <c r="BI39" i="41" s="1"/>
  <c r="BI44" i="41" s="1"/>
  <c r="BM10" i="41" s="1"/>
  <c r="BQ30" i="41" s="1"/>
  <c r="BQ37" i="41" s="1"/>
  <c r="BQ45" i="41" s="1"/>
  <c r="BF33" i="41"/>
  <c r="C33" i="41"/>
  <c r="B33" i="41"/>
  <c r="BI32" i="41"/>
  <c r="BI38" i="41" s="1"/>
  <c r="BF32" i="41"/>
  <c r="C32" i="41"/>
  <c r="B32" i="41"/>
  <c r="BI31" i="41"/>
  <c r="BE31" i="41"/>
  <c r="BI30" i="41"/>
  <c r="BI37" i="41" s="1"/>
  <c r="BI43" i="41" s="1"/>
  <c r="BI48" i="41" s="1"/>
  <c r="BI53" i="41" s="1"/>
  <c r="BI56" i="41" s="1"/>
  <c r="BI58" i="41" s="1"/>
  <c r="BI59" i="41" s="1"/>
  <c r="BE30" i="41"/>
  <c r="BF31" i="41" s="1"/>
  <c r="BD30" i="41"/>
  <c r="E30" i="41"/>
  <c r="D30" i="41"/>
  <c r="C30" i="41"/>
  <c r="B30" i="41"/>
  <c r="BI29" i="41"/>
  <c r="BI36" i="41" s="1"/>
  <c r="BI42" i="41" s="1"/>
  <c r="BI47" i="41" s="1"/>
  <c r="BE29" i="41"/>
  <c r="BF30" i="41" s="1"/>
  <c r="BD29" i="41"/>
  <c r="BC29" i="41"/>
  <c r="C29" i="41"/>
  <c r="B29" i="41"/>
  <c r="BI28" i="41"/>
  <c r="BE28" i="41"/>
  <c r="BF29" i="41" s="1"/>
  <c r="BD28" i="41"/>
  <c r="BC28" i="41"/>
  <c r="BI27" i="41"/>
  <c r="BF27" i="41"/>
  <c r="BE27" i="41"/>
  <c r="BF28" i="41" s="1"/>
  <c r="BD27" i="41"/>
  <c r="BC27" i="41"/>
  <c r="E27" i="41"/>
  <c r="D27" i="41"/>
  <c r="C27" i="41"/>
  <c r="B27" i="41"/>
  <c r="BI26" i="41"/>
  <c r="BF26" i="41"/>
  <c r="BE26" i="41"/>
  <c r="BD26" i="41"/>
  <c r="BC26" i="41"/>
  <c r="E26" i="41"/>
  <c r="D26" i="41"/>
  <c r="C26" i="41"/>
  <c r="B26" i="41"/>
  <c r="BI25" i="41"/>
  <c r="BC25" i="41"/>
  <c r="E25" i="41"/>
  <c r="E23" i="41" s="1"/>
  <c r="D25" i="41"/>
  <c r="D23" i="41" s="1"/>
  <c r="C25" i="41"/>
  <c r="B25" i="41"/>
  <c r="BI24" i="41"/>
  <c r="BI23" i="41"/>
  <c r="BM7" i="41" s="1"/>
  <c r="BQ13" i="41" s="1"/>
  <c r="BQ17" i="41" s="1"/>
  <c r="BQ21" i="41" s="1"/>
  <c r="BQ27" i="41" s="1"/>
  <c r="BQ34" i="41" s="1"/>
  <c r="BQ42" i="41" s="1"/>
  <c r="B20" i="41"/>
  <c r="B21" i="41" s="1"/>
  <c r="W16" i="41"/>
  <c r="V16" i="41"/>
  <c r="R16" i="41"/>
  <c r="Q16" i="41"/>
  <c r="P16" i="41"/>
  <c r="W15" i="41"/>
  <c r="V15" i="41"/>
  <c r="Q15" i="41"/>
  <c r="U15" i="41" s="1"/>
  <c r="Y15" i="41" s="1"/>
  <c r="AG15" i="41" s="1"/>
  <c r="P15" i="41"/>
  <c r="W14" i="41"/>
  <c r="V14" i="41"/>
  <c r="Q14" i="41"/>
  <c r="P14" i="41"/>
  <c r="Q13" i="41"/>
  <c r="P13" i="41"/>
  <c r="W12" i="41"/>
  <c r="V12" i="41"/>
  <c r="Q12" i="41"/>
  <c r="P12" i="41"/>
  <c r="Q11" i="41"/>
  <c r="P11" i="41"/>
  <c r="W10" i="41"/>
  <c r="V10" i="41"/>
  <c r="N10" i="41"/>
  <c r="R10" i="41" s="1"/>
  <c r="BM9" i="41"/>
  <c r="BQ23" i="41" s="1"/>
  <c r="BQ29" i="41" s="1"/>
  <c r="BQ36" i="41" s="1"/>
  <c r="BQ44" i="41" s="1"/>
  <c r="W9" i="41"/>
  <c r="V9" i="41"/>
  <c r="Q9" i="41"/>
  <c r="P9" i="41"/>
  <c r="N9" i="41"/>
  <c r="BM8" i="41"/>
  <c r="BQ18" i="41" s="1"/>
  <c r="BQ22" i="41" s="1"/>
  <c r="BQ28" i="41" s="1"/>
  <c r="BQ35" i="41" s="1"/>
  <c r="BQ43" i="41" s="1"/>
  <c r="W8" i="41"/>
  <c r="V8" i="41"/>
  <c r="Q8" i="41"/>
  <c r="P8" i="41"/>
  <c r="W7" i="41"/>
  <c r="V7" i="41"/>
  <c r="Q7" i="41"/>
  <c r="P7" i="41"/>
  <c r="N7" i="41"/>
  <c r="BQ6" i="41"/>
  <c r="BQ8" i="41" s="1"/>
  <c r="BQ11" i="41" s="1"/>
  <c r="BQ15" i="41" s="1"/>
  <c r="BQ19" i="41" s="1"/>
  <c r="BQ25" i="41" s="1"/>
  <c r="BQ32" i="41" s="1"/>
  <c r="BQ40" i="41" s="1"/>
  <c r="BM6" i="41"/>
  <c r="BQ9" i="41" s="1"/>
  <c r="BQ12" i="41" s="1"/>
  <c r="BQ16" i="41" s="1"/>
  <c r="BQ20" i="41" s="1"/>
  <c r="BQ26" i="41" s="1"/>
  <c r="BQ33" i="41" s="1"/>
  <c r="BQ41" i="41" s="1"/>
  <c r="W6" i="41"/>
  <c r="V6" i="41"/>
  <c r="Q6" i="41"/>
  <c r="P6" i="41"/>
  <c r="N6" i="41"/>
  <c r="BQ5" i="41"/>
  <c r="BQ7" i="41" s="1"/>
  <c r="BQ10" i="41" s="1"/>
  <c r="BQ14" i="41" s="1"/>
  <c r="BI49" i="41" s="1"/>
  <c r="BQ24" i="41" s="1"/>
  <c r="BQ31" i="41" s="1"/>
  <c r="BQ39" i="41" s="1"/>
  <c r="BM14" i="41" s="1"/>
  <c r="W5" i="41"/>
  <c r="V5" i="41"/>
  <c r="Q5" i="41"/>
  <c r="P5" i="41"/>
  <c r="W4" i="41"/>
  <c r="V4" i="41"/>
  <c r="Q4" i="41"/>
  <c r="P4" i="41"/>
  <c r="N4" i="41"/>
  <c r="D3" i="41"/>
  <c r="Q1" i="41"/>
  <c r="P1" i="41"/>
  <c r="N1" i="41"/>
  <c r="T9" i="45" l="1"/>
  <c r="X9" i="45" s="1"/>
  <c r="AA9" i="45" s="1"/>
  <c r="AB9" i="45" s="1"/>
  <c r="T13" i="45"/>
  <c r="X13" i="45" s="1"/>
  <c r="AA13" i="45" s="1"/>
  <c r="AB13" i="45" s="1"/>
  <c r="T11" i="45"/>
  <c r="X11" i="45" s="1"/>
  <c r="AA11" i="45" s="1"/>
  <c r="AB11" i="45" s="1"/>
  <c r="T8" i="45"/>
  <c r="X8" i="45" s="1"/>
  <c r="AA8" i="45" s="1"/>
  <c r="AB8" i="45" s="1"/>
  <c r="C24" i="45"/>
  <c r="C34" i="45"/>
  <c r="U16" i="45" s="1"/>
  <c r="Y16" i="45" s="1"/>
  <c r="AG16" i="45" s="1"/>
  <c r="T30" i="45"/>
  <c r="T25" i="45"/>
  <c r="T32" i="45"/>
  <c r="T28" i="45"/>
  <c r="T29" i="45"/>
  <c r="T26" i="45"/>
  <c r="T34" i="45"/>
  <c r="T35" i="45"/>
  <c r="T31" i="45"/>
  <c r="T27" i="45"/>
  <c r="T33" i="45"/>
  <c r="U7" i="45"/>
  <c r="Y7" i="45" s="1"/>
  <c r="AG7" i="45" s="1"/>
  <c r="T7" i="45"/>
  <c r="X7" i="45" s="1"/>
  <c r="AA7" i="45" s="1"/>
  <c r="AH9" i="45"/>
  <c r="U12" i="45"/>
  <c r="Y12" i="45" s="1"/>
  <c r="AG12" i="45" s="1"/>
  <c r="T12" i="45"/>
  <c r="X12" i="45" s="1"/>
  <c r="AA12" i="45" s="1"/>
  <c r="N25" i="45"/>
  <c r="N30" i="45"/>
  <c r="P30" i="45" s="1"/>
  <c r="R35" i="45" s="1"/>
  <c r="N29" i="45"/>
  <c r="P29" i="45" s="1"/>
  <c r="N26" i="45"/>
  <c r="N28" i="45"/>
  <c r="P28" i="45" s="1"/>
  <c r="N27" i="45"/>
  <c r="P27" i="45" s="1"/>
  <c r="AH13" i="45"/>
  <c r="T5" i="45"/>
  <c r="X5" i="45" s="1"/>
  <c r="AA5" i="45" s="1"/>
  <c r="U5" i="45"/>
  <c r="Y5" i="45" s="1"/>
  <c r="AG5" i="45" s="1"/>
  <c r="T37" i="45"/>
  <c r="U6" i="45"/>
  <c r="Y6" i="45" s="1"/>
  <c r="AG6" i="45" s="1"/>
  <c r="T6" i="45"/>
  <c r="X6" i="45" s="1"/>
  <c r="AA6" i="45" s="1"/>
  <c r="U14" i="45"/>
  <c r="Y14" i="45" s="1"/>
  <c r="AG14" i="45" s="1"/>
  <c r="T14" i="45"/>
  <c r="X14" i="45" s="1"/>
  <c r="AA14" i="45" s="1"/>
  <c r="U4" i="45"/>
  <c r="S2" i="45"/>
  <c r="T4" i="45"/>
  <c r="AD16" i="45"/>
  <c r="AB16" i="45"/>
  <c r="AH11" i="45"/>
  <c r="U10" i="45"/>
  <c r="Y10" i="45" s="1"/>
  <c r="AG10" i="45" s="1"/>
  <c r="T10" i="45"/>
  <c r="X10" i="45" s="1"/>
  <c r="AA10" i="45" s="1"/>
  <c r="AH8" i="45"/>
  <c r="N39" i="44"/>
  <c r="P39" i="44" s="1"/>
  <c r="N41" i="44"/>
  <c r="P41" i="44" s="1"/>
  <c r="N43" i="44"/>
  <c r="P43" i="44" s="1"/>
  <c r="T8" i="44"/>
  <c r="X8" i="44" s="1"/>
  <c r="AA8" i="44" s="1"/>
  <c r="AB8" i="44" s="1"/>
  <c r="N40" i="44"/>
  <c r="P40" i="44" s="1"/>
  <c r="T23" i="44"/>
  <c r="AJ16" i="44"/>
  <c r="R26" i="44"/>
  <c r="U14" i="44"/>
  <c r="Y14" i="44" s="1"/>
  <c r="AG14" i="44" s="1"/>
  <c r="AH14" i="44" s="1"/>
  <c r="T5" i="44"/>
  <c r="X5" i="44" s="1"/>
  <c r="AA5" i="44" s="1"/>
  <c r="U5" i="44"/>
  <c r="Y5" i="44" s="1"/>
  <c r="AG5" i="44" s="1"/>
  <c r="S2" i="44"/>
  <c r="U4" i="44"/>
  <c r="T4" i="44"/>
  <c r="AB14" i="44"/>
  <c r="T13" i="44"/>
  <c r="X13" i="44" s="1"/>
  <c r="AA13" i="44" s="1"/>
  <c r="U13" i="44"/>
  <c r="Y13" i="44" s="1"/>
  <c r="AG13" i="44" s="1"/>
  <c r="U7" i="44"/>
  <c r="Y7" i="44" s="1"/>
  <c r="AG7" i="44" s="1"/>
  <c r="T7" i="44"/>
  <c r="X7" i="44" s="1"/>
  <c r="AA7" i="44" s="1"/>
  <c r="AH8" i="44"/>
  <c r="R29" i="44"/>
  <c r="R27" i="44"/>
  <c r="R25" i="44"/>
  <c r="R30" i="44"/>
  <c r="R28" i="44"/>
  <c r="P23" i="44"/>
  <c r="U10" i="44"/>
  <c r="Y10" i="44" s="1"/>
  <c r="AG10" i="44" s="1"/>
  <c r="T10" i="44"/>
  <c r="X10" i="44" s="1"/>
  <c r="AA10" i="44" s="1"/>
  <c r="R49" i="44"/>
  <c r="U12" i="44"/>
  <c r="Y12" i="44" s="1"/>
  <c r="AG12" i="44" s="1"/>
  <c r="T12" i="44"/>
  <c r="X12" i="44" s="1"/>
  <c r="AA12" i="44" s="1"/>
  <c r="U6" i="44"/>
  <c r="Y6" i="44" s="1"/>
  <c r="AG6" i="44" s="1"/>
  <c r="T6" i="44"/>
  <c r="X6" i="44" s="1"/>
  <c r="AA6" i="44" s="1"/>
  <c r="T11" i="44"/>
  <c r="X11" i="44" s="1"/>
  <c r="AA11" i="44" s="1"/>
  <c r="U11" i="44"/>
  <c r="Y11" i="44" s="1"/>
  <c r="AG11" i="44" s="1"/>
  <c r="U9" i="44"/>
  <c r="Y9" i="44" s="1"/>
  <c r="AG9" i="44" s="1"/>
  <c r="T9" i="44"/>
  <c r="X9" i="44" s="1"/>
  <c r="AA9" i="44" s="1"/>
  <c r="C23" i="43"/>
  <c r="T30" i="43" s="1"/>
  <c r="T45" i="43"/>
  <c r="T43" i="43"/>
  <c r="T42" i="43"/>
  <c r="T48" i="43"/>
  <c r="T47" i="43"/>
  <c r="B34" i="43"/>
  <c r="T16" i="43" s="1"/>
  <c r="X16" i="43" s="1"/>
  <c r="AA16" i="43" s="1"/>
  <c r="AB16" i="43" s="1"/>
  <c r="T40" i="43"/>
  <c r="T44" i="43"/>
  <c r="B24" i="43"/>
  <c r="N25" i="43" s="1"/>
  <c r="T39" i="43"/>
  <c r="T46" i="43"/>
  <c r="T41" i="43"/>
  <c r="S5" i="43"/>
  <c r="U5" i="43" s="1"/>
  <c r="Y5" i="43" s="1"/>
  <c r="AG5" i="43" s="1"/>
  <c r="S6" i="43"/>
  <c r="U6" i="43" s="1"/>
  <c r="Y6" i="43" s="1"/>
  <c r="AG6" i="43" s="1"/>
  <c r="S11" i="43"/>
  <c r="U11" i="43" s="1"/>
  <c r="Y11" i="43" s="1"/>
  <c r="AG11" i="43" s="1"/>
  <c r="S12" i="43"/>
  <c r="S9" i="43"/>
  <c r="T9" i="43" s="1"/>
  <c r="X9" i="43" s="1"/>
  <c r="AA9" i="43" s="1"/>
  <c r="S16" i="43"/>
  <c r="S14" i="43"/>
  <c r="U14" i="43" s="1"/>
  <c r="Y14" i="43" s="1"/>
  <c r="AG14" i="43" s="1"/>
  <c r="S13" i="43"/>
  <c r="T13" i="43" s="1"/>
  <c r="X13" i="43" s="1"/>
  <c r="AA13" i="43" s="1"/>
  <c r="S7" i="43"/>
  <c r="U7" i="43" s="1"/>
  <c r="Y7" i="43" s="1"/>
  <c r="AG7" i="43" s="1"/>
  <c r="S8" i="43"/>
  <c r="U8" i="43" s="1"/>
  <c r="Y8" i="43" s="1"/>
  <c r="AG8" i="43" s="1"/>
  <c r="T4" i="43"/>
  <c r="X4" i="43" s="1"/>
  <c r="S10" i="43"/>
  <c r="T10" i="43" s="1"/>
  <c r="X10" i="43" s="1"/>
  <c r="AA10" i="43" s="1"/>
  <c r="S15" i="43"/>
  <c r="N27" i="43"/>
  <c r="P27" i="43" s="1"/>
  <c r="U10" i="43"/>
  <c r="Y10" i="43" s="1"/>
  <c r="AG10" i="43" s="1"/>
  <c r="C34" i="43"/>
  <c r="U16" i="43" s="1"/>
  <c r="Y16" i="43" s="1"/>
  <c r="AG16" i="43" s="1"/>
  <c r="T25" i="43"/>
  <c r="T34" i="43"/>
  <c r="T33" i="43"/>
  <c r="T29" i="43"/>
  <c r="T12" i="43"/>
  <c r="X12" i="43" s="1"/>
  <c r="AA12" i="43" s="1"/>
  <c r="U12" i="43"/>
  <c r="Y12" i="43" s="1"/>
  <c r="AG12" i="43" s="1"/>
  <c r="Y4" i="43"/>
  <c r="B24" i="42"/>
  <c r="B34" i="42"/>
  <c r="T16" i="42" s="1"/>
  <c r="X16" i="42" s="1"/>
  <c r="AA16" i="42" s="1"/>
  <c r="T44" i="42"/>
  <c r="T49" i="42"/>
  <c r="R2" i="42"/>
  <c r="T48" i="42"/>
  <c r="T47" i="42"/>
  <c r="T41" i="42"/>
  <c r="T40" i="42"/>
  <c r="T43" i="42"/>
  <c r="C23" i="42"/>
  <c r="AB15" i="42"/>
  <c r="T45" i="42"/>
  <c r="T46" i="42"/>
  <c r="T39" i="42"/>
  <c r="N2" i="42"/>
  <c r="T42" i="42"/>
  <c r="R5" i="41"/>
  <c r="R7" i="41"/>
  <c r="R12" i="41"/>
  <c r="R9" i="41"/>
  <c r="R4" i="41"/>
  <c r="R6" i="41"/>
  <c r="AH15" i="41"/>
  <c r="AJ15" i="41"/>
  <c r="W11" i="41"/>
  <c r="T15" i="41"/>
  <c r="X15" i="41" s="1"/>
  <c r="AA15" i="41" s="1"/>
  <c r="R15" i="41"/>
  <c r="R11" i="41"/>
  <c r="N15" i="41"/>
  <c r="N14" i="41"/>
  <c r="N12" i="41"/>
  <c r="N11" i="41"/>
  <c r="V11" i="41"/>
  <c r="R14" i="41"/>
  <c r="N5" i="41"/>
  <c r="N8" i="41"/>
  <c r="R8" i="41" s="1"/>
  <c r="B31" i="41"/>
  <c r="W25" i="41" s="1"/>
  <c r="N13" i="41"/>
  <c r="R13" i="41" s="1"/>
  <c r="C31" i="41"/>
  <c r="W39" i="41" s="1"/>
  <c r="G13" i="41"/>
  <c r="B23" i="41"/>
  <c r="B22" i="40"/>
  <c r="BF48" i="40"/>
  <c r="BF47" i="40"/>
  <c r="BF45" i="40"/>
  <c r="BE45" i="40"/>
  <c r="BF46" i="40" s="1"/>
  <c r="BE44" i="40"/>
  <c r="BD44" i="40"/>
  <c r="BE43" i="40"/>
  <c r="BF44" i="40" s="1"/>
  <c r="BD43" i="40"/>
  <c r="BC43" i="40"/>
  <c r="BE42" i="40"/>
  <c r="BF43" i="40" s="1"/>
  <c r="BD42" i="40"/>
  <c r="BC42" i="40"/>
  <c r="BF41" i="40"/>
  <c r="BE41" i="40"/>
  <c r="BF42" i="40" s="1"/>
  <c r="BD41" i="40"/>
  <c r="BC41" i="40"/>
  <c r="BF40" i="40"/>
  <c r="BE40" i="40"/>
  <c r="BD40" i="40"/>
  <c r="BC40" i="40"/>
  <c r="BI39" i="40"/>
  <c r="BI44" i="40" s="1"/>
  <c r="BM10" i="40" s="1"/>
  <c r="BQ30" i="40" s="1"/>
  <c r="BQ37" i="40" s="1"/>
  <c r="BQ45" i="40" s="1"/>
  <c r="BC39" i="40"/>
  <c r="AS38" i="40"/>
  <c r="AR38" i="40"/>
  <c r="AQ38" i="40"/>
  <c r="AP38" i="40"/>
  <c r="AO38" i="40"/>
  <c r="AN38" i="40"/>
  <c r="AM38" i="40"/>
  <c r="AL38" i="40"/>
  <c r="AK38" i="40"/>
  <c r="AJ38" i="40"/>
  <c r="AI38" i="40"/>
  <c r="AH38" i="40"/>
  <c r="AG38" i="40"/>
  <c r="AF38" i="40"/>
  <c r="AE38" i="40"/>
  <c r="AD38" i="40"/>
  <c r="AC38" i="40"/>
  <c r="AB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BI35" i="40"/>
  <c r="BI41" i="40" s="1"/>
  <c r="BI46" i="40" s="1"/>
  <c r="BI51" i="40" s="1"/>
  <c r="BI54" i="40" s="1"/>
  <c r="BM12" i="40" s="1"/>
  <c r="BQ47" i="40" s="1"/>
  <c r="BF34" i="40"/>
  <c r="BI33" i="40"/>
  <c r="BF33" i="40"/>
  <c r="B33" i="40"/>
  <c r="BF32" i="40"/>
  <c r="C32" i="40"/>
  <c r="B32" i="40"/>
  <c r="D25" i="40" s="1"/>
  <c r="BE31" i="40"/>
  <c r="BI30" i="40"/>
  <c r="BI37" i="40" s="1"/>
  <c r="BI43" i="40" s="1"/>
  <c r="BI48" i="40" s="1"/>
  <c r="BI53" i="40" s="1"/>
  <c r="BI56" i="40" s="1"/>
  <c r="BI58" i="40" s="1"/>
  <c r="BI59" i="40" s="1"/>
  <c r="BE30" i="40"/>
  <c r="BF31" i="40" s="1"/>
  <c r="BD30" i="40"/>
  <c r="E30" i="40"/>
  <c r="C30" i="40"/>
  <c r="B30" i="40"/>
  <c r="BI29" i="40"/>
  <c r="BI36" i="40" s="1"/>
  <c r="BI42" i="40" s="1"/>
  <c r="BI47" i="40" s="1"/>
  <c r="BI52" i="40" s="1"/>
  <c r="BI55" i="40" s="1"/>
  <c r="BI57" i="40" s="1"/>
  <c r="BM13" i="40" s="1"/>
  <c r="BE29" i="40"/>
  <c r="BD29" i="40"/>
  <c r="BC29" i="40"/>
  <c r="C29" i="40"/>
  <c r="B29" i="40"/>
  <c r="BI28" i="40"/>
  <c r="BE28" i="40"/>
  <c r="BF29" i="40" s="1"/>
  <c r="BD28" i="40"/>
  <c r="BC28" i="40"/>
  <c r="BI27" i="40"/>
  <c r="BI34" i="40" s="1"/>
  <c r="BI40" i="40" s="1"/>
  <c r="BI45" i="40" s="1"/>
  <c r="BI50" i="40" s="1"/>
  <c r="BM11" i="40" s="1"/>
  <c r="BQ38" i="40" s="1"/>
  <c r="BQ46" i="40" s="1"/>
  <c r="BF27" i="40"/>
  <c r="BE27" i="40"/>
  <c r="BD27" i="40"/>
  <c r="BC27" i="40"/>
  <c r="C27" i="40"/>
  <c r="B27" i="40"/>
  <c r="BI26" i="40"/>
  <c r="BF26" i="40"/>
  <c r="BE26" i="40"/>
  <c r="BD26" i="40"/>
  <c r="BC26" i="40"/>
  <c r="E26" i="40"/>
  <c r="E27" i="40" s="1"/>
  <c r="D26" i="40"/>
  <c r="D27" i="40" s="1"/>
  <c r="C26" i="40"/>
  <c r="B26" i="40"/>
  <c r="BI25" i="40"/>
  <c r="BI32" i="40" s="1"/>
  <c r="BI38" i="40" s="1"/>
  <c r="BC25" i="40"/>
  <c r="E25" i="40"/>
  <c r="E23" i="40" s="1"/>
  <c r="C25" i="40"/>
  <c r="B25" i="40"/>
  <c r="BI24" i="40"/>
  <c r="BI31" i="40" s="1"/>
  <c r="BI23" i="40"/>
  <c r="B20" i="40"/>
  <c r="B21" i="40" s="1"/>
  <c r="W16" i="40"/>
  <c r="V16" i="40"/>
  <c r="R16" i="40"/>
  <c r="Q16" i="40"/>
  <c r="P16" i="40"/>
  <c r="W15" i="40"/>
  <c r="V15" i="40"/>
  <c r="Q15" i="40"/>
  <c r="U15" i="40" s="1"/>
  <c r="Y15" i="40" s="1"/>
  <c r="AG15" i="40" s="1"/>
  <c r="P15" i="40"/>
  <c r="T15" i="40" s="1"/>
  <c r="W14" i="40"/>
  <c r="V14" i="40"/>
  <c r="Q14" i="40"/>
  <c r="P14" i="40"/>
  <c r="BQ13" i="40"/>
  <c r="BQ17" i="40" s="1"/>
  <c r="BQ21" i="40" s="1"/>
  <c r="BQ27" i="40" s="1"/>
  <c r="BQ34" i="40" s="1"/>
  <c r="BQ42" i="40" s="1"/>
  <c r="Q13" i="40"/>
  <c r="P13" i="40"/>
  <c r="W12" i="40"/>
  <c r="V12" i="40"/>
  <c r="Q12" i="40"/>
  <c r="P12" i="40"/>
  <c r="Q11" i="40"/>
  <c r="P11" i="40"/>
  <c r="BQ10" i="40"/>
  <c r="BQ14" i="40" s="1"/>
  <c r="BI49" i="40" s="1"/>
  <c r="BQ24" i="40" s="1"/>
  <c r="BQ31" i="40" s="1"/>
  <c r="BQ39" i="40" s="1"/>
  <c r="BM14" i="40" s="1"/>
  <c r="W10" i="40"/>
  <c r="V10" i="40"/>
  <c r="BM9" i="40"/>
  <c r="BQ23" i="40" s="1"/>
  <c r="BQ29" i="40" s="1"/>
  <c r="BQ36" i="40" s="1"/>
  <c r="BQ44" i="40" s="1"/>
  <c r="W9" i="40"/>
  <c r="V9" i="40"/>
  <c r="Q9" i="40"/>
  <c r="P9" i="40"/>
  <c r="BM8" i="40"/>
  <c r="BQ18" i="40" s="1"/>
  <c r="BQ22" i="40" s="1"/>
  <c r="BQ28" i="40" s="1"/>
  <c r="BQ35" i="40" s="1"/>
  <c r="BQ43" i="40" s="1"/>
  <c r="W8" i="40"/>
  <c r="V8" i="40"/>
  <c r="Q8" i="40"/>
  <c r="P8" i="40"/>
  <c r="BM7" i="40"/>
  <c r="W7" i="40"/>
  <c r="V7" i="40"/>
  <c r="Q7" i="40"/>
  <c r="P7" i="40"/>
  <c r="BQ6" i="40"/>
  <c r="BQ8" i="40" s="1"/>
  <c r="BQ11" i="40" s="1"/>
  <c r="BQ15" i="40" s="1"/>
  <c r="BQ19" i="40" s="1"/>
  <c r="BQ25" i="40" s="1"/>
  <c r="BQ32" i="40" s="1"/>
  <c r="BQ40" i="40" s="1"/>
  <c r="BM6" i="40"/>
  <c r="BQ9" i="40" s="1"/>
  <c r="BQ12" i="40" s="1"/>
  <c r="BQ16" i="40" s="1"/>
  <c r="BQ20" i="40" s="1"/>
  <c r="BQ26" i="40" s="1"/>
  <c r="BQ33" i="40" s="1"/>
  <c r="BQ41" i="40" s="1"/>
  <c r="W6" i="40"/>
  <c r="V6" i="40"/>
  <c r="Q6" i="40"/>
  <c r="P6" i="40"/>
  <c r="BQ5" i="40"/>
  <c r="BQ7" i="40" s="1"/>
  <c r="W5" i="40"/>
  <c r="V5" i="40"/>
  <c r="Q5" i="40"/>
  <c r="P5" i="40"/>
  <c r="W4" i="40"/>
  <c r="V4" i="40"/>
  <c r="Q4" i="40"/>
  <c r="P4" i="40"/>
  <c r="D3" i="40"/>
  <c r="Q1" i="40"/>
  <c r="P1" i="40"/>
  <c r="N1" i="40"/>
  <c r="N10" i="40" s="1"/>
  <c r="R10" i="40" s="1"/>
  <c r="R34" i="45" l="1"/>
  <c r="R32" i="45"/>
  <c r="AH14" i="45"/>
  <c r="R33" i="45"/>
  <c r="AB6" i="45"/>
  <c r="P26" i="45"/>
  <c r="R31" i="45" s="1"/>
  <c r="AH6" i="45"/>
  <c r="T23" i="45"/>
  <c r="AB14" i="45"/>
  <c r="AB10" i="45"/>
  <c r="T2" i="45"/>
  <c r="X4" i="45"/>
  <c r="N23" i="45"/>
  <c r="P25" i="45"/>
  <c r="R26" i="45" s="1"/>
  <c r="AH12" i="45"/>
  <c r="AH10" i="45"/>
  <c r="AH5" i="45"/>
  <c r="AB7" i="45"/>
  <c r="AJ16" i="45"/>
  <c r="AH16" i="45"/>
  <c r="U2" i="45"/>
  <c r="Y4" i="45"/>
  <c r="AB5" i="45"/>
  <c r="AB12" i="45"/>
  <c r="AH7" i="45"/>
  <c r="N39" i="45"/>
  <c r="N42" i="45"/>
  <c r="P42" i="45" s="1"/>
  <c r="N41" i="45"/>
  <c r="P41" i="45" s="1"/>
  <c r="N43" i="45"/>
  <c r="P43" i="45" s="1"/>
  <c r="N40" i="45"/>
  <c r="P40" i="45" s="1"/>
  <c r="N44" i="45"/>
  <c r="P44" i="45" s="1"/>
  <c r="R46" i="44"/>
  <c r="R47" i="44"/>
  <c r="R48" i="44"/>
  <c r="R43" i="44"/>
  <c r="N37" i="44"/>
  <c r="R45" i="44"/>
  <c r="V27" i="44"/>
  <c r="AC27" i="44" s="1"/>
  <c r="AB12" i="44"/>
  <c r="R39" i="44"/>
  <c r="P37" i="44"/>
  <c r="AH6" i="44"/>
  <c r="AH12" i="44"/>
  <c r="AB9" i="44"/>
  <c r="R42" i="44"/>
  <c r="AH9" i="44"/>
  <c r="AB7" i="44"/>
  <c r="R44" i="44"/>
  <c r="AH7" i="44"/>
  <c r="U2" i="44"/>
  <c r="Y4" i="44"/>
  <c r="X4" i="44"/>
  <c r="T2" i="44"/>
  <c r="AH11" i="44"/>
  <c r="V28" i="44"/>
  <c r="R41" i="44"/>
  <c r="AH10" i="44"/>
  <c r="AB11" i="44"/>
  <c r="R40" i="44"/>
  <c r="AH13" i="44"/>
  <c r="AH5" i="44"/>
  <c r="AB10" i="44"/>
  <c r="AB6" i="44"/>
  <c r="V25" i="44"/>
  <c r="R23" i="44"/>
  <c r="V30" i="44"/>
  <c r="V34" i="44"/>
  <c r="V33" i="44"/>
  <c r="V32" i="44"/>
  <c r="V31" i="44"/>
  <c r="V29" i="44"/>
  <c r="V26" i="44"/>
  <c r="AB13" i="44"/>
  <c r="AB5" i="44"/>
  <c r="N26" i="43"/>
  <c r="P26" i="43" s="1"/>
  <c r="T31" i="43"/>
  <c r="N29" i="43"/>
  <c r="P29" i="43" s="1"/>
  <c r="T27" i="43"/>
  <c r="T28" i="43"/>
  <c r="C24" i="43"/>
  <c r="N41" i="43" s="1"/>
  <c r="P41" i="43" s="1"/>
  <c r="N28" i="43"/>
  <c r="P28" i="43" s="1"/>
  <c r="T35" i="43"/>
  <c r="T26" i="43"/>
  <c r="N30" i="43"/>
  <c r="P30" i="43" s="1"/>
  <c r="R35" i="43" s="1"/>
  <c r="T32" i="43"/>
  <c r="T37" i="43"/>
  <c r="AD16" i="43"/>
  <c r="T14" i="43"/>
  <c r="X14" i="43" s="1"/>
  <c r="AA14" i="43" s="1"/>
  <c r="AB14" i="43" s="1"/>
  <c r="T11" i="43"/>
  <c r="X11" i="43" s="1"/>
  <c r="AA11" i="43" s="1"/>
  <c r="AB11" i="43" s="1"/>
  <c r="U9" i="43"/>
  <c r="Y9" i="43" s="1"/>
  <c r="AG9" i="43" s="1"/>
  <c r="AH9" i="43" s="1"/>
  <c r="T7" i="43"/>
  <c r="X7" i="43" s="1"/>
  <c r="AA7" i="43" s="1"/>
  <c r="AB7" i="43" s="1"/>
  <c r="T5" i="43"/>
  <c r="X5" i="43" s="1"/>
  <c r="AA5" i="43" s="1"/>
  <c r="AB5" i="43" s="1"/>
  <c r="U13" i="43"/>
  <c r="Y13" i="43" s="1"/>
  <c r="AG13" i="43" s="1"/>
  <c r="AH13" i="43" s="1"/>
  <c r="S2" i="43"/>
  <c r="T6" i="43"/>
  <c r="X6" i="43" s="1"/>
  <c r="AA6" i="43" s="1"/>
  <c r="AB6" i="43" s="1"/>
  <c r="T8" i="43"/>
  <c r="X8" i="43" s="1"/>
  <c r="AA8" i="43" s="1"/>
  <c r="AB8" i="43" s="1"/>
  <c r="AH7" i="43"/>
  <c r="AB9" i="43"/>
  <c r="AH16" i="43"/>
  <c r="AJ16" i="43"/>
  <c r="AH8" i="43"/>
  <c r="AB12" i="43"/>
  <c r="AH11" i="43"/>
  <c r="AH10" i="43"/>
  <c r="AH6" i="43"/>
  <c r="AH14" i="43"/>
  <c r="N43" i="43"/>
  <c r="P43" i="43" s="1"/>
  <c r="N39" i="43"/>
  <c r="AB10" i="43"/>
  <c r="P25" i="43"/>
  <c r="AH5" i="43"/>
  <c r="AG4" i="43"/>
  <c r="AA4" i="43"/>
  <c r="AH12" i="43"/>
  <c r="AB13" i="43"/>
  <c r="S10" i="42"/>
  <c r="T10" i="42" s="1"/>
  <c r="X10" i="42" s="1"/>
  <c r="AA10" i="42" s="1"/>
  <c r="C34" i="42"/>
  <c r="U16" i="42" s="1"/>
  <c r="Y16" i="42" s="1"/>
  <c r="AG16" i="42" s="1"/>
  <c r="T25" i="42"/>
  <c r="T31" i="42"/>
  <c r="T27" i="42"/>
  <c r="T30" i="42"/>
  <c r="C24" i="42"/>
  <c r="T33" i="42"/>
  <c r="T35" i="42"/>
  <c r="T28" i="42"/>
  <c r="T34" i="42"/>
  <c r="T26" i="42"/>
  <c r="T29" i="42"/>
  <c r="T32" i="42"/>
  <c r="S16" i="42"/>
  <c r="S4" i="42"/>
  <c r="S7" i="42"/>
  <c r="S5" i="42"/>
  <c r="S12" i="42"/>
  <c r="S15" i="42"/>
  <c r="S6" i="42"/>
  <c r="S9" i="42"/>
  <c r="S11" i="42"/>
  <c r="S8" i="42"/>
  <c r="T37" i="42"/>
  <c r="S13" i="42"/>
  <c r="AD16" i="42"/>
  <c r="AB16" i="42"/>
  <c r="N27" i="42"/>
  <c r="P27" i="42" s="1"/>
  <c r="N25" i="42"/>
  <c r="N30" i="42"/>
  <c r="P30" i="42" s="1"/>
  <c r="R35" i="42" s="1"/>
  <c r="N29" i="42"/>
  <c r="P29" i="42" s="1"/>
  <c r="N26" i="42"/>
  <c r="N28" i="42"/>
  <c r="P28" i="42" s="1"/>
  <c r="S14" i="42"/>
  <c r="T45" i="41"/>
  <c r="T42" i="41"/>
  <c r="T46" i="41"/>
  <c r="C23" i="41"/>
  <c r="T25" i="41" s="1"/>
  <c r="R2" i="41"/>
  <c r="S15" i="41" s="1"/>
  <c r="AB15" i="41"/>
  <c r="N2" i="41"/>
  <c r="B34" i="41"/>
  <c r="T16" i="41" s="1"/>
  <c r="X16" i="41" s="1"/>
  <c r="AA16" i="41" s="1"/>
  <c r="B24" i="41"/>
  <c r="T47" i="41"/>
  <c r="T41" i="41"/>
  <c r="T39" i="41"/>
  <c r="T40" i="41"/>
  <c r="T43" i="41"/>
  <c r="T48" i="41"/>
  <c r="T44" i="41"/>
  <c r="T49" i="41"/>
  <c r="R12" i="40"/>
  <c r="R4" i="40"/>
  <c r="V11" i="40"/>
  <c r="R5" i="40"/>
  <c r="R15" i="40"/>
  <c r="D23" i="40"/>
  <c r="N13" i="40"/>
  <c r="R13" i="40" s="1"/>
  <c r="N5" i="40"/>
  <c r="D30" i="40"/>
  <c r="N8" i="40"/>
  <c r="R8" i="40" s="1"/>
  <c r="C31" i="40"/>
  <c r="W39" i="40" s="1"/>
  <c r="C22" i="40"/>
  <c r="G14" i="40" s="1"/>
  <c r="G13" i="40"/>
  <c r="AH15" i="40"/>
  <c r="AJ15" i="40"/>
  <c r="N15" i="40"/>
  <c r="N14" i="40"/>
  <c r="R14" i="40" s="1"/>
  <c r="N12" i="40"/>
  <c r="N11" i="40"/>
  <c r="R11" i="40" s="1"/>
  <c r="N9" i="40"/>
  <c r="R9" i="40" s="1"/>
  <c r="N6" i="40"/>
  <c r="R6" i="40" s="1"/>
  <c r="N4" i="40"/>
  <c r="N7" i="40"/>
  <c r="R7" i="40" s="1"/>
  <c r="X15" i="40"/>
  <c r="AA15" i="40" s="1"/>
  <c r="W11" i="40"/>
  <c r="BF28" i="40"/>
  <c r="B31" i="40"/>
  <c r="W25" i="40" s="1"/>
  <c r="BF30" i="40"/>
  <c r="BF48" i="39"/>
  <c r="BF47" i="39"/>
  <c r="BE45" i="39"/>
  <c r="BF46" i="39" s="1"/>
  <c r="BE44" i="39"/>
  <c r="BF45" i="39" s="1"/>
  <c r="BD44" i="39"/>
  <c r="BE43" i="39"/>
  <c r="BF43" i="39" s="1"/>
  <c r="BD43" i="39"/>
  <c r="BC43" i="39"/>
  <c r="BF42" i="39"/>
  <c r="BE42" i="39"/>
  <c r="BD42" i="39"/>
  <c r="BC42" i="39"/>
  <c r="BF41" i="39"/>
  <c r="BE41" i="39"/>
  <c r="BD41" i="39"/>
  <c r="BC41" i="39"/>
  <c r="BF40" i="39"/>
  <c r="BE40" i="39"/>
  <c r="BD40" i="39"/>
  <c r="BC40" i="39"/>
  <c r="BC39" i="39"/>
  <c r="AS38" i="39"/>
  <c r="AR38" i="39"/>
  <c r="AQ38" i="39"/>
  <c r="AP38" i="39"/>
  <c r="AO38" i="39"/>
  <c r="AN38" i="39"/>
  <c r="AM38" i="39"/>
  <c r="AL38" i="39"/>
  <c r="AK38" i="39"/>
  <c r="AJ38" i="39"/>
  <c r="AI38" i="39"/>
  <c r="AH38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BF34" i="39"/>
  <c r="BF33" i="39"/>
  <c r="C33" i="39"/>
  <c r="B33" i="39"/>
  <c r="C32" i="39"/>
  <c r="B32" i="39"/>
  <c r="BE31" i="39"/>
  <c r="BF32" i="39" s="1"/>
  <c r="BI30" i="39"/>
  <c r="BI37" i="39" s="1"/>
  <c r="BI43" i="39" s="1"/>
  <c r="BI48" i="39" s="1"/>
  <c r="BI53" i="39" s="1"/>
  <c r="BI56" i="39" s="1"/>
  <c r="BI58" i="39" s="1"/>
  <c r="BI59" i="39" s="1"/>
  <c r="BF30" i="39"/>
  <c r="BE30" i="39"/>
  <c r="BF31" i="39" s="1"/>
  <c r="BD30" i="39"/>
  <c r="E30" i="39"/>
  <c r="D30" i="39"/>
  <c r="C30" i="39"/>
  <c r="B30" i="39"/>
  <c r="BI29" i="39"/>
  <c r="BI36" i="39" s="1"/>
  <c r="BI42" i="39" s="1"/>
  <c r="BI47" i="39" s="1"/>
  <c r="BI52" i="39" s="1"/>
  <c r="BI55" i="39" s="1"/>
  <c r="BI57" i="39" s="1"/>
  <c r="BM13" i="39" s="1"/>
  <c r="BF29" i="39"/>
  <c r="BE29" i="39"/>
  <c r="BD29" i="39"/>
  <c r="BC29" i="39"/>
  <c r="C29" i="39"/>
  <c r="B29" i="39"/>
  <c r="BI28" i="39"/>
  <c r="BI35" i="39" s="1"/>
  <c r="BI41" i="39" s="1"/>
  <c r="BI46" i="39" s="1"/>
  <c r="BI51" i="39" s="1"/>
  <c r="BI54" i="39" s="1"/>
  <c r="BM12" i="39" s="1"/>
  <c r="BQ47" i="39" s="1"/>
  <c r="BF28" i="39"/>
  <c r="BE28" i="39"/>
  <c r="BD28" i="39"/>
  <c r="BC28" i="39"/>
  <c r="BI27" i="39"/>
  <c r="BI34" i="39" s="1"/>
  <c r="BI40" i="39" s="1"/>
  <c r="BI45" i="39" s="1"/>
  <c r="BI50" i="39" s="1"/>
  <c r="BM11" i="39" s="1"/>
  <c r="BQ38" i="39" s="1"/>
  <c r="BQ46" i="39" s="1"/>
  <c r="BF27" i="39"/>
  <c r="BE27" i="39"/>
  <c r="BD27" i="39"/>
  <c r="BC27" i="39"/>
  <c r="C27" i="39"/>
  <c r="B27" i="39"/>
  <c r="BI26" i="39"/>
  <c r="BI33" i="39" s="1"/>
  <c r="BI39" i="39" s="1"/>
  <c r="BI44" i="39" s="1"/>
  <c r="BF26" i="39"/>
  <c r="BE26" i="39"/>
  <c r="BD26" i="39"/>
  <c r="BC26" i="39"/>
  <c r="E26" i="39"/>
  <c r="E27" i="39" s="1"/>
  <c r="D26" i="39"/>
  <c r="D27" i="39" s="1"/>
  <c r="C26" i="39"/>
  <c r="B26" i="39"/>
  <c r="BI25" i="39"/>
  <c r="BI32" i="39" s="1"/>
  <c r="BI38" i="39" s="1"/>
  <c r="BC25" i="39"/>
  <c r="E25" i="39"/>
  <c r="D25" i="39"/>
  <c r="D23" i="39" s="1"/>
  <c r="C25" i="39"/>
  <c r="B25" i="39"/>
  <c r="BI24" i="39"/>
  <c r="BI31" i="39" s="1"/>
  <c r="BI23" i="39"/>
  <c r="B22" i="39"/>
  <c r="C22" i="39" s="1"/>
  <c r="G14" i="39" s="1"/>
  <c r="B20" i="39"/>
  <c r="B21" i="39" s="1"/>
  <c r="W16" i="39"/>
  <c r="V16" i="39"/>
  <c r="R16" i="39"/>
  <c r="Q16" i="39"/>
  <c r="P16" i="39"/>
  <c r="W15" i="39"/>
  <c r="V15" i="39"/>
  <c r="Q15" i="39"/>
  <c r="U15" i="39" s="1"/>
  <c r="P15" i="39"/>
  <c r="T15" i="39" s="1"/>
  <c r="W14" i="39"/>
  <c r="V14" i="39"/>
  <c r="Q14" i="39"/>
  <c r="P14" i="39"/>
  <c r="Q13" i="39"/>
  <c r="P13" i="39"/>
  <c r="W12" i="39"/>
  <c r="V12" i="39"/>
  <c r="Q12" i="39"/>
  <c r="P12" i="39"/>
  <c r="Q11" i="39"/>
  <c r="P11" i="39"/>
  <c r="BM10" i="39"/>
  <c r="BQ30" i="39" s="1"/>
  <c r="BQ37" i="39" s="1"/>
  <c r="BQ45" i="39" s="1"/>
  <c r="W10" i="39"/>
  <c r="V10" i="39"/>
  <c r="BM9" i="39"/>
  <c r="BQ23" i="39" s="1"/>
  <c r="BQ29" i="39" s="1"/>
  <c r="BQ36" i="39" s="1"/>
  <c r="BQ44" i="39" s="1"/>
  <c r="W9" i="39"/>
  <c r="V9" i="39"/>
  <c r="Q9" i="39"/>
  <c r="P9" i="39"/>
  <c r="BQ8" i="39"/>
  <c r="BQ11" i="39" s="1"/>
  <c r="BQ15" i="39" s="1"/>
  <c r="BQ19" i="39" s="1"/>
  <c r="BQ25" i="39" s="1"/>
  <c r="BQ32" i="39" s="1"/>
  <c r="BQ40" i="39" s="1"/>
  <c r="BM8" i="39"/>
  <c r="BQ18" i="39" s="1"/>
  <c r="BQ22" i="39" s="1"/>
  <c r="BQ28" i="39" s="1"/>
  <c r="BQ35" i="39" s="1"/>
  <c r="BQ43" i="39" s="1"/>
  <c r="W8" i="39"/>
  <c r="V8" i="39"/>
  <c r="Q8" i="39"/>
  <c r="P8" i="39"/>
  <c r="BQ7" i="39"/>
  <c r="BQ10" i="39" s="1"/>
  <c r="BQ14" i="39" s="1"/>
  <c r="BI49" i="39" s="1"/>
  <c r="BQ24" i="39" s="1"/>
  <c r="BQ31" i="39" s="1"/>
  <c r="BQ39" i="39" s="1"/>
  <c r="BM14" i="39" s="1"/>
  <c r="BM7" i="39"/>
  <c r="BQ13" i="39" s="1"/>
  <c r="BQ17" i="39" s="1"/>
  <c r="BQ21" i="39" s="1"/>
  <c r="BQ27" i="39" s="1"/>
  <c r="BQ34" i="39" s="1"/>
  <c r="BQ42" i="39" s="1"/>
  <c r="W7" i="39"/>
  <c r="V7" i="39"/>
  <c r="Q7" i="39"/>
  <c r="P7" i="39"/>
  <c r="BQ6" i="39"/>
  <c r="BM6" i="39"/>
  <c r="BQ9" i="39" s="1"/>
  <c r="BQ12" i="39" s="1"/>
  <c r="BQ16" i="39" s="1"/>
  <c r="BQ20" i="39" s="1"/>
  <c r="BQ26" i="39" s="1"/>
  <c r="BQ33" i="39" s="1"/>
  <c r="BQ41" i="39" s="1"/>
  <c r="V6" i="39"/>
  <c r="Q6" i="39"/>
  <c r="P6" i="39"/>
  <c r="BQ5" i="39"/>
  <c r="W5" i="39"/>
  <c r="V5" i="39"/>
  <c r="Q5" i="39"/>
  <c r="P5" i="39"/>
  <c r="W4" i="39"/>
  <c r="V4" i="39"/>
  <c r="Q4" i="39"/>
  <c r="P4" i="39"/>
  <c r="D3" i="39"/>
  <c r="Q1" i="39"/>
  <c r="P1" i="39"/>
  <c r="N1" i="39"/>
  <c r="N11" i="39" s="1"/>
  <c r="BF48" i="38"/>
  <c r="BF47" i="38"/>
  <c r="BF46" i="38"/>
  <c r="BF45" i="38"/>
  <c r="BE45" i="38"/>
  <c r="BE44" i="38"/>
  <c r="BD44" i="38"/>
  <c r="BE43" i="38"/>
  <c r="BF44" i="38" s="1"/>
  <c r="BD43" i="38"/>
  <c r="BC43" i="38"/>
  <c r="BE42" i="38"/>
  <c r="BF43" i="38" s="1"/>
  <c r="BD42" i="38"/>
  <c r="BC42" i="38"/>
  <c r="BF41" i="38"/>
  <c r="BE41" i="38"/>
  <c r="BF42" i="38" s="1"/>
  <c r="BD41" i="38"/>
  <c r="BC41" i="38"/>
  <c r="BF40" i="38"/>
  <c r="BE40" i="38"/>
  <c r="BD40" i="38"/>
  <c r="BC40" i="38"/>
  <c r="BC39" i="38"/>
  <c r="AS38" i="38"/>
  <c r="AR38" i="38"/>
  <c r="AQ38" i="38"/>
  <c r="AP38" i="38"/>
  <c r="AO38" i="38"/>
  <c r="AN38" i="38"/>
  <c r="AM38" i="38"/>
  <c r="AL38" i="38"/>
  <c r="AK38" i="38"/>
  <c r="AJ38" i="38"/>
  <c r="AI38" i="38"/>
  <c r="AH38" i="38"/>
  <c r="AG38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BF34" i="38"/>
  <c r="BF33" i="38"/>
  <c r="C33" i="38"/>
  <c r="B33" i="38"/>
  <c r="C32" i="38"/>
  <c r="B32" i="38"/>
  <c r="BE31" i="38"/>
  <c r="BF32" i="38" s="1"/>
  <c r="BI30" i="38"/>
  <c r="BI37" i="38" s="1"/>
  <c r="BI43" i="38" s="1"/>
  <c r="BI48" i="38" s="1"/>
  <c r="BI53" i="38" s="1"/>
  <c r="BI56" i="38" s="1"/>
  <c r="BI58" i="38" s="1"/>
  <c r="BI59" i="38" s="1"/>
  <c r="BE30" i="38"/>
  <c r="BF31" i="38" s="1"/>
  <c r="BD30" i="38"/>
  <c r="E30" i="38"/>
  <c r="D30" i="38"/>
  <c r="C30" i="38"/>
  <c r="B30" i="38"/>
  <c r="BI29" i="38"/>
  <c r="BI36" i="38" s="1"/>
  <c r="BI42" i="38" s="1"/>
  <c r="BI47" i="38" s="1"/>
  <c r="BI52" i="38" s="1"/>
  <c r="BI55" i="38" s="1"/>
  <c r="BI57" i="38" s="1"/>
  <c r="BM13" i="38" s="1"/>
  <c r="BE29" i="38"/>
  <c r="BF30" i="38" s="1"/>
  <c r="BD29" i="38"/>
  <c r="BC29" i="38"/>
  <c r="C29" i="38"/>
  <c r="B29" i="38"/>
  <c r="BI28" i="38"/>
  <c r="BI35" i="38" s="1"/>
  <c r="BI41" i="38" s="1"/>
  <c r="BI46" i="38" s="1"/>
  <c r="BI51" i="38" s="1"/>
  <c r="BI54" i="38" s="1"/>
  <c r="BM12" i="38" s="1"/>
  <c r="BQ47" i="38" s="1"/>
  <c r="BE28" i="38"/>
  <c r="BF29" i="38" s="1"/>
  <c r="BD28" i="38"/>
  <c r="BC28" i="38"/>
  <c r="BI27" i="38"/>
  <c r="BI34" i="38" s="1"/>
  <c r="BI40" i="38" s="1"/>
  <c r="BI45" i="38" s="1"/>
  <c r="BI50" i="38" s="1"/>
  <c r="BM11" i="38" s="1"/>
  <c r="BQ38" i="38" s="1"/>
  <c r="BQ46" i="38" s="1"/>
  <c r="BF27" i="38"/>
  <c r="BE27" i="38"/>
  <c r="BF28" i="38" s="1"/>
  <c r="BD27" i="38"/>
  <c r="BC27" i="38"/>
  <c r="C27" i="38"/>
  <c r="B27" i="38"/>
  <c r="BI26" i="38"/>
  <c r="BI33" i="38" s="1"/>
  <c r="BI39" i="38" s="1"/>
  <c r="BI44" i="38" s="1"/>
  <c r="BM10" i="38" s="1"/>
  <c r="BQ30" i="38" s="1"/>
  <c r="BQ37" i="38" s="1"/>
  <c r="BQ45" i="38" s="1"/>
  <c r="BF26" i="38"/>
  <c r="BE26" i="38"/>
  <c r="BD26" i="38"/>
  <c r="BC26" i="38"/>
  <c r="E26" i="38"/>
  <c r="E27" i="38" s="1"/>
  <c r="E23" i="38" s="1"/>
  <c r="D26" i="38"/>
  <c r="D27" i="38" s="1"/>
  <c r="C26" i="38"/>
  <c r="B26" i="38"/>
  <c r="BI25" i="38"/>
  <c r="BI32" i="38" s="1"/>
  <c r="BI38" i="38" s="1"/>
  <c r="BC25" i="38"/>
  <c r="E25" i="38"/>
  <c r="D25" i="38"/>
  <c r="C25" i="38"/>
  <c r="B25" i="38"/>
  <c r="BI24" i="38"/>
  <c r="BI31" i="38" s="1"/>
  <c r="BI23" i="38"/>
  <c r="B22" i="38"/>
  <c r="C22" i="38" s="1"/>
  <c r="G14" i="38" s="1"/>
  <c r="B20" i="38"/>
  <c r="B21" i="38" s="1"/>
  <c r="W16" i="38"/>
  <c r="V16" i="38"/>
  <c r="R16" i="38"/>
  <c r="Q16" i="38"/>
  <c r="P16" i="38"/>
  <c r="W15" i="38"/>
  <c r="V15" i="38"/>
  <c r="Q15" i="38"/>
  <c r="P15" i="38"/>
  <c r="W14" i="38"/>
  <c r="V14" i="38"/>
  <c r="Q14" i="38"/>
  <c r="P14" i="38"/>
  <c r="Q13" i="38"/>
  <c r="P13" i="38"/>
  <c r="W12" i="38"/>
  <c r="V12" i="38"/>
  <c r="Q12" i="38"/>
  <c r="P12" i="38"/>
  <c r="Q11" i="38"/>
  <c r="P11" i="38"/>
  <c r="BQ10" i="38"/>
  <c r="BQ14" i="38" s="1"/>
  <c r="BI49" i="38" s="1"/>
  <c r="BQ24" i="38" s="1"/>
  <c r="BQ31" i="38" s="1"/>
  <c r="BQ39" i="38" s="1"/>
  <c r="BM14" i="38" s="1"/>
  <c r="W10" i="38"/>
  <c r="V10" i="38"/>
  <c r="BM9" i="38"/>
  <c r="BQ23" i="38" s="1"/>
  <c r="BQ29" i="38" s="1"/>
  <c r="BQ36" i="38" s="1"/>
  <c r="BQ44" i="38" s="1"/>
  <c r="W9" i="38"/>
  <c r="V9" i="38"/>
  <c r="Q9" i="38"/>
  <c r="P9" i="38"/>
  <c r="BM8" i="38"/>
  <c r="BQ18" i="38" s="1"/>
  <c r="BQ22" i="38" s="1"/>
  <c r="BQ28" i="38" s="1"/>
  <c r="BQ35" i="38" s="1"/>
  <c r="BQ43" i="38" s="1"/>
  <c r="W8" i="38"/>
  <c r="V8" i="38"/>
  <c r="Q8" i="38"/>
  <c r="P8" i="38"/>
  <c r="BM7" i="38"/>
  <c r="BQ13" i="38" s="1"/>
  <c r="BQ17" i="38" s="1"/>
  <c r="BQ21" i="38" s="1"/>
  <c r="BQ27" i="38" s="1"/>
  <c r="BQ34" i="38" s="1"/>
  <c r="BQ42" i="38" s="1"/>
  <c r="W7" i="38"/>
  <c r="V7" i="38"/>
  <c r="Q7" i="38"/>
  <c r="P7" i="38"/>
  <c r="BQ6" i="38"/>
  <c r="BQ8" i="38" s="1"/>
  <c r="BQ11" i="38" s="1"/>
  <c r="BQ15" i="38" s="1"/>
  <c r="BQ19" i="38" s="1"/>
  <c r="BQ25" i="38" s="1"/>
  <c r="BQ32" i="38" s="1"/>
  <c r="BQ40" i="38" s="1"/>
  <c r="BM6" i="38"/>
  <c r="BQ9" i="38" s="1"/>
  <c r="BQ12" i="38" s="1"/>
  <c r="BQ16" i="38" s="1"/>
  <c r="BQ20" i="38" s="1"/>
  <c r="BQ26" i="38" s="1"/>
  <c r="BQ33" i="38" s="1"/>
  <c r="BQ41" i="38" s="1"/>
  <c r="W6" i="38"/>
  <c r="V6" i="38"/>
  <c r="Q6" i="38"/>
  <c r="P6" i="38"/>
  <c r="BQ5" i="38"/>
  <c r="BQ7" i="38" s="1"/>
  <c r="W5" i="38"/>
  <c r="V5" i="38"/>
  <c r="Q5" i="38"/>
  <c r="P5" i="38"/>
  <c r="V4" i="38"/>
  <c r="Q4" i="38"/>
  <c r="P4" i="38"/>
  <c r="D3" i="38"/>
  <c r="Q1" i="38"/>
  <c r="P1" i="38"/>
  <c r="N1" i="38"/>
  <c r="N9" i="38" s="1"/>
  <c r="AK18" i="31"/>
  <c r="AE18" i="31"/>
  <c r="Q11" i="31"/>
  <c r="P11" i="31"/>
  <c r="AA4" i="45" l="1"/>
  <c r="X2" i="45"/>
  <c r="R49" i="45"/>
  <c r="R48" i="45"/>
  <c r="R46" i="45"/>
  <c r="R45" i="45"/>
  <c r="R47" i="45"/>
  <c r="AG4" i="45"/>
  <c r="Y2" i="45"/>
  <c r="N37" i="45"/>
  <c r="P39" i="45"/>
  <c r="P23" i="45"/>
  <c r="R29" i="45"/>
  <c r="R28" i="45"/>
  <c r="R27" i="45"/>
  <c r="R30" i="45"/>
  <c r="R25" i="45"/>
  <c r="AC26" i="44"/>
  <c r="AC25" i="44"/>
  <c r="V40" i="44"/>
  <c r="AA39" i="44" s="1"/>
  <c r="X2" i="44"/>
  <c r="AA4" i="44"/>
  <c r="AO29" i="44"/>
  <c r="AO31" i="44"/>
  <c r="AO30" i="44"/>
  <c r="AO28" i="44"/>
  <c r="AO25" i="44"/>
  <c r="AO27" i="44"/>
  <c r="AO26" i="44"/>
  <c r="AO33" i="44"/>
  <c r="AO32" i="44"/>
  <c r="V41" i="44"/>
  <c r="AG4" i="44"/>
  <c r="Y2" i="44"/>
  <c r="AI30" i="44"/>
  <c r="AI27" i="44"/>
  <c r="AI28" i="44"/>
  <c r="AI29" i="44"/>
  <c r="AI26" i="44"/>
  <c r="AI25" i="44"/>
  <c r="AE27" i="44"/>
  <c r="AE28" i="44"/>
  <c r="AE25" i="44"/>
  <c r="AE26" i="44"/>
  <c r="R37" i="44"/>
  <c r="V39" i="44"/>
  <c r="V43" i="44"/>
  <c r="V47" i="44"/>
  <c r="V48" i="44"/>
  <c r="V46" i="44"/>
  <c r="V44" i="44"/>
  <c r="V45" i="44"/>
  <c r="AA25" i="44"/>
  <c r="AA26" i="44"/>
  <c r="AG29" i="44"/>
  <c r="AG28" i="44"/>
  <c r="AG27" i="44"/>
  <c r="AG25" i="44"/>
  <c r="AG26" i="44"/>
  <c r="V23" i="44"/>
  <c r="V35" i="44" s="1"/>
  <c r="V22" i="44" s="1"/>
  <c r="Y25" i="44"/>
  <c r="V42" i="44"/>
  <c r="AQ31" i="44"/>
  <c r="AQ34" i="44"/>
  <c r="AQ26" i="44"/>
  <c r="AQ32" i="44"/>
  <c r="AQ29" i="44"/>
  <c r="AQ28" i="44"/>
  <c r="AQ30" i="44"/>
  <c r="AQ33" i="44"/>
  <c r="AQ27" i="44"/>
  <c r="AQ25" i="44"/>
  <c r="AK25" i="44"/>
  <c r="AK26" i="44"/>
  <c r="AK28" i="44"/>
  <c r="AK31" i="44"/>
  <c r="AK30" i="44"/>
  <c r="AK29" i="44"/>
  <c r="AK27" i="44"/>
  <c r="AM32" i="44"/>
  <c r="AM25" i="44"/>
  <c r="AM27" i="44"/>
  <c r="AM26" i="44"/>
  <c r="AM30" i="44"/>
  <c r="AM29" i="44"/>
  <c r="AM28" i="44"/>
  <c r="AM31" i="44"/>
  <c r="N42" i="43"/>
  <c r="P42" i="43" s="1"/>
  <c r="N44" i="43"/>
  <c r="P44" i="43" s="1"/>
  <c r="R48" i="43" s="1"/>
  <c r="N40" i="43"/>
  <c r="P40" i="43" s="1"/>
  <c r="R34" i="43"/>
  <c r="T23" i="43"/>
  <c r="R33" i="43"/>
  <c r="R32" i="43"/>
  <c r="N23" i="43"/>
  <c r="R31" i="43"/>
  <c r="R26" i="43"/>
  <c r="U2" i="43"/>
  <c r="Y2" i="43"/>
  <c r="T2" i="43"/>
  <c r="X2" i="43"/>
  <c r="AD4" i="43"/>
  <c r="AC4" i="43"/>
  <c r="AB4" i="43"/>
  <c r="AC11" i="43" s="1"/>
  <c r="P39" i="43"/>
  <c r="AJ4" i="43"/>
  <c r="AI4" i="43"/>
  <c r="AH4" i="43"/>
  <c r="AJ11" i="43" s="1"/>
  <c r="R47" i="43"/>
  <c r="R25" i="43"/>
  <c r="R30" i="43"/>
  <c r="P23" i="43"/>
  <c r="R29" i="43"/>
  <c r="R28" i="43"/>
  <c r="R27" i="43"/>
  <c r="U10" i="42"/>
  <c r="Y10" i="42" s="1"/>
  <c r="AG10" i="42" s="1"/>
  <c r="U13" i="42"/>
  <c r="Y13" i="42" s="1"/>
  <c r="AG13" i="42" s="1"/>
  <c r="T13" i="42"/>
  <c r="X13" i="42" s="1"/>
  <c r="AA13" i="42" s="1"/>
  <c r="N43" i="42"/>
  <c r="P43" i="42" s="1"/>
  <c r="N41" i="42"/>
  <c r="P41" i="42" s="1"/>
  <c r="N39" i="42"/>
  <c r="N42" i="42"/>
  <c r="P42" i="42" s="1"/>
  <c r="N44" i="42"/>
  <c r="P44" i="42" s="1"/>
  <c r="N40" i="42"/>
  <c r="P40" i="42" s="1"/>
  <c r="N23" i="42"/>
  <c r="P25" i="42"/>
  <c r="T12" i="42"/>
  <c r="X12" i="42" s="1"/>
  <c r="AA12" i="42" s="1"/>
  <c r="U12" i="42"/>
  <c r="Y12" i="42" s="1"/>
  <c r="AG12" i="42" s="1"/>
  <c r="R32" i="42"/>
  <c r="T5" i="42"/>
  <c r="X5" i="42" s="1"/>
  <c r="AA5" i="42" s="1"/>
  <c r="U5" i="42"/>
  <c r="Y5" i="42" s="1"/>
  <c r="AG5" i="42" s="1"/>
  <c r="T14" i="42"/>
  <c r="X14" i="42" s="1"/>
  <c r="AA14" i="42" s="1"/>
  <c r="U14" i="42"/>
  <c r="Y14" i="42" s="1"/>
  <c r="AG14" i="42" s="1"/>
  <c r="U8" i="42"/>
  <c r="Y8" i="42" s="1"/>
  <c r="AG8" i="42" s="1"/>
  <c r="T8" i="42"/>
  <c r="X8" i="42" s="1"/>
  <c r="AA8" i="42" s="1"/>
  <c r="U7" i="42"/>
  <c r="Y7" i="42" s="1"/>
  <c r="AG7" i="42" s="1"/>
  <c r="T7" i="42"/>
  <c r="X7" i="42" s="1"/>
  <c r="AA7" i="42" s="1"/>
  <c r="S2" i="42"/>
  <c r="U4" i="42"/>
  <c r="T4" i="42"/>
  <c r="T23" i="42"/>
  <c r="R33" i="42"/>
  <c r="U11" i="42"/>
  <c r="Y11" i="42" s="1"/>
  <c r="AG11" i="42" s="1"/>
  <c r="T11" i="42"/>
  <c r="X11" i="42" s="1"/>
  <c r="AA11" i="42" s="1"/>
  <c r="AH16" i="42"/>
  <c r="AJ16" i="42"/>
  <c r="P26" i="42"/>
  <c r="R31" i="42" s="1"/>
  <c r="U9" i="42"/>
  <c r="Y9" i="42" s="1"/>
  <c r="AG9" i="42" s="1"/>
  <c r="T9" i="42"/>
  <c r="X9" i="42" s="1"/>
  <c r="AA9" i="42" s="1"/>
  <c r="AH10" i="42"/>
  <c r="R34" i="42"/>
  <c r="U6" i="42"/>
  <c r="Y6" i="42" s="1"/>
  <c r="AG6" i="42" s="1"/>
  <c r="T6" i="42"/>
  <c r="X6" i="42" s="1"/>
  <c r="AA6" i="42" s="1"/>
  <c r="AB10" i="42"/>
  <c r="S14" i="41"/>
  <c r="U14" i="41" s="1"/>
  <c r="Y14" i="41" s="1"/>
  <c r="AG14" i="41" s="1"/>
  <c r="S11" i="41"/>
  <c r="U11" i="41" s="1"/>
  <c r="Y11" i="41" s="1"/>
  <c r="AG11" i="41" s="1"/>
  <c r="T34" i="41"/>
  <c r="T35" i="41"/>
  <c r="C24" i="41"/>
  <c r="N41" i="41" s="1"/>
  <c r="P41" i="41" s="1"/>
  <c r="T30" i="41"/>
  <c r="T33" i="41"/>
  <c r="T32" i="41"/>
  <c r="T31" i="41"/>
  <c r="T26" i="41"/>
  <c r="C34" i="41"/>
  <c r="U16" i="41" s="1"/>
  <c r="Y16" i="41" s="1"/>
  <c r="AG16" i="41" s="1"/>
  <c r="AH16" i="41" s="1"/>
  <c r="T28" i="41"/>
  <c r="T29" i="41"/>
  <c r="T27" i="41"/>
  <c r="S16" i="41"/>
  <c r="S4" i="41"/>
  <c r="S9" i="41"/>
  <c r="S7" i="41"/>
  <c r="S12" i="41"/>
  <c r="S10" i="41"/>
  <c r="S6" i="41"/>
  <c r="S5" i="41"/>
  <c r="T37" i="41"/>
  <c r="S13" i="41"/>
  <c r="N25" i="41"/>
  <c r="N29" i="41"/>
  <c r="P29" i="41" s="1"/>
  <c r="R34" i="41" s="1"/>
  <c r="N26" i="41"/>
  <c r="N28" i="41"/>
  <c r="P28" i="41" s="1"/>
  <c r="N27" i="41"/>
  <c r="P27" i="41" s="1"/>
  <c r="N30" i="41"/>
  <c r="P30" i="41" s="1"/>
  <c r="R35" i="41" s="1"/>
  <c r="N40" i="41"/>
  <c r="P40" i="41" s="1"/>
  <c r="AD16" i="41"/>
  <c r="AB16" i="41"/>
  <c r="S8" i="41"/>
  <c r="B23" i="40"/>
  <c r="T45" i="40" s="1"/>
  <c r="R2" i="40"/>
  <c r="S13" i="40" s="1"/>
  <c r="AB15" i="40"/>
  <c r="N2" i="40"/>
  <c r="R7" i="39"/>
  <c r="R12" i="39"/>
  <c r="R15" i="39"/>
  <c r="R4" i="39"/>
  <c r="B31" i="39"/>
  <c r="W25" i="39" s="1"/>
  <c r="G13" i="39"/>
  <c r="X15" i="39"/>
  <c r="AA15" i="39" s="1"/>
  <c r="C31" i="39"/>
  <c r="W39" i="39" s="1"/>
  <c r="N8" i="39"/>
  <c r="R11" i="39"/>
  <c r="N13" i="39"/>
  <c r="R13" i="39" s="1"/>
  <c r="Y15" i="39"/>
  <c r="AG15" i="39" s="1"/>
  <c r="N6" i="39"/>
  <c r="R6" i="39" s="1"/>
  <c r="N7" i="39"/>
  <c r="R8" i="39"/>
  <c r="N15" i="39"/>
  <c r="E23" i="39"/>
  <c r="N5" i="39"/>
  <c r="R5" i="39" s="1"/>
  <c r="N10" i="39"/>
  <c r="R10" i="39" s="1"/>
  <c r="N12" i="39"/>
  <c r="V11" i="39"/>
  <c r="W11" i="39"/>
  <c r="N14" i="39"/>
  <c r="R14" i="39" s="1"/>
  <c r="B23" i="39"/>
  <c r="N4" i="39"/>
  <c r="N9" i="39"/>
  <c r="R9" i="39" s="1"/>
  <c r="BF44" i="39"/>
  <c r="V11" i="38"/>
  <c r="R6" i="38"/>
  <c r="R4" i="38"/>
  <c r="R5" i="38"/>
  <c r="R12" i="38"/>
  <c r="R15" i="38"/>
  <c r="R7" i="38"/>
  <c r="N6" i="38"/>
  <c r="R9" i="38"/>
  <c r="N4" i="38"/>
  <c r="N10" i="38"/>
  <c r="R10" i="38" s="1"/>
  <c r="N13" i="38"/>
  <c r="N7" i="38"/>
  <c r="R13" i="38"/>
  <c r="B31" i="38"/>
  <c r="W25" i="38" s="1"/>
  <c r="C31" i="38"/>
  <c r="W39" i="38" s="1"/>
  <c r="N15" i="38"/>
  <c r="N14" i="38"/>
  <c r="R14" i="38" s="1"/>
  <c r="N12" i="38"/>
  <c r="N11" i="38"/>
  <c r="R11" i="38" s="1"/>
  <c r="D23" i="38"/>
  <c r="N5" i="38"/>
  <c r="N8" i="38"/>
  <c r="R8" i="38" s="1"/>
  <c r="W11" i="38"/>
  <c r="G13" i="38"/>
  <c r="B23" i="38"/>
  <c r="W11" i="31"/>
  <c r="V11" i="31"/>
  <c r="R39" i="45" l="1"/>
  <c r="P37" i="45"/>
  <c r="V25" i="45"/>
  <c r="R23" i="45"/>
  <c r="V29" i="45"/>
  <c r="V31" i="45"/>
  <c r="V30" i="45"/>
  <c r="V33" i="45"/>
  <c r="V32" i="45"/>
  <c r="V34" i="45"/>
  <c r="R40" i="45"/>
  <c r="V28" i="45"/>
  <c r="AB4" i="45"/>
  <c r="AD4" i="45"/>
  <c r="AC4" i="45"/>
  <c r="R42" i="45"/>
  <c r="V27" i="45"/>
  <c r="V26" i="45"/>
  <c r="R41" i="45"/>
  <c r="AJ4" i="45"/>
  <c r="AH4" i="45"/>
  <c r="AI4" i="45"/>
  <c r="R44" i="45"/>
  <c r="R43" i="45"/>
  <c r="AC23" i="44"/>
  <c r="AA40" i="44"/>
  <c r="AA37" i="44" s="1"/>
  <c r="AA23" i="44"/>
  <c r="AG23" i="44"/>
  <c r="AI42" i="44"/>
  <c r="AI40" i="44"/>
  <c r="AI43" i="44"/>
  <c r="AI39" i="44"/>
  <c r="AI41" i="44"/>
  <c r="AI44" i="44"/>
  <c r="AM39" i="44"/>
  <c r="AM44" i="44"/>
  <c r="AM45" i="44"/>
  <c r="AM46" i="44"/>
  <c r="AM40" i="44"/>
  <c r="AM41" i="44"/>
  <c r="AM42" i="44"/>
  <c r="AM43" i="44"/>
  <c r="AD4" i="44"/>
  <c r="AC4" i="44"/>
  <c r="AB4" i="44"/>
  <c r="AO23" i="44"/>
  <c r="AE42" i="44"/>
  <c r="AE39" i="44"/>
  <c r="AE40" i="44"/>
  <c r="AE41" i="44"/>
  <c r="AQ40" i="44"/>
  <c r="AQ48" i="44"/>
  <c r="AQ45" i="44"/>
  <c r="AQ46" i="44"/>
  <c r="AQ39" i="44"/>
  <c r="AQ44" i="44"/>
  <c r="AQ47" i="44"/>
  <c r="AQ41" i="44"/>
  <c r="AQ43" i="44"/>
  <c r="AQ42" i="44"/>
  <c r="AH4" i="44"/>
  <c r="AJ4" i="44"/>
  <c r="AI4" i="44"/>
  <c r="AM23" i="44"/>
  <c r="Y23" i="44"/>
  <c r="AO44" i="44"/>
  <c r="AO47" i="44"/>
  <c r="AO46" i="44"/>
  <c r="AO45" i="44"/>
  <c r="AO43" i="44"/>
  <c r="AO39" i="44"/>
  <c r="AO41" i="44"/>
  <c r="AO40" i="44"/>
  <c r="AO42" i="44"/>
  <c r="AI23" i="44"/>
  <c r="AC40" i="44"/>
  <c r="AC39" i="44"/>
  <c r="AC41" i="44"/>
  <c r="AE23" i="44"/>
  <c r="AS30" i="44"/>
  <c r="J30" i="44" s="1"/>
  <c r="AS35" i="44"/>
  <c r="J35" i="44" s="1"/>
  <c r="AS28" i="44"/>
  <c r="J28" i="44" s="1"/>
  <c r="AS33" i="44"/>
  <c r="J33" i="44" s="1"/>
  <c r="AS25" i="44"/>
  <c r="AS27" i="44"/>
  <c r="J27" i="44" s="1"/>
  <c r="AS32" i="44"/>
  <c r="J32" i="44" s="1"/>
  <c r="AS31" i="44"/>
  <c r="J31" i="44" s="1"/>
  <c r="AS29" i="44"/>
  <c r="J29" i="44" s="1"/>
  <c r="AS34" i="44"/>
  <c r="J34" i="44" s="1"/>
  <c r="AS26" i="44"/>
  <c r="J26" i="44" s="1"/>
  <c r="AG39" i="44"/>
  <c r="AG42" i="44"/>
  <c r="AG43" i="44"/>
  <c r="AG40" i="44"/>
  <c r="AG41" i="44"/>
  <c r="Y39" i="44"/>
  <c r="V37" i="44"/>
  <c r="V49" i="44" s="1"/>
  <c r="AK23" i="44"/>
  <c r="AQ23" i="44"/>
  <c r="AK40" i="44"/>
  <c r="AK43" i="44"/>
  <c r="AK45" i="44"/>
  <c r="AK42" i="44"/>
  <c r="AK41" i="44"/>
  <c r="AK39" i="44"/>
  <c r="AK44" i="44"/>
  <c r="R45" i="43"/>
  <c r="R49" i="43"/>
  <c r="R46" i="43"/>
  <c r="N37" i="43"/>
  <c r="AD5" i="43"/>
  <c r="AC5" i="43"/>
  <c r="AJ9" i="43"/>
  <c r="R39" i="43"/>
  <c r="P37" i="43"/>
  <c r="R23" i="43"/>
  <c r="V25" i="43"/>
  <c r="V32" i="43"/>
  <c r="V33" i="43"/>
  <c r="V34" i="43"/>
  <c r="V30" i="43"/>
  <c r="V31" i="43"/>
  <c r="V29" i="43"/>
  <c r="AB18" i="43"/>
  <c r="AC16" i="43"/>
  <c r="AC13" i="43"/>
  <c r="AD10" i="43"/>
  <c r="AC14" i="43"/>
  <c r="AD7" i="43"/>
  <c r="AC8" i="43"/>
  <c r="AD6" i="43"/>
  <c r="AD14" i="43"/>
  <c r="AC15" i="43"/>
  <c r="AD13" i="43"/>
  <c r="AC10" i="43"/>
  <c r="AD15" i="43"/>
  <c r="AC12" i="43"/>
  <c r="AD11" i="43"/>
  <c r="AD8" i="43"/>
  <c r="R41" i="43"/>
  <c r="AC9" i="43"/>
  <c r="V27" i="43"/>
  <c r="R40" i="43"/>
  <c r="R42" i="43"/>
  <c r="AD12" i="43"/>
  <c r="AH18" i="43"/>
  <c r="AI15" i="43"/>
  <c r="AJ7" i="43"/>
  <c r="AI6" i="43"/>
  <c r="AI13" i="43"/>
  <c r="AJ13" i="43"/>
  <c r="AI7" i="43"/>
  <c r="AI8" i="43"/>
  <c r="AJ6" i="43"/>
  <c r="AI11" i="43"/>
  <c r="AI16" i="43"/>
  <c r="AJ14" i="43"/>
  <c r="AJ10" i="43"/>
  <c r="AI14" i="43"/>
  <c r="AI9" i="43"/>
  <c r="AI10" i="43"/>
  <c r="AI5" i="43"/>
  <c r="AJ12" i="43"/>
  <c r="AI12" i="43"/>
  <c r="AD9" i="43"/>
  <c r="V28" i="43"/>
  <c r="AC6" i="43"/>
  <c r="AJ5" i="43"/>
  <c r="AC7" i="43"/>
  <c r="R44" i="43"/>
  <c r="R43" i="43"/>
  <c r="V26" i="43"/>
  <c r="AJ8" i="43"/>
  <c r="AB6" i="42"/>
  <c r="AH9" i="42"/>
  <c r="AB7" i="42"/>
  <c r="AB5" i="42"/>
  <c r="AH6" i="42"/>
  <c r="R26" i="42"/>
  <c r="R47" i="42"/>
  <c r="R49" i="42"/>
  <c r="R48" i="42"/>
  <c r="R46" i="42"/>
  <c r="R45" i="42"/>
  <c r="AB8" i="42"/>
  <c r="T2" i="42"/>
  <c r="X4" i="42"/>
  <c r="AH8" i="42"/>
  <c r="N37" i="42"/>
  <c r="P39" i="42"/>
  <c r="R44" i="42" s="1"/>
  <c r="AH7" i="42"/>
  <c r="U2" i="42"/>
  <c r="Y4" i="42"/>
  <c r="AH14" i="42"/>
  <c r="AH12" i="42"/>
  <c r="AB14" i="42"/>
  <c r="AB12" i="42"/>
  <c r="P23" i="42"/>
  <c r="R29" i="42"/>
  <c r="R28" i="42"/>
  <c r="R27" i="42"/>
  <c r="R30" i="42"/>
  <c r="R25" i="42"/>
  <c r="AB13" i="42"/>
  <c r="AB11" i="42"/>
  <c r="AB9" i="42"/>
  <c r="AH11" i="42"/>
  <c r="AH5" i="42"/>
  <c r="AH13" i="42"/>
  <c r="T14" i="41"/>
  <c r="X14" i="41" s="1"/>
  <c r="AA14" i="41" s="1"/>
  <c r="AB14" i="41" s="1"/>
  <c r="T11" i="41"/>
  <c r="X11" i="41" s="1"/>
  <c r="AA11" i="41" s="1"/>
  <c r="AB11" i="41" s="1"/>
  <c r="AJ16" i="41"/>
  <c r="T23" i="41"/>
  <c r="N44" i="41"/>
  <c r="P44" i="41" s="1"/>
  <c r="N42" i="41"/>
  <c r="P42" i="41" s="1"/>
  <c r="N43" i="41"/>
  <c r="P43" i="41" s="1"/>
  <c r="N39" i="41"/>
  <c r="P39" i="41" s="1"/>
  <c r="R41" i="41" s="1"/>
  <c r="R32" i="41"/>
  <c r="R33" i="41"/>
  <c r="T12" i="41"/>
  <c r="X12" i="41" s="1"/>
  <c r="AA12" i="41" s="1"/>
  <c r="U12" i="41"/>
  <c r="Y12" i="41" s="1"/>
  <c r="AG12" i="41" s="1"/>
  <c r="P26" i="41"/>
  <c r="R31" i="41" s="1"/>
  <c r="U7" i="41"/>
  <c r="Y7" i="41" s="1"/>
  <c r="AG7" i="41" s="1"/>
  <c r="T7" i="41"/>
  <c r="X7" i="41" s="1"/>
  <c r="AA7" i="41" s="1"/>
  <c r="U9" i="41"/>
  <c r="Y9" i="41" s="1"/>
  <c r="AG9" i="41" s="1"/>
  <c r="T9" i="41"/>
  <c r="X9" i="41" s="1"/>
  <c r="AA9" i="41" s="1"/>
  <c r="T10" i="41"/>
  <c r="X10" i="41" s="1"/>
  <c r="AA10" i="41" s="1"/>
  <c r="U10" i="41"/>
  <c r="Y10" i="41" s="1"/>
  <c r="AG10" i="41" s="1"/>
  <c r="U8" i="41"/>
  <c r="Y8" i="41" s="1"/>
  <c r="AG8" i="41" s="1"/>
  <c r="T8" i="41"/>
  <c r="X8" i="41" s="1"/>
  <c r="AA8" i="41" s="1"/>
  <c r="P25" i="41"/>
  <c r="N23" i="41"/>
  <c r="U4" i="41"/>
  <c r="T4" i="41"/>
  <c r="S2" i="41"/>
  <c r="AH14" i="41"/>
  <c r="T5" i="41"/>
  <c r="X5" i="41" s="1"/>
  <c r="AA5" i="41" s="1"/>
  <c r="U5" i="41"/>
  <c r="Y5" i="41" s="1"/>
  <c r="AG5" i="41" s="1"/>
  <c r="AH11" i="41"/>
  <c r="U13" i="41"/>
  <c r="Y13" i="41" s="1"/>
  <c r="AG13" i="41" s="1"/>
  <c r="T13" i="41"/>
  <c r="X13" i="41" s="1"/>
  <c r="AA13" i="41" s="1"/>
  <c r="U6" i="41"/>
  <c r="Y6" i="41" s="1"/>
  <c r="AG6" i="41" s="1"/>
  <c r="T6" i="41"/>
  <c r="X6" i="41" s="1"/>
  <c r="AA6" i="41" s="1"/>
  <c r="S9" i="40"/>
  <c r="T9" i="40" s="1"/>
  <c r="X9" i="40" s="1"/>
  <c r="AA9" i="40" s="1"/>
  <c r="T44" i="40"/>
  <c r="T39" i="40"/>
  <c r="T46" i="40"/>
  <c r="B24" i="40"/>
  <c r="N26" i="40" s="1"/>
  <c r="P26" i="40" s="1"/>
  <c r="T48" i="40"/>
  <c r="T43" i="40"/>
  <c r="B34" i="40"/>
  <c r="T16" i="40" s="1"/>
  <c r="X16" i="40" s="1"/>
  <c r="AA16" i="40" s="1"/>
  <c r="AD16" i="40" s="1"/>
  <c r="T40" i="40"/>
  <c r="T49" i="40"/>
  <c r="C23" i="40"/>
  <c r="T32" i="40" s="1"/>
  <c r="T41" i="40"/>
  <c r="T42" i="40"/>
  <c r="T47" i="40"/>
  <c r="S14" i="40"/>
  <c r="S8" i="40"/>
  <c r="T13" i="40"/>
  <c r="X13" i="40" s="1"/>
  <c r="AA13" i="40" s="1"/>
  <c r="U13" i="40"/>
  <c r="Y13" i="40" s="1"/>
  <c r="AG13" i="40" s="1"/>
  <c r="S4" i="40"/>
  <c r="S5" i="40"/>
  <c r="S12" i="40"/>
  <c r="S7" i="40"/>
  <c r="S10" i="40"/>
  <c r="S15" i="40"/>
  <c r="S6" i="40"/>
  <c r="S16" i="40"/>
  <c r="S11" i="40"/>
  <c r="T48" i="39"/>
  <c r="T40" i="39"/>
  <c r="T44" i="39"/>
  <c r="T49" i="39"/>
  <c r="T39" i="39"/>
  <c r="T42" i="39"/>
  <c r="T46" i="39"/>
  <c r="T45" i="39"/>
  <c r="T43" i="39"/>
  <c r="T41" i="39"/>
  <c r="R2" i="39"/>
  <c r="S14" i="39" s="1"/>
  <c r="B24" i="39"/>
  <c r="B34" i="39"/>
  <c r="T16" i="39" s="1"/>
  <c r="X16" i="39" s="1"/>
  <c r="AA16" i="39" s="1"/>
  <c r="AJ15" i="39"/>
  <c r="AH15" i="39"/>
  <c r="AB15" i="39"/>
  <c r="T47" i="39"/>
  <c r="C23" i="39"/>
  <c r="N2" i="39"/>
  <c r="T41" i="38"/>
  <c r="R2" i="38"/>
  <c r="B34" i="38"/>
  <c r="T16" i="38" s="1"/>
  <c r="X16" i="38" s="1"/>
  <c r="AA16" i="38" s="1"/>
  <c r="B24" i="38"/>
  <c r="C23" i="38"/>
  <c r="T39" i="38"/>
  <c r="T42" i="38"/>
  <c r="T49" i="38"/>
  <c r="T48" i="38"/>
  <c r="T47" i="38"/>
  <c r="T46" i="38"/>
  <c r="T44" i="38"/>
  <c r="T45" i="38"/>
  <c r="T40" i="38"/>
  <c r="N2" i="38"/>
  <c r="T43" i="38"/>
  <c r="V42" i="45" l="1"/>
  <c r="AE39" i="45" s="1"/>
  <c r="AK29" i="45"/>
  <c r="AK31" i="45"/>
  <c r="AK28" i="45"/>
  <c r="AK27" i="45"/>
  <c r="AK26" i="45"/>
  <c r="AK25" i="45"/>
  <c r="AK30" i="45"/>
  <c r="AE28" i="45"/>
  <c r="AE25" i="45"/>
  <c r="AE27" i="45"/>
  <c r="AE26" i="45"/>
  <c r="AI30" i="45"/>
  <c r="AI25" i="45"/>
  <c r="AI28" i="45"/>
  <c r="AI26" i="45"/>
  <c r="AI27" i="45"/>
  <c r="AI29" i="45"/>
  <c r="AH18" i="45"/>
  <c r="AI15" i="45"/>
  <c r="AI11" i="45"/>
  <c r="AI8" i="45"/>
  <c r="AI9" i="45"/>
  <c r="AI13" i="45"/>
  <c r="AI10" i="45"/>
  <c r="AI6" i="45"/>
  <c r="AJ8" i="45"/>
  <c r="AJ6" i="45"/>
  <c r="AI16" i="45"/>
  <c r="AI5" i="45"/>
  <c r="AJ12" i="45"/>
  <c r="AI12" i="45"/>
  <c r="AI7" i="45"/>
  <c r="AI14" i="45"/>
  <c r="AJ7" i="45"/>
  <c r="AJ10" i="45"/>
  <c r="AJ5" i="45"/>
  <c r="AJ11" i="45"/>
  <c r="AJ13" i="45"/>
  <c r="AJ14" i="45"/>
  <c r="AJ9" i="45"/>
  <c r="V41" i="45"/>
  <c r="V40" i="45"/>
  <c r="AO30" i="45"/>
  <c r="AO29" i="45"/>
  <c r="AO28" i="45"/>
  <c r="AO27" i="45"/>
  <c r="AO32" i="45"/>
  <c r="AO25" i="45"/>
  <c r="AO26" i="45"/>
  <c r="AO33" i="45"/>
  <c r="AO31" i="45"/>
  <c r="AB18" i="45"/>
  <c r="AD15" i="45"/>
  <c r="AC16" i="45"/>
  <c r="AC14" i="45"/>
  <c r="AD8" i="45"/>
  <c r="AD12" i="45"/>
  <c r="AD10" i="45"/>
  <c r="AC12" i="45"/>
  <c r="AC15" i="45"/>
  <c r="AD6" i="45"/>
  <c r="AD13" i="45"/>
  <c r="AD7" i="45"/>
  <c r="AC5" i="45"/>
  <c r="AD14" i="45"/>
  <c r="AC7" i="45"/>
  <c r="AD5" i="45"/>
  <c r="AC8" i="45"/>
  <c r="AC11" i="45"/>
  <c r="AC6" i="45"/>
  <c r="AC13" i="45"/>
  <c r="AD11" i="45"/>
  <c r="AC10" i="45"/>
  <c r="AD9" i="45"/>
  <c r="AC9" i="45"/>
  <c r="AA26" i="45"/>
  <c r="AA25" i="45"/>
  <c r="AQ30" i="45"/>
  <c r="AQ29" i="45"/>
  <c r="AQ26" i="45"/>
  <c r="AQ28" i="45"/>
  <c r="AQ25" i="45"/>
  <c r="AQ27" i="45"/>
  <c r="AQ31" i="45"/>
  <c r="AQ33" i="45"/>
  <c r="AQ32" i="45"/>
  <c r="AQ34" i="45"/>
  <c r="Y25" i="45"/>
  <c r="V23" i="45"/>
  <c r="V35" i="45" s="1"/>
  <c r="V22" i="45" s="1"/>
  <c r="R37" i="45"/>
  <c r="V39" i="45"/>
  <c r="V44" i="45"/>
  <c r="V47" i="45"/>
  <c r="V45" i="45"/>
  <c r="V46" i="45"/>
  <c r="V43" i="45"/>
  <c r="V48" i="45"/>
  <c r="AG29" i="45"/>
  <c r="AG26" i="45"/>
  <c r="AG27" i="45"/>
  <c r="AG28" i="45"/>
  <c r="AG25" i="45"/>
  <c r="AC26" i="45"/>
  <c r="AC27" i="45"/>
  <c r="AC25" i="45"/>
  <c r="AM29" i="45"/>
  <c r="AM28" i="45"/>
  <c r="AM26" i="45"/>
  <c r="AM27" i="45"/>
  <c r="AM25" i="45"/>
  <c r="AM31" i="45"/>
  <c r="AM30" i="45"/>
  <c r="AM32" i="45"/>
  <c r="AM37" i="44"/>
  <c r="AG37" i="44"/>
  <c r="AS23" i="44"/>
  <c r="AS22" i="44" s="1"/>
  <c r="AC37" i="44"/>
  <c r="AQ37" i="44"/>
  <c r="AE37" i="44"/>
  <c r="AS43" i="44"/>
  <c r="J43" i="44" s="1"/>
  <c r="AS44" i="44"/>
  <c r="J44" i="44" s="1"/>
  <c r="AS47" i="44"/>
  <c r="J47" i="44" s="1"/>
  <c r="AS49" i="44"/>
  <c r="J49" i="44" s="1"/>
  <c r="AS39" i="44"/>
  <c r="J39" i="44" s="1"/>
  <c r="AS48" i="44"/>
  <c r="J48" i="44" s="1"/>
  <c r="AS40" i="44"/>
  <c r="J40" i="44" s="1"/>
  <c r="AS46" i="44"/>
  <c r="J46" i="44" s="1"/>
  <c r="AS42" i="44"/>
  <c r="J42" i="44" s="1"/>
  <c r="AS41" i="44"/>
  <c r="J41" i="44" s="1"/>
  <c r="AS45" i="44"/>
  <c r="J45" i="44" s="1"/>
  <c r="V36" i="44"/>
  <c r="AH18" i="44"/>
  <c r="AI15" i="44"/>
  <c r="AI16" i="44"/>
  <c r="AJ14" i="44"/>
  <c r="AI14" i="44"/>
  <c r="AI8" i="44"/>
  <c r="AJ6" i="44"/>
  <c r="AJ10" i="44"/>
  <c r="AI10" i="44"/>
  <c r="AI7" i="44"/>
  <c r="AJ11" i="44"/>
  <c r="AI5" i="44"/>
  <c r="AI9" i="44"/>
  <c r="AI11" i="44"/>
  <c r="AI12" i="44"/>
  <c r="AJ7" i="44"/>
  <c r="AI6" i="44"/>
  <c r="AI13" i="44"/>
  <c r="AJ13" i="44"/>
  <c r="AJ8" i="44"/>
  <c r="AJ9" i="44"/>
  <c r="AJ5" i="44"/>
  <c r="AJ12" i="44"/>
  <c r="AI37" i="44"/>
  <c r="Y37" i="44"/>
  <c r="J25" i="44"/>
  <c r="J23" i="44" s="1"/>
  <c r="AB18" i="44"/>
  <c r="AC16" i="44"/>
  <c r="AD15" i="44"/>
  <c r="AC15" i="44"/>
  <c r="AC14" i="44"/>
  <c r="AD14" i="44"/>
  <c r="AD5" i="44"/>
  <c r="AC10" i="44"/>
  <c r="AD11" i="44"/>
  <c r="AC13" i="44"/>
  <c r="AD10" i="44"/>
  <c r="AD7" i="44"/>
  <c r="AD13" i="44"/>
  <c r="AD6" i="44"/>
  <c r="AC5" i="44"/>
  <c r="AD12" i="44"/>
  <c r="AC8" i="44"/>
  <c r="AC9" i="44"/>
  <c r="AC6" i="44"/>
  <c r="AC7" i="44"/>
  <c r="AD9" i="44"/>
  <c r="AC11" i="44"/>
  <c r="AD8" i="44"/>
  <c r="AC12" i="44"/>
  <c r="AK37" i="44"/>
  <c r="AO37" i="44"/>
  <c r="AK18" i="43"/>
  <c r="L42" i="43" s="1"/>
  <c r="AC18" i="43"/>
  <c r="L26" i="43" s="1"/>
  <c r="AI18" i="43"/>
  <c r="L40" i="43" s="1"/>
  <c r="V40" i="43"/>
  <c r="AA39" i="43" s="1"/>
  <c r="AD18" i="43"/>
  <c r="L27" i="43" s="1"/>
  <c r="AO32" i="43"/>
  <c r="AO33" i="43"/>
  <c r="AO30" i="43"/>
  <c r="AO25" i="43"/>
  <c r="AO31" i="43"/>
  <c r="AO26" i="43"/>
  <c r="AO28" i="43"/>
  <c r="AO29" i="43"/>
  <c r="AO27" i="43"/>
  <c r="AA25" i="43"/>
  <c r="AA26" i="43"/>
  <c r="AM28" i="43"/>
  <c r="AM32" i="43"/>
  <c r="AM29" i="43"/>
  <c r="AM27" i="43"/>
  <c r="AM30" i="43"/>
  <c r="AM25" i="43"/>
  <c r="AM26" i="43"/>
  <c r="AM31" i="43"/>
  <c r="AC25" i="43"/>
  <c r="AC26" i="43"/>
  <c r="AC27" i="43"/>
  <c r="V41" i="43"/>
  <c r="L25" i="43"/>
  <c r="V23" i="43"/>
  <c r="V35" i="43" s="1"/>
  <c r="V22" i="43" s="1"/>
  <c r="Y25" i="43"/>
  <c r="AK31" i="43"/>
  <c r="AK25" i="43"/>
  <c r="AK28" i="43"/>
  <c r="AK27" i="43"/>
  <c r="AK30" i="43"/>
  <c r="AK29" i="43"/>
  <c r="AK26" i="43"/>
  <c r="R37" i="43"/>
  <c r="V39" i="43"/>
  <c r="V43" i="43"/>
  <c r="V47" i="43"/>
  <c r="V45" i="43"/>
  <c r="V44" i="43"/>
  <c r="V46" i="43"/>
  <c r="V48" i="43"/>
  <c r="L39" i="43"/>
  <c r="V42" i="43"/>
  <c r="AI29" i="43"/>
  <c r="AI27" i="43"/>
  <c r="AI30" i="43"/>
  <c r="AI26" i="43"/>
  <c r="AI25" i="43"/>
  <c r="AI28" i="43"/>
  <c r="AG25" i="43"/>
  <c r="AG28" i="43"/>
  <c r="AG26" i="43"/>
  <c r="AG27" i="43"/>
  <c r="AG29" i="43"/>
  <c r="AQ31" i="43"/>
  <c r="AQ34" i="43"/>
  <c r="AQ30" i="43"/>
  <c r="AQ32" i="43"/>
  <c r="AQ28" i="43"/>
  <c r="AQ27" i="43"/>
  <c r="AQ33" i="43"/>
  <c r="AQ26" i="43"/>
  <c r="AQ25" i="43"/>
  <c r="AQ29" i="43"/>
  <c r="AE25" i="43"/>
  <c r="AE26" i="43"/>
  <c r="AE28" i="43"/>
  <c r="AE27" i="43"/>
  <c r="R43" i="42"/>
  <c r="V26" i="42"/>
  <c r="AA26" i="42" s="1"/>
  <c r="V28" i="42"/>
  <c r="AE28" i="42" s="1"/>
  <c r="R40" i="42"/>
  <c r="R41" i="42"/>
  <c r="AG4" i="42"/>
  <c r="Y2" i="42"/>
  <c r="AA4" i="42"/>
  <c r="X2" i="42"/>
  <c r="R23" i="42"/>
  <c r="V25" i="42"/>
  <c r="V31" i="42"/>
  <c r="V33" i="42"/>
  <c r="V29" i="42"/>
  <c r="V32" i="42"/>
  <c r="V30" i="42"/>
  <c r="V34" i="42"/>
  <c r="R39" i="42"/>
  <c r="V41" i="42" s="1"/>
  <c r="P37" i="42"/>
  <c r="R42" i="42"/>
  <c r="V27" i="42"/>
  <c r="R45" i="41"/>
  <c r="R48" i="41"/>
  <c r="R46" i="41"/>
  <c r="R49" i="41"/>
  <c r="R47" i="41"/>
  <c r="N37" i="41"/>
  <c r="R26" i="41"/>
  <c r="AH7" i="41"/>
  <c r="AB6" i="41"/>
  <c r="AB5" i="41"/>
  <c r="AB10" i="41"/>
  <c r="R39" i="41"/>
  <c r="P37" i="41"/>
  <c r="AB13" i="41"/>
  <c r="AH9" i="41"/>
  <c r="AH6" i="41"/>
  <c r="AH13" i="41"/>
  <c r="T2" i="41"/>
  <c r="X4" i="41"/>
  <c r="R44" i="41"/>
  <c r="R40" i="41"/>
  <c r="V40" i="41" s="1"/>
  <c r="AB9" i="41"/>
  <c r="R43" i="41"/>
  <c r="U2" i="41"/>
  <c r="Y4" i="41"/>
  <c r="AB7" i="41"/>
  <c r="AB8" i="41"/>
  <c r="AH12" i="41"/>
  <c r="R25" i="41"/>
  <c r="R30" i="41"/>
  <c r="P23" i="41"/>
  <c r="R27" i="41"/>
  <c r="R28" i="41"/>
  <c r="R29" i="41"/>
  <c r="AH8" i="41"/>
  <c r="AB12" i="41"/>
  <c r="AH5" i="41"/>
  <c r="AH10" i="41"/>
  <c r="R42" i="41"/>
  <c r="N30" i="40"/>
  <c r="P30" i="40" s="1"/>
  <c r="R35" i="40" s="1"/>
  <c r="N29" i="40"/>
  <c r="P29" i="40" s="1"/>
  <c r="R34" i="40" s="1"/>
  <c r="T29" i="40"/>
  <c r="AB16" i="40"/>
  <c r="U9" i="40"/>
  <c r="Y9" i="40" s="1"/>
  <c r="AG9" i="40" s="1"/>
  <c r="AH9" i="40" s="1"/>
  <c r="T27" i="40"/>
  <c r="T33" i="40"/>
  <c r="T31" i="40"/>
  <c r="T34" i="40"/>
  <c r="T30" i="40"/>
  <c r="T28" i="40"/>
  <c r="T26" i="40"/>
  <c r="T37" i="40"/>
  <c r="N25" i="40"/>
  <c r="N28" i="40"/>
  <c r="P28" i="40" s="1"/>
  <c r="N27" i="40"/>
  <c r="P27" i="40" s="1"/>
  <c r="T35" i="40"/>
  <c r="T25" i="40"/>
  <c r="C24" i="40"/>
  <c r="C34" i="40"/>
  <c r="U16" i="40" s="1"/>
  <c r="Y16" i="40" s="1"/>
  <c r="AG16" i="40" s="1"/>
  <c r="T11" i="40"/>
  <c r="X11" i="40" s="1"/>
  <c r="AA11" i="40" s="1"/>
  <c r="U11" i="40"/>
  <c r="Y11" i="40" s="1"/>
  <c r="AG11" i="40" s="1"/>
  <c r="U12" i="40"/>
  <c r="Y12" i="40" s="1"/>
  <c r="AG12" i="40" s="1"/>
  <c r="T12" i="40"/>
  <c r="X12" i="40" s="1"/>
  <c r="AA12" i="40" s="1"/>
  <c r="U8" i="40"/>
  <c r="Y8" i="40" s="1"/>
  <c r="AG8" i="40" s="1"/>
  <c r="T8" i="40"/>
  <c r="X8" i="40" s="1"/>
  <c r="AA8" i="40" s="1"/>
  <c r="T5" i="40"/>
  <c r="X5" i="40" s="1"/>
  <c r="AA5" i="40" s="1"/>
  <c r="U5" i="40"/>
  <c r="Y5" i="40" s="1"/>
  <c r="AG5" i="40" s="1"/>
  <c r="S2" i="40"/>
  <c r="U4" i="40"/>
  <c r="T4" i="40"/>
  <c r="AH13" i="40"/>
  <c r="U6" i="40"/>
  <c r="Y6" i="40" s="1"/>
  <c r="AG6" i="40" s="1"/>
  <c r="T6" i="40"/>
  <c r="X6" i="40" s="1"/>
  <c r="AA6" i="40" s="1"/>
  <c r="AB13" i="40"/>
  <c r="T10" i="40"/>
  <c r="X10" i="40" s="1"/>
  <c r="AA10" i="40" s="1"/>
  <c r="U10" i="40"/>
  <c r="Y10" i="40" s="1"/>
  <c r="AG10" i="40" s="1"/>
  <c r="U14" i="40"/>
  <c r="Y14" i="40" s="1"/>
  <c r="AG14" i="40" s="1"/>
  <c r="T14" i="40"/>
  <c r="X14" i="40" s="1"/>
  <c r="AA14" i="40" s="1"/>
  <c r="AB9" i="40"/>
  <c r="U7" i="40"/>
  <c r="Y7" i="40" s="1"/>
  <c r="AG7" i="40" s="1"/>
  <c r="T7" i="40"/>
  <c r="X7" i="40" s="1"/>
  <c r="AA7" i="40" s="1"/>
  <c r="S8" i="39"/>
  <c r="U8" i="39" s="1"/>
  <c r="Y8" i="39" s="1"/>
  <c r="AG8" i="39" s="1"/>
  <c r="S13" i="39"/>
  <c r="T13" i="39" s="1"/>
  <c r="X13" i="39" s="1"/>
  <c r="AA13" i="39" s="1"/>
  <c r="S11" i="39"/>
  <c r="U11" i="39" s="1"/>
  <c r="Y11" i="39" s="1"/>
  <c r="AG11" i="39" s="1"/>
  <c r="S10" i="39"/>
  <c r="T10" i="39" s="1"/>
  <c r="X10" i="39" s="1"/>
  <c r="AA10" i="39" s="1"/>
  <c r="T37" i="39"/>
  <c r="AB16" i="39"/>
  <c r="AD16" i="39"/>
  <c r="N27" i="39"/>
  <c r="P27" i="39" s="1"/>
  <c r="N30" i="39"/>
  <c r="P30" i="39" s="1"/>
  <c r="R35" i="39" s="1"/>
  <c r="N28" i="39"/>
  <c r="P28" i="39" s="1"/>
  <c r="N26" i="39"/>
  <c r="N25" i="39"/>
  <c r="N29" i="39"/>
  <c r="P29" i="39" s="1"/>
  <c r="T14" i="39"/>
  <c r="X14" i="39" s="1"/>
  <c r="AA14" i="39" s="1"/>
  <c r="U14" i="39"/>
  <c r="Y14" i="39" s="1"/>
  <c r="AG14" i="39" s="1"/>
  <c r="C34" i="39"/>
  <c r="U16" i="39" s="1"/>
  <c r="Y16" i="39" s="1"/>
  <c r="AG16" i="39" s="1"/>
  <c r="T25" i="39"/>
  <c r="T33" i="39"/>
  <c r="C24" i="39"/>
  <c r="T29" i="39"/>
  <c r="T32" i="39"/>
  <c r="T26" i="39"/>
  <c r="T28" i="39"/>
  <c r="T27" i="39"/>
  <c r="T34" i="39"/>
  <c r="T31" i="39"/>
  <c r="T35" i="39"/>
  <c r="T30" i="39"/>
  <c r="S15" i="39"/>
  <c r="S6" i="39"/>
  <c r="S4" i="39"/>
  <c r="S7" i="39"/>
  <c r="S5" i="39"/>
  <c r="S12" i="39"/>
  <c r="S16" i="39"/>
  <c r="S9" i="39"/>
  <c r="S14" i="38"/>
  <c r="S11" i="38"/>
  <c r="T14" i="38"/>
  <c r="X14" i="38" s="1"/>
  <c r="AA14" i="38" s="1"/>
  <c r="U14" i="38"/>
  <c r="Y14" i="38" s="1"/>
  <c r="AG14" i="38" s="1"/>
  <c r="S9" i="38"/>
  <c r="T37" i="38"/>
  <c r="C34" i="38"/>
  <c r="U16" i="38" s="1"/>
  <c r="Y16" i="38" s="1"/>
  <c r="AG16" i="38" s="1"/>
  <c r="C24" i="38"/>
  <c r="T25" i="38"/>
  <c r="T35" i="38"/>
  <c r="T29" i="38"/>
  <c r="T32" i="38"/>
  <c r="T34" i="38"/>
  <c r="T30" i="38"/>
  <c r="T31" i="38"/>
  <c r="T26" i="38"/>
  <c r="T33" i="38"/>
  <c r="T28" i="38"/>
  <c r="T27" i="38"/>
  <c r="U11" i="38"/>
  <c r="Y11" i="38" s="1"/>
  <c r="AG11" i="38" s="1"/>
  <c r="T11" i="38"/>
  <c r="X11" i="38" s="1"/>
  <c r="AA11" i="38" s="1"/>
  <c r="N25" i="38"/>
  <c r="N30" i="38"/>
  <c r="P30" i="38" s="1"/>
  <c r="R35" i="38" s="1"/>
  <c r="N29" i="38"/>
  <c r="P29" i="38" s="1"/>
  <c r="N26" i="38"/>
  <c r="N28" i="38"/>
  <c r="P28" i="38" s="1"/>
  <c r="N27" i="38"/>
  <c r="P27" i="38" s="1"/>
  <c r="AD16" i="38"/>
  <c r="AB16" i="38"/>
  <c r="S10" i="38"/>
  <c r="S15" i="38"/>
  <c r="S12" i="38"/>
  <c r="S7" i="38"/>
  <c r="S6" i="38"/>
  <c r="S16" i="38"/>
  <c r="S4" i="38"/>
  <c r="S5" i="38"/>
  <c r="S13" i="38"/>
  <c r="S8" i="38"/>
  <c r="AE42" i="45" l="1"/>
  <c r="AE41" i="45"/>
  <c r="AI18" i="45"/>
  <c r="L40" i="45" s="1"/>
  <c r="AD18" i="45"/>
  <c r="L27" i="45" s="1"/>
  <c r="AE40" i="45"/>
  <c r="AC18" i="45"/>
  <c r="L26" i="45" s="1"/>
  <c r="AG23" i="45"/>
  <c r="AE23" i="45"/>
  <c r="AJ18" i="45"/>
  <c r="L41" i="45" s="1"/>
  <c r="AQ23" i="45"/>
  <c r="AM46" i="45"/>
  <c r="AM45" i="45"/>
  <c r="AM44" i="45"/>
  <c r="AM42" i="45"/>
  <c r="AM41" i="45"/>
  <c r="AM40" i="45"/>
  <c r="AM43" i="45"/>
  <c r="AM39" i="45"/>
  <c r="L39" i="45"/>
  <c r="Y23" i="45"/>
  <c r="AC39" i="45"/>
  <c r="AC41" i="45"/>
  <c r="AC40" i="45"/>
  <c r="AK23" i="45"/>
  <c r="AG40" i="45"/>
  <c r="AG42" i="45"/>
  <c r="AG43" i="45"/>
  <c r="AG41" i="45"/>
  <c r="AG39" i="45"/>
  <c r="AK45" i="45"/>
  <c r="AK43" i="45"/>
  <c r="AK44" i="45"/>
  <c r="AK42" i="45"/>
  <c r="AK41" i="45"/>
  <c r="AK40" i="45"/>
  <c r="AK39" i="45"/>
  <c r="AS30" i="45"/>
  <c r="J30" i="45" s="1"/>
  <c r="AS29" i="45"/>
  <c r="J29" i="45" s="1"/>
  <c r="AS33" i="45"/>
  <c r="J33" i="45" s="1"/>
  <c r="AS28" i="45"/>
  <c r="J28" i="45" s="1"/>
  <c r="AS35" i="45"/>
  <c r="J35" i="45" s="1"/>
  <c r="AS27" i="45"/>
  <c r="J27" i="45" s="1"/>
  <c r="AS31" i="45"/>
  <c r="J31" i="45" s="1"/>
  <c r="AS34" i="45"/>
  <c r="J34" i="45" s="1"/>
  <c r="AS25" i="45"/>
  <c r="AS32" i="45"/>
  <c r="J32" i="45" s="1"/>
  <c r="AS26" i="45"/>
  <c r="J26" i="45" s="1"/>
  <c r="AM23" i="45"/>
  <c r="AA40" i="45"/>
  <c r="AA39" i="45"/>
  <c r="AO23" i="45"/>
  <c r="AO45" i="45"/>
  <c r="AO39" i="45"/>
  <c r="AO47" i="45"/>
  <c r="AO43" i="45"/>
  <c r="AO44" i="45"/>
  <c r="AO42" i="45"/>
  <c r="AO41" i="45"/>
  <c r="AO40" i="45"/>
  <c r="AO46" i="45"/>
  <c r="AI42" i="45"/>
  <c r="AI44" i="45"/>
  <c r="AI41" i="45"/>
  <c r="AI43" i="45"/>
  <c r="AI40" i="45"/>
  <c r="AI39" i="45"/>
  <c r="AA23" i="45"/>
  <c r="AQ39" i="45"/>
  <c r="AQ44" i="45"/>
  <c r="AQ48" i="45"/>
  <c r="AQ47" i="45"/>
  <c r="AQ41" i="45"/>
  <c r="AQ43" i="45"/>
  <c r="AQ42" i="45"/>
  <c r="AQ45" i="45"/>
  <c r="AQ46" i="45"/>
  <c r="AQ40" i="45"/>
  <c r="AC23" i="45"/>
  <c r="Y39" i="45"/>
  <c r="V37" i="45"/>
  <c r="V49" i="45" s="1"/>
  <c r="V36" i="45" s="1"/>
  <c r="L25" i="45"/>
  <c r="AI23" i="45"/>
  <c r="AC18" i="44"/>
  <c r="L26" i="44" s="1"/>
  <c r="AJ18" i="44"/>
  <c r="L41" i="44" s="1"/>
  <c r="AI18" i="44"/>
  <c r="L40" i="44" s="1"/>
  <c r="AD18" i="44"/>
  <c r="L27" i="44" s="1"/>
  <c r="L25" i="44"/>
  <c r="L39" i="44"/>
  <c r="J37" i="44"/>
  <c r="AS37" i="44"/>
  <c r="AS36" i="44" s="1"/>
  <c r="AJ18" i="43"/>
  <c r="L41" i="43" s="1"/>
  <c r="L37" i="43" s="1"/>
  <c r="AA40" i="43"/>
  <c r="AA37" i="43" s="1"/>
  <c r="AE18" i="43"/>
  <c r="L28" i="43" s="1"/>
  <c r="L23" i="43" s="1"/>
  <c r="AE23" i="43"/>
  <c r="AO41" i="43"/>
  <c r="AO39" i="43"/>
  <c r="AO42" i="43"/>
  <c r="AO44" i="43"/>
  <c r="AO40" i="43"/>
  <c r="AO45" i="43"/>
  <c r="AO46" i="43"/>
  <c r="AO47" i="43"/>
  <c r="AO43" i="43"/>
  <c r="AC41" i="43"/>
  <c r="AC39" i="43"/>
  <c r="AC40" i="43"/>
  <c r="AG23" i="43"/>
  <c r="AG42" i="43"/>
  <c r="AG43" i="43"/>
  <c r="AG40" i="43"/>
  <c r="AG39" i="43"/>
  <c r="AG41" i="43"/>
  <c r="AK23" i="43"/>
  <c r="AQ23" i="43"/>
  <c r="V37" i="43"/>
  <c r="V49" i="43" s="1"/>
  <c r="V36" i="43" s="1"/>
  <c r="Y39" i="43"/>
  <c r="AE42" i="43"/>
  <c r="AE40" i="43"/>
  <c r="AE41" i="43"/>
  <c r="AE39" i="43"/>
  <c r="AI23" i="43"/>
  <c r="AQ41" i="43"/>
  <c r="AQ43" i="43"/>
  <c r="AQ48" i="43"/>
  <c r="AQ39" i="43"/>
  <c r="AQ44" i="43"/>
  <c r="AQ46" i="43"/>
  <c r="AQ40" i="43"/>
  <c r="AQ45" i="43"/>
  <c r="AQ47" i="43"/>
  <c r="AQ42" i="43"/>
  <c r="Y23" i="43"/>
  <c r="AC23" i="43"/>
  <c r="AO23" i="43"/>
  <c r="AM45" i="43"/>
  <c r="AM40" i="43"/>
  <c r="AM42" i="43"/>
  <c r="AM43" i="43"/>
  <c r="AM44" i="43"/>
  <c r="AM41" i="43"/>
  <c r="AM46" i="43"/>
  <c r="AM39" i="43"/>
  <c r="AI42" i="43"/>
  <c r="AI44" i="43"/>
  <c r="AI40" i="43"/>
  <c r="AI43" i="43"/>
  <c r="AI41" i="43"/>
  <c r="AI39" i="43"/>
  <c r="AS34" i="43"/>
  <c r="J34" i="43" s="1"/>
  <c r="AS25" i="43"/>
  <c r="J25" i="43" s="1"/>
  <c r="AS33" i="43"/>
  <c r="J33" i="43" s="1"/>
  <c r="AS35" i="43"/>
  <c r="J35" i="43" s="1"/>
  <c r="AS27" i="43"/>
  <c r="J27" i="43" s="1"/>
  <c r="AS32" i="43"/>
  <c r="J32" i="43" s="1"/>
  <c r="AS30" i="43"/>
  <c r="J30" i="43" s="1"/>
  <c r="AS28" i="43"/>
  <c r="J28" i="43" s="1"/>
  <c r="AS29" i="43"/>
  <c r="J29" i="43" s="1"/>
  <c r="AS31" i="43"/>
  <c r="J31" i="43" s="1"/>
  <c r="AS26" i="43"/>
  <c r="J26" i="43" s="1"/>
  <c r="AA23" i="43"/>
  <c r="AK44" i="43"/>
  <c r="AK40" i="43"/>
  <c r="AK42" i="43"/>
  <c r="AK41" i="43"/>
  <c r="AK39" i="43"/>
  <c r="AK45" i="43"/>
  <c r="AK43" i="43"/>
  <c r="AM23" i="43"/>
  <c r="V42" i="42"/>
  <c r="AE26" i="42"/>
  <c r="AE25" i="42"/>
  <c r="AE27" i="42"/>
  <c r="AA25" i="42"/>
  <c r="AA23" i="42" s="1"/>
  <c r="V40" i="42"/>
  <c r="AA40" i="42" s="1"/>
  <c r="AM29" i="42"/>
  <c r="AM26" i="42"/>
  <c r="AM28" i="42"/>
  <c r="AM27" i="42"/>
  <c r="AM31" i="42"/>
  <c r="AM25" i="42"/>
  <c r="AM30" i="42"/>
  <c r="AM32" i="42"/>
  <c r="AC41" i="42"/>
  <c r="AC40" i="42"/>
  <c r="AC39" i="42"/>
  <c r="AI4" i="42"/>
  <c r="AH4" i="42"/>
  <c r="AJ4" i="42"/>
  <c r="AE42" i="42"/>
  <c r="AE41" i="42"/>
  <c r="AE40" i="42"/>
  <c r="AE39" i="42"/>
  <c r="AG27" i="42"/>
  <c r="AG25" i="42"/>
  <c r="AG29" i="42"/>
  <c r="AG26" i="42"/>
  <c r="AG28" i="42"/>
  <c r="AO30" i="42"/>
  <c r="AO29" i="42"/>
  <c r="AO28" i="42"/>
  <c r="AO27" i="42"/>
  <c r="AO25" i="42"/>
  <c r="AO26" i="42"/>
  <c r="AO33" i="42"/>
  <c r="AO31" i="42"/>
  <c r="AO32" i="42"/>
  <c r="AK27" i="42"/>
  <c r="AK29" i="42"/>
  <c r="AK30" i="42"/>
  <c r="AK26" i="42"/>
  <c r="AK25" i="42"/>
  <c r="AK31" i="42"/>
  <c r="AK28" i="42"/>
  <c r="AD4" i="42"/>
  <c r="AB4" i="42"/>
  <c r="AC4" i="42"/>
  <c r="AI29" i="42"/>
  <c r="AI28" i="42"/>
  <c r="AI27" i="42"/>
  <c r="AI26" i="42"/>
  <c r="AI30" i="42"/>
  <c r="AI25" i="42"/>
  <c r="AC25" i="42"/>
  <c r="AC26" i="42"/>
  <c r="AC27" i="42"/>
  <c r="R37" i="42"/>
  <c r="V39" i="42"/>
  <c r="V43" i="42"/>
  <c r="V47" i="42"/>
  <c r="V44" i="42"/>
  <c r="V46" i="42"/>
  <c r="V48" i="42"/>
  <c r="V45" i="42"/>
  <c r="V23" i="42"/>
  <c r="V35" i="42" s="1"/>
  <c r="V22" i="42" s="1"/>
  <c r="Y25" i="42"/>
  <c r="AQ31" i="42"/>
  <c r="AQ30" i="42"/>
  <c r="AQ29" i="42"/>
  <c r="AQ32" i="42"/>
  <c r="AQ28" i="42"/>
  <c r="AQ27" i="42"/>
  <c r="AQ26" i="42"/>
  <c r="AQ34" i="42"/>
  <c r="AQ25" i="42"/>
  <c r="AQ33" i="42"/>
  <c r="V41" i="41"/>
  <c r="AG4" i="41"/>
  <c r="Y2" i="41"/>
  <c r="X2" i="41"/>
  <c r="AA4" i="41"/>
  <c r="V39" i="41"/>
  <c r="R37" i="41"/>
  <c r="V45" i="41"/>
  <c r="V46" i="41"/>
  <c r="V43" i="41"/>
  <c r="V47" i="41"/>
  <c r="V44" i="41"/>
  <c r="V48" i="41"/>
  <c r="V42" i="41"/>
  <c r="V27" i="41"/>
  <c r="R23" i="41"/>
  <c r="V25" i="41"/>
  <c r="V32" i="41"/>
  <c r="V33" i="41"/>
  <c r="V31" i="41"/>
  <c r="V30" i="41"/>
  <c r="V34" i="41"/>
  <c r="V29" i="41"/>
  <c r="V28" i="41"/>
  <c r="V26" i="41"/>
  <c r="AA40" i="41"/>
  <c r="AA39" i="41"/>
  <c r="R33" i="40"/>
  <c r="R32" i="40"/>
  <c r="R31" i="40"/>
  <c r="T23" i="40"/>
  <c r="N43" i="40"/>
  <c r="P43" i="40" s="1"/>
  <c r="N44" i="40"/>
  <c r="P44" i="40" s="1"/>
  <c r="N42" i="40"/>
  <c r="P42" i="40" s="1"/>
  <c r="N40" i="40"/>
  <c r="P40" i="40" s="1"/>
  <c r="N41" i="40"/>
  <c r="P41" i="40" s="1"/>
  <c r="N39" i="40"/>
  <c r="N23" i="40"/>
  <c r="P25" i="40"/>
  <c r="AH16" i="40"/>
  <c r="AJ16" i="40"/>
  <c r="AH14" i="40"/>
  <c r="AB5" i="40"/>
  <c r="AH10" i="40"/>
  <c r="AH7" i="40"/>
  <c r="AH8" i="40"/>
  <c r="AB12" i="40"/>
  <c r="AB6" i="40"/>
  <c r="AH12" i="40"/>
  <c r="AH6" i="40"/>
  <c r="X4" i="40"/>
  <c r="T2" i="40"/>
  <c r="AB14" i="40"/>
  <c r="U2" i="40"/>
  <c r="Y4" i="40"/>
  <c r="AH5" i="40"/>
  <c r="AH11" i="40"/>
  <c r="AB7" i="40"/>
  <c r="AB10" i="40"/>
  <c r="AB8" i="40"/>
  <c r="AB11" i="40"/>
  <c r="R34" i="39"/>
  <c r="U13" i="39"/>
  <c r="Y13" i="39" s="1"/>
  <c r="AG13" i="39" s="1"/>
  <c r="AH13" i="39" s="1"/>
  <c r="T8" i="39"/>
  <c r="X8" i="39" s="1"/>
  <c r="AA8" i="39" s="1"/>
  <c r="AB8" i="39" s="1"/>
  <c r="T11" i="39"/>
  <c r="X11" i="39" s="1"/>
  <c r="AA11" i="39" s="1"/>
  <c r="AB11" i="39" s="1"/>
  <c r="U10" i="39"/>
  <c r="Y10" i="39" s="1"/>
  <c r="AG10" i="39" s="1"/>
  <c r="AH10" i="39" s="1"/>
  <c r="T23" i="39"/>
  <c r="R33" i="39"/>
  <c r="AH16" i="39"/>
  <c r="AJ16" i="39"/>
  <c r="AH14" i="39"/>
  <c r="AH11" i="39"/>
  <c r="R32" i="39"/>
  <c r="T12" i="39"/>
  <c r="X12" i="39" s="1"/>
  <c r="AA12" i="39" s="1"/>
  <c r="U12" i="39"/>
  <c r="Y12" i="39" s="1"/>
  <c r="AG12" i="39" s="1"/>
  <c r="P26" i="39"/>
  <c r="R31" i="39" s="1"/>
  <c r="U5" i="39"/>
  <c r="Y5" i="39" s="1"/>
  <c r="AG5" i="39" s="1"/>
  <c r="T5" i="39"/>
  <c r="X5" i="39" s="1"/>
  <c r="AA5" i="39" s="1"/>
  <c r="U7" i="39"/>
  <c r="Y7" i="39" s="1"/>
  <c r="AG7" i="39" s="1"/>
  <c r="T7" i="39"/>
  <c r="X7" i="39" s="1"/>
  <c r="AA7" i="39" s="1"/>
  <c r="U4" i="39"/>
  <c r="T4" i="39"/>
  <c r="S2" i="39"/>
  <c r="T6" i="39"/>
  <c r="X6" i="39" s="1"/>
  <c r="AA6" i="39" s="1"/>
  <c r="U6" i="39"/>
  <c r="Y6" i="39" s="1"/>
  <c r="AG6" i="39" s="1"/>
  <c r="AB14" i="39"/>
  <c r="AB10" i="39"/>
  <c r="U9" i="39"/>
  <c r="Y9" i="39" s="1"/>
  <c r="AG9" i="39" s="1"/>
  <c r="T9" i="39"/>
  <c r="X9" i="39" s="1"/>
  <c r="AA9" i="39" s="1"/>
  <c r="AH8" i="39"/>
  <c r="N43" i="39"/>
  <c r="P43" i="39" s="1"/>
  <c r="N41" i="39"/>
  <c r="P41" i="39" s="1"/>
  <c r="N44" i="39"/>
  <c r="P44" i="39" s="1"/>
  <c r="N40" i="39"/>
  <c r="P40" i="39" s="1"/>
  <c r="N39" i="39"/>
  <c r="N42" i="39"/>
  <c r="P42" i="39" s="1"/>
  <c r="AB13" i="39"/>
  <c r="N23" i="39"/>
  <c r="P25" i="39"/>
  <c r="U15" i="38"/>
  <c r="Y15" i="38" s="1"/>
  <c r="AG15" i="38" s="1"/>
  <c r="T15" i="38"/>
  <c r="X15" i="38" s="1"/>
  <c r="AA15" i="38" s="1"/>
  <c r="AB15" i="38" s="1"/>
  <c r="AJ15" i="38"/>
  <c r="AH15" i="38"/>
  <c r="R34" i="38"/>
  <c r="N43" i="38"/>
  <c r="P43" i="38" s="1"/>
  <c r="N41" i="38"/>
  <c r="P41" i="38" s="1"/>
  <c r="N44" i="38"/>
  <c r="P44" i="38" s="1"/>
  <c r="N40" i="38"/>
  <c r="P40" i="38" s="1"/>
  <c r="N39" i="38"/>
  <c r="N42" i="38"/>
  <c r="P42" i="38" s="1"/>
  <c r="U6" i="38"/>
  <c r="Y6" i="38" s="1"/>
  <c r="AG6" i="38" s="1"/>
  <c r="T6" i="38"/>
  <c r="X6" i="38" s="1"/>
  <c r="AA6" i="38" s="1"/>
  <c r="AJ16" i="38"/>
  <c r="AH16" i="38"/>
  <c r="U10" i="38"/>
  <c r="Y10" i="38" s="1"/>
  <c r="AG10" i="38" s="1"/>
  <c r="T10" i="38"/>
  <c r="X10" i="38" s="1"/>
  <c r="AA10" i="38" s="1"/>
  <c r="U7" i="38"/>
  <c r="Y7" i="38" s="1"/>
  <c r="AG7" i="38" s="1"/>
  <c r="T7" i="38"/>
  <c r="X7" i="38" s="1"/>
  <c r="AA7" i="38" s="1"/>
  <c r="AB11" i="38"/>
  <c r="T5" i="38"/>
  <c r="X5" i="38" s="1"/>
  <c r="AA5" i="38" s="1"/>
  <c r="U5" i="38"/>
  <c r="Y5" i="38" s="1"/>
  <c r="AG5" i="38" s="1"/>
  <c r="T12" i="38"/>
  <c r="X12" i="38" s="1"/>
  <c r="AA12" i="38" s="1"/>
  <c r="U12" i="38"/>
  <c r="Y12" i="38" s="1"/>
  <c r="AG12" i="38" s="1"/>
  <c r="AH11" i="38"/>
  <c r="P25" i="38"/>
  <c r="N23" i="38"/>
  <c r="U8" i="38"/>
  <c r="Y8" i="38" s="1"/>
  <c r="AG8" i="38" s="1"/>
  <c r="T8" i="38"/>
  <c r="X8" i="38" s="1"/>
  <c r="AA8" i="38" s="1"/>
  <c r="R32" i="38"/>
  <c r="R33" i="38"/>
  <c r="U9" i="38"/>
  <c r="Y9" i="38" s="1"/>
  <c r="AG9" i="38" s="1"/>
  <c r="T9" i="38"/>
  <c r="X9" i="38" s="1"/>
  <c r="AA9" i="38" s="1"/>
  <c r="T13" i="38"/>
  <c r="X13" i="38" s="1"/>
  <c r="AA13" i="38" s="1"/>
  <c r="U13" i="38"/>
  <c r="Y13" i="38" s="1"/>
  <c r="AG13" i="38" s="1"/>
  <c r="P26" i="38"/>
  <c r="R31" i="38" s="1"/>
  <c r="AH14" i="38"/>
  <c r="U4" i="38"/>
  <c r="T4" i="38"/>
  <c r="S2" i="38"/>
  <c r="T23" i="38"/>
  <c r="AB14" i="38"/>
  <c r="AE18" i="45" l="1"/>
  <c r="L28" i="45" s="1"/>
  <c r="L23" i="45" s="1"/>
  <c r="AE37" i="45"/>
  <c r="AK18" i="45"/>
  <c r="L42" i="45" s="1"/>
  <c r="L37" i="45" s="1"/>
  <c r="AS23" i="45"/>
  <c r="AS22" i="45" s="1"/>
  <c r="AI37" i="45"/>
  <c r="AO37" i="45"/>
  <c r="AS39" i="45"/>
  <c r="J39" i="45" s="1"/>
  <c r="AS48" i="45"/>
  <c r="J48" i="45" s="1"/>
  <c r="AS45" i="45"/>
  <c r="J45" i="45" s="1"/>
  <c r="AS41" i="45"/>
  <c r="J41" i="45" s="1"/>
  <c r="AS49" i="45"/>
  <c r="J49" i="45" s="1"/>
  <c r="AS44" i="45"/>
  <c r="J44" i="45" s="1"/>
  <c r="AS42" i="45"/>
  <c r="J42" i="45" s="1"/>
  <c r="AS43" i="45"/>
  <c r="J43" i="45" s="1"/>
  <c r="AS40" i="45"/>
  <c r="J40" i="45" s="1"/>
  <c r="AS46" i="45"/>
  <c r="J46" i="45" s="1"/>
  <c r="AS47" i="45"/>
  <c r="J47" i="45" s="1"/>
  <c r="AA37" i="45"/>
  <c r="AK37" i="45"/>
  <c r="AG37" i="45"/>
  <c r="AC37" i="45"/>
  <c r="Y37" i="45"/>
  <c r="J25" i="45"/>
  <c r="J23" i="45" s="1"/>
  <c r="AQ37" i="45"/>
  <c r="AM37" i="45"/>
  <c r="AK18" i="44"/>
  <c r="L42" i="44" s="1"/>
  <c r="H43" i="44" s="1"/>
  <c r="AE18" i="44"/>
  <c r="L28" i="44" s="1"/>
  <c r="L23" i="44" s="1"/>
  <c r="H25" i="44"/>
  <c r="H26" i="44"/>
  <c r="H27" i="44"/>
  <c r="H41" i="44"/>
  <c r="H39" i="44"/>
  <c r="H40" i="44"/>
  <c r="AI37" i="43"/>
  <c r="AE37" i="43"/>
  <c r="H26" i="43"/>
  <c r="H27" i="43"/>
  <c r="H32" i="43"/>
  <c r="H31" i="43"/>
  <c r="H29" i="43"/>
  <c r="H28" i="43"/>
  <c r="H34" i="43"/>
  <c r="H30" i="43"/>
  <c r="J23" i="43"/>
  <c r="AQ37" i="43"/>
  <c r="AG37" i="43"/>
  <c r="H35" i="43"/>
  <c r="H25" i="43"/>
  <c r="H33" i="43"/>
  <c r="Y37" i="43"/>
  <c r="AK37" i="43"/>
  <c r="AS23" i="43"/>
  <c r="AS22" i="43" s="1"/>
  <c r="AS45" i="43"/>
  <c r="J45" i="43" s="1"/>
  <c r="AS41" i="43"/>
  <c r="J41" i="43" s="1"/>
  <c r="AS46" i="43"/>
  <c r="J46" i="43" s="1"/>
  <c r="AS47" i="43"/>
  <c r="J47" i="43" s="1"/>
  <c r="AS39" i="43"/>
  <c r="J39" i="43" s="1"/>
  <c r="AS44" i="43"/>
  <c r="J44" i="43" s="1"/>
  <c r="AS48" i="43"/>
  <c r="J48" i="43" s="1"/>
  <c r="AS42" i="43"/>
  <c r="J42" i="43" s="1"/>
  <c r="AS43" i="43"/>
  <c r="J43" i="43" s="1"/>
  <c r="AS40" i="43"/>
  <c r="J40" i="43" s="1"/>
  <c r="AS49" i="43"/>
  <c r="J49" i="43" s="1"/>
  <c r="AO37" i="43"/>
  <c r="AM37" i="43"/>
  <c r="AC37" i="43"/>
  <c r="AA39" i="42"/>
  <c r="AA37" i="42" s="1"/>
  <c r="AE23" i="42"/>
  <c r="AG42" i="42"/>
  <c r="AG43" i="42"/>
  <c r="AG41" i="42"/>
  <c r="AG40" i="42"/>
  <c r="AG39" i="42"/>
  <c r="AK43" i="42"/>
  <c r="AK39" i="42"/>
  <c r="AK44" i="42"/>
  <c r="AK42" i="42"/>
  <c r="AK40" i="42"/>
  <c r="AK41" i="42"/>
  <c r="AK45" i="42"/>
  <c r="AO23" i="42"/>
  <c r="AM23" i="42"/>
  <c r="AH18" i="42"/>
  <c r="AI15" i="42"/>
  <c r="AI16" i="42"/>
  <c r="AI10" i="42"/>
  <c r="AI6" i="42"/>
  <c r="AJ14" i="42"/>
  <c r="AJ11" i="42"/>
  <c r="AI5" i="42"/>
  <c r="AI14" i="42"/>
  <c r="AJ7" i="42"/>
  <c r="AI13" i="42"/>
  <c r="AI9" i="42"/>
  <c r="AI7" i="42"/>
  <c r="AJ13" i="42"/>
  <c r="AI11" i="42"/>
  <c r="AI12" i="42"/>
  <c r="AJ9" i="42"/>
  <c r="AI8" i="42"/>
  <c r="AJ6" i="42"/>
  <c r="AJ12" i="42"/>
  <c r="AJ5" i="42"/>
  <c r="AJ10" i="42"/>
  <c r="AJ8" i="42"/>
  <c r="AQ23" i="42"/>
  <c r="AM43" i="42"/>
  <c r="AM44" i="42"/>
  <c r="AM42" i="42"/>
  <c r="AM40" i="42"/>
  <c r="AM41" i="42"/>
  <c r="AM39" i="42"/>
  <c r="AM45" i="42"/>
  <c r="AM46" i="42"/>
  <c r="AC23" i="42"/>
  <c r="AB18" i="42"/>
  <c r="AC16" i="42"/>
  <c r="AD15" i="42"/>
  <c r="AC15" i="42"/>
  <c r="AD14" i="42"/>
  <c r="AD6" i="42"/>
  <c r="AC14" i="42"/>
  <c r="AD9" i="42"/>
  <c r="AD7" i="42"/>
  <c r="AD11" i="42"/>
  <c r="AC10" i="42"/>
  <c r="AC6" i="42"/>
  <c r="AC5" i="42"/>
  <c r="AC13" i="42"/>
  <c r="AC7" i="42"/>
  <c r="AD10" i="42"/>
  <c r="AC9" i="42"/>
  <c r="AC8" i="42"/>
  <c r="AC11" i="42"/>
  <c r="AD12" i="42"/>
  <c r="AC12" i="42"/>
  <c r="AD8" i="42"/>
  <c r="AD13" i="42"/>
  <c r="AD5" i="42"/>
  <c r="AG23" i="42"/>
  <c r="AQ47" i="42"/>
  <c r="AQ40" i="42"/>
  <c r="AQ43" i="42"/>
  <c r="AQ42" i="42"/>
  <c r="AQ46" i="42"/>
  <c r="AQ41" i="42"/>
  <c r="AQ48" i="42"/>
  <c r="AQ45" i="42"/>
  <c r="AQ39" i="42"/>
  <c r="AQ44" i="42"/>
  <c r="AI42" i="42"/>
  <c r="AI44" i="42"/>
  <c r="AI41" i="42"/>
  <c r="AI40" i="42"/>
  <c r="AI39" i="42"/>
  <c r="AI43" i="42"/>
  <c r="AC37" i="42"/>
  <c r="AI23" i="42"/>
  <c r="Y23" i="42"/>
  <c r="AO47" i="42"/>
  <c r="AO43" i="42"/>
  <c r="AO42" i="42"/>
  <c r="AO41" i="42"/>
  <c r="AO40" i="42"/>
  <c r="AO45" i="42"/>
  <c r="AO44" i="42"/>
  <c r="AO46" i="42"/>
  <c r="AO39" i="42"/>
  <c r="AE37" i="42"/>
  <c r="AS33" i="42"/>
  <c r="J33" i="42" s="1"/>
  <c r="AS31" i="42"/>
  <c r="J31" i="42" s="1"/>
  <c r="AS29" i="42"/>
  <c r="J29" i="42" s="1"/>
  <c r="AS35" i="42"/>
  <c r="J35" i="42" s="1"/>
  <c r="AS28" i="42"/>
  <c r="J28" i="42" s="1"/>
  <c r="AS27" i="42"/>
  <c r="J27" i="42" s="1"/>
  <c r="AS26" i="42"/>
  <c r="J26" i="42" s="1"/>
  <c r="AS30" i="42"/>
  <c r="J30" i="42" s="1"/>
  <c r="AS34" i="42"/>
  <c r="J34" i="42" s="1"/>
  <c r="AS25" i="42"/>
  <c r="J25" i="42" s="1"/>
  <c r="AS32" i="42"/>
  <c r="J32" i="42" s="1"/>
  <c r="Y39" i="42"/>
  <c r="V37" i="42"/>
  <c r="V49" i="42" s="1"/>
  <c r="V36" i="42" s="1"/>
  <c r="AK23" i="42"/>
  <c r="AA37" i="41"/>
  <c r="AI28" i="41"/>
  <c r="AI25" i="41"/>
  <c r="AI26" i="41"/>
  <c r="AI30" i="41"/>
  <c r="AI29" i="41"/>
  <c r="AI27" i="41"/>
  <c r="AC26" i="41"/>
  <c r="AC27" i="41"/>
  <c r="AC25" i="41"/>
  <c r="AK45" i="41"/>
  <c r="AK44" i="41"/>
  <c r="AK43" i="41"/>
  <c r="AK40" i="41"/>
  <c r="AK41" i="41"/>
  <c r="AK39" i="41"/>
  <c r="AK42" i="41"/>
  <c r="AE42" i="41"/>
  <c r="AE41" i="41"/>
  <c r="AE39" i="41"/>
  <c r="AE40" i="41"/>
  <c r="V37" i="41"/>
  <c r="V49" i="41" s="1"/>
  <c r="V36" i="41" s="1"/>
  <c r="Y39" i="41"/>
  <c r="AO32" i="41"/>
  <c r="AO26" i="41"/>
  <c r="AO28" i="41"/>
  <c r="AO25" i="41"/>
  <c r="AO33" i="41"/>
  <c r="AO29" i="41"/>
  <c r="AO30" i="41"/>
  <c r="AO31" i="41"/>
  <c r="AO27" i="41"/>
  <c r="AQ44" i="41"/>
  <c r="AQ42" i="41"/>
  <c r="AQ41" i="41"/>
  <c r="AQ43" i="41"/>
  <c r="AQ39" i="41"/>
  <c r="AQ48" i="41"/>
  <c r="AQ46" i="41"/>
  <c r="AQ45" i="41"/>
  <c r="AQ47" i="41"/>
  <c r="AQ40" i="41"/>
  <c r="AD4" i="41"/>
  <c r="AC4" i="41"/>
  <c r="AB4" i="41"/>
  <c r="AA26" i="41"/>
  <c r="AA25" i="41"/>
  <c r="AM30" i="41"/>
  <c r="AM29" i="41"/>
  <c r="AM28" i="41"/>
  <c r="AM26" i="41"/>
  <c r="AM27" i="41"/>
  <c r="AM25" i="41"/>
  <c r="AM32" i="41"/>
  <c r="AM31" i="41"/>
  <c r="AI43" i="41"/>
  <c r="AI42" i="41"/>
  <c r="AI41" i="41"/>
  <c r="AI40" i="41"/>
  <c r="AI39" i="41"/>
  <c r="AI44" i="41"/>
  <c r="AK30" i="41"/>
  <c r="AK25" i="41"/>
  <c r="AK29" i="41"/>
  <c r="AK31" i="41"/>
  <c r="AK27" i="41"/>
  <c r="AK28" i="41"/>
  <c r="AK26" i="41"/>
  <c r="AE28" i="41"/>
  <c r="AE27" i="41"/>
  <c r="AE25" i="41"/>
  <c r="AE26" i="41"/>
  <c r="Y25" i="41"/>
  <c r="V23" i="41"/>
  <c r="V35" i="41" s="1"/>
  <c r="V22" i="41" s="1"/>
  <c r="AO44" i="41"/>
  <c r="AO43" i="41"/>
  <c r="AO47" i="41"/>
  <c r="AO42" i="41"/>
  <c r="AO39" i="41"/>
  <c r="AO40" i="41"/>
  <c r="AO46" i="41"/>
  <c r="AO41" i="41"/>
  <c r="AO45" i="41"/>
  <c r="AG29" i="41"/>
  <c r="AG28" i="41"/>
  <c r="AG27" i="41"/>
  <c r="AG26" i="41"/>
  <c r="AG25" i="41"/>
  <c r="AG42" i="41"/>
  <c r="AG43" i="41"/>
  <c r="AG41" i="41"/>
  <c r="AG40" i="41"/>
  <c r="AG39" i="41"/>
  <c r="AJ4" i="41"/>
  <c r="AI4" i="41"/>
  <c r="AH4" i="41"/>
  <c r="AQ25" i="41"/>
  <c r="AQ29" i="41"/>
  <c r="AQ33" i="41"/>
  <c r="AQ31" i="41"/>
  <c r="AQ27" i="41"/>
  <c r="AQ32" i="41"/>
  <c r="AQ26" i="41"/>
  <c r="AQ34" i="41"/>
  <c r="AQ30" i="41"/>
  <c r="AQ28" i="41"/>
  <c r="AM43" i="41"/>
  <c r="AM44" i="41"/>
  <c r="AM42" i="41"/>
  <c r="AM40" i="41"/>
  <c r="AM41" i="41"/>
  <c r="AM39" i="41"/>
  <c r="AM45" i="41"/>
  <c r="AM46" i="41"/>
  <c r="AC39" i="41"/>
  <c r="AC40" i="41"/>
  <c r="AC41" i="41"/>
  <c r="R46" i="40"/>
  <c r="R45" i="40"/>
  <c r="R47" i="40"/>
  <c r="R48" i="40"/>
  <c r="R49" i="40"/>
  <c r="R26" i="40"/>
  <c r="R30" i="40"/>
  <c r="R28" i="40"/>
  <c r="P23" i="40"/>
  <c r="R29" i="40"/>
  <c r="R25" i="40"/>
  <c r="R27" i="40"/>
  <c r="P39" i="40"/>
  <c r="R44" i="40" s="1"/>
  <c r="N37" i="40"/>
  <c r="AG4" i="40"/>
  <c r="Y2" i="40"/>
  <c r="AA4" i="40"/>
  <c r="X2" i="40"/>
  <c r="R26" i="39"/>
  <c r="AH12" i="39"/>
  <c r="T2" i="39"/>
  <c r="X4" i="39"/>
  <c r="P39" i="39"/>
  <c r="R42" i="39" s="1"/>
  <c r="N37" i="39"/>
  <c r="Y4" i="39"/>
  <c r="U2" i="39"/>
  <c r="AB12" i="39"/>
  <c r="AB6" i="39"/>
  <c r="AB7" i="39"/>
  <c r="R47" i="39"/>
  <c r="R44" i="39"/>
  <c r="R49" i="39"/>
  <c r="R48" i="39"/>
  <c r="R46" i="39"/>
  <c r="R45" i="39"/>
  <c r="AB9" i="39"/>
  <c r="AH7" i="39"/>
  <c r="AB5" i="39"/>
  <c r="R25" i="39"/>
  <c r="R30" i="39"/>
  <c r="R29" i="39"/>
  <c r="R28" i="39"/>
  <c r="R27" i="39"/>
  <c r="P23" i="39"/>
  <c r="AH9" i="39"/>
  <c r="AH6" i="39"/>
  <c r="AH5" i="39"/>
  <c r="AB13" i="38"/>
  <c r="AH12" i="38"/>
  <c r="AB7" i="38"/>
  <c r="AB6" i="38"/>
  <c r="AB9" i="38"/>
  <c r="R25" i="38"/>
  <c r="R30" i="38"/>
  <c r="P23" i="38"/>
  <c r="R29" i="38"/>
  <c r="R28" i="38"/>
  <c r="R27" i="38"/>
  <c r="AB12" i="38"/>
  <c r="AH7" i="38"/>
  <c r="AH6" i="38"/>
  <c r="AH9" i="38"/>
  <c r="AH5" i="38"/>
  <c r="AB10" i="38"/>
  <c r="AH8" i="38"/>
  <c r="AB5" i="38"/>
  <c r="AH10" i="38"/>
  <c r="P39" i="38"/>
  <c r="R43" i="38" s="1"/>
  <c r="N37" i="38"/>
  <c r="AH13" i="38"/>
  <c r="R47" i="38"/>
  <c r="R49" i="38"/>
  <c r="R48" i="38"/>
  <c r="R46" i="38"/>
  <c r="R45" i="38"/>
  <c r="U2" i="38"/>
  <c r="Y4" i="38"/>
  <c r="T2" i="38"/>
  <c r="X4" i="38"/>
  <c r="R26" i="38"/>
  <c r="AB8" i="38"/>
  <c r="H30" i="45" l="1"/>
  <c r="H32" i="45"/>
  <c r="H35" i="45"/>
  <c r="H29" i="45"/>
  <c r="H31" i="45"/>
  <c r="H34" i="45"/>
  <c r="H33" i="45"/>
  <c r="H27" i="45"/>
  <c r="H41" i="45"/>
  <c r="H47" i="45"/>
  <c r="H48" i="45"/>
  <c r="H42" i="45"/>
  <c r="H45" i="45"/>
  <c r="AS37" i="45"/>
  <c r="AS36" i="45" s="1"/>
  <c r="J37" i="45"/>
  <c r="H43" i="45"/>
  <c r="BS35" i="45" s="1"/>
  <c r="H28" i="45"/>
  <c r="H46" i="45"/>
  <c r="H49" i="45"/>
  <c r="H26" i="45"/>
  <c r="H40" i="45"/>
  <c r="H25" i="45"/>
  <c r="H44" i="45"/>
  <c r="H39" i="45"/>
  <c r="L37" i="44"/>
  <c r="H45" i="44"/>
  <c r="BK26" i="44" s="1"/>
  <c r="H44" i="44"/>
  <c r="BK8" i="44" s="1"/>
  <c r="H49" i="44"/>
  <c r="BK30" i="44" s="1"/>
  <c r="H48" i="44"/>
  <c r="BK29" i="44" s="1"/>
  <c r="H47" i="44"/>
  <c r="BK20" i="44" s="1"/>
  <c r="H46" i="44"/>
  <c r="BK19" i="44" s="1"/>
  <c r="H42" i="44"/>
  <c r="BK6" i="44" s="1"/>
  <c r="H35" i="44"/>
  <c r="H32" i="44"/>
  <c r="H34" i="44"/>
  <c r="H30" i="44"/>
  <c r="H29" i="44"/>
  <c r="BS12" i="44" s="1"/>
  <c r="H31" i="44"/>
  <c r="BK49" i="44" s="1"/>
  <c r="H28" i="44"/>
  <c r="BS8" i="44" s="1"/>
  <c r="H33" i="44"/>
  <c r="BS6" i="44"/>
  <c r="BK24" i="44"/>
  <c r="BO6" i="44"/>
  <c r="BS5" i="44"/>
  <c r="BK16" i="44"/>
  <c r="BO5" i="44"/>
  <c r="BK14" i="44"/>
  <c r="BS4" i="44"/>
  <c r="BK7" i="44"/>
  <c r="BK5" i="44"/>
  <c r="BO4" i="44"/>
  <c r="BK4" i="44"/>
  <c r="H46" i="43"/>
  <c r="BK45" i="43" s="1"/>
  <c r="H40" i="43"/>
  <c r="BS19" i="43" s="1"/>
  <c r="H44" i="43"/>
  <c r="BS23" i="43" s="1"/>
  <c r="H41" i="43"/>
  <c r="BS12" i="43" s="1"/>
  <c r="H48" i="43"/>
  <c r="BK47" i="43" s="1"/>
  <c r="H47" i="43"/>
  <c r="BK35" i="43" s="1"/>
  <c r="AS37" i="43"/>
  <c r="AS36" i="43" s="1"/>
  <c r="H49" i="43"/>
  <c r="BK48" i="43" s="1"/>
  <c r="H43" i="43"/>
  <c r="BS43" i="43" s="1"/>
  <c r="H45" i="43"/>
  <c r="BK44" i="43" s="1"/>
  <c r="H42" i="43"/>
  <c r="BS34" i="43" s="1"/>
  <c r="H23" i="43"/>
  <c r="J37" i="43"/>
  <c r="H39" i="43"/>
  <c r="BS7" i="43" s="1"/>
  <c r="AI18" i="42"/>
  <c r="L40" i="42" s="1"/>
  <c r="AD18" i="42"/>
  <c r="L27" i="42" s="1"/>
  <c r="AC18" i="42"/>
  <c r="L26" i="42" s="1"/>
  <c r="AJ18" i="42"/>
  <c r="L41" i="42" s="1"/>
  <c r="AO37" i="42"/>
  <c r="J23" i="42"/>
  <c r="AS49" i="42"/>
  <c r="J49" i="42" s="1"/>
  <c r="AS47" i="42"/>
  <c r="J47" i="42" s="1"/>
  <c r="AS42" i="42"/>
  <c r="J42" i="42" s="1"/>
  <c r="AS43" i="42"/>
  <c r="J43" i="42" s="1"/>
  <c r="AS41" i="42"/>
  <c r="J41" i="42" s="1"/>
  <c r="AS46" i="42"/>
  <c r="J46" i="42" s="1"/>
  <c r="AS40" i="42"/>
  <c r="J40" i="42" s="1"/>
  <c r="AS45" i="42"/>
  <c r="J45" i="42" s="1"/>
  <c r="AS39" i="42"/>
  <c r="J39" i="42" s="1"/>
  <c r="AS44" i="42"/>
  <c r="J44" i="42" s="1"/>
  <c r="AS48" i="42"/>
  <c r="J48" i="42" s="1"/>
  <c r="AI37" i="42"/>
  <c r="L25" i="42"/>
  <c r="Y37" i="42"/>
  <c r="L39" i="42"/>
  <c r="AG37" i="42"/>
  <c r="AM37" i="42"/>
  <c r="AS23" i="42"/>
  <c r="AS22" i="42" s="1"/>
  <c r="AK37" i="42"/>
  <c r="AQ37" i="42"/>
  <c r="AA23" i="41"/>
  <c r="AG23" i="41"/>
  <c r="AE23" i="41"/>
  <c r="AK23" i="41"/>
  <c r="AG37" i="41"/>
  <c r="AK37" i="41"/>
  <c r="AQ23" i="41"/>
  <c r="AM23" i="41"/>
  <c r="Y37" i="41"/>
  <c r="AM37" i="41"/>
  <c r="AC37" i="41"/>
  <c r="AI37" i="41"/>
  <c r="AB18" i="41"/>
  <c r="AC16" i="41"/>
  <c r="AD15" i="41"/>
  <c r="AC14" i="41"/>
  <c r="AC15" i="41"/>
  <c r="AD14" i="41"/>
  <c r="AC13" i="41"/>
  <c r="AC12" i="41"/>
  <c r="AD12" i="41"/>
  <c r="AD6" i="41"/>
  <c r="AD10" i="41"/>
  <c r="AC5" i="41"/>
  <c r="AD11" i="41"/>
  <c r="AC7" i="41"/>
  <c r="AD7" i="41"/>
  <c r="AD13" i="41"/>
  <c r="AC8" i="41"/>
  <c r="AC10" i="41"/>
  <c r="AC6" i="41"/>
  <c r="AC11" i="41"/>
  <c r="AC9" i="41"/>
  <c r="AD9" i="41"/>
  <c r="AD8" i="41"/>
  <c r="AD5" i="41"/>
  <c r="AQ37" i="41"/>
  <c r="AS44" i="41"/>
  <c r="J44" i="41" s="1"/>
  <c r="AS43" i="41"/>
  <c r="J43" i="41" s="1"/>
  <c r="AS49" i="41"/>
  <c r="J49" i="41" s="1"/>
  <c r="AS48" i="41"/>
  <c r="J48" i="41" s="1"/>
  <c r="AS42" i="41"/>
  <c r="J42" i="41" s="1"/>
  <c r="AS41" i="41"/>
  <c r="J41" i="41" s="1"/>
  <c r="AS40" i="41"/>
  <c r="J40" i="41" s="1"/>
  <c r="AS46" i="41"/>
  <c r="J46" i="41" s="1"/>
  <c r="AS47" i="41"/>
  <c r="J47" i="41" s="1"/>
  <c r="AS39" i="41"/>
  <c r="J39" i="41" s="1"/>
  <c r="AS45" i="41"/>
  <c r="J45" i="41" s="1"/>
  <c r="AS30" i="41"/>
  <c r="J30" i="41" s="1"/>
  <c r="AS28" i="41"/>
  <c r="J28" i="41" s="1"/>
  <c r="AS27" i="41"/>
  <c r="J27" i="41" s="1"/>
  <c r="AS33" i="41"/>
  <c r="J33" i="41" s="1"/>
  <c r="AS31" i="41"/>
  <c r="J31" i="41" s="1"/>
  <c r="AS34" i="41"/>
  <c r="J34" i="41" s="1"/>
  <c r="AS25" i="41"/>
  <c r="J25" i="41" s="1"/>
  <c r="AS35" i="41"/>
  <c r="J35" i="41" s="1"/>
  <c r="AS26" i="41"/>
  <c r="J26" i="41" s="1"/>
  <c r="AS29" i="41"/>
  <c r="J29" i="41" s="1"/>
  <c r="AS32" i="41"/>
  <c r="J32" i="41" s="1"/>
  <c r="AO23" i="41"/>
  <c r="AE37" i="41"/>
  <c r="AI23" i="41"/>
  <c r="AH18" i="41"/>
  <c r="AI15" i="41"/>
  <c r="AI16" i="41"/>
  <c r="AI11" i="41"/>
  <c r="AJ14" i="41"/>
  <c r="AI14" i="41"/>
  <c r="AI10" i="41"/>
  <c r="AI7" i="41"/>
  <c r="AI9" i="41"/>
  <c r="AI13" i="41"/>
  <c r="AJ13" i="41"/>
  <c r="AJ7" i="41"/>
  <c r="AI5" i="41"/>
  <c r="AI12" i="41"/>
  <c r="AJ8" i="41"/>
  <c r="AI6" i="41"/>
  <c r="AJ6" i="41"/>
  <c r="AJ12" i="41"/>
  <c r="AI8" i="41"/>
  <c r="AJ10" i="41"/>
  <c r="AJ9" i="41"/>
  <c r="AJ11" i="41"/>
  <c r="AJ5" i="41"/>
  <c r="Y23" i="41"/>
  <c r="AO37" i="41"/>
  <c r="AC23" i="41"/>
  <c r="V27" i="40"/>
  <c r="AC25" i="40" s="1"/>
  <c r="V26" i="40"/>
  <c r="V32" i="40"/>
  <c r="V25" i="40"/>
  <c r="R23" i="40"/>
  <c r="V34" i="40"/>
  <c r="V31" i="40"/>
  <c r="V29" i="40"/>
  <c r="V33" i="40"/>
  <c r="V30" i="40"/>
  <c r="R40" i="40"/>
  <c r="R41" i="40"/>
  <c r="P37" i="40"/>
  <c r="R39" i="40"/>
  <c r="V28" i="40"/>
  <c r="R43" i="40"/>
  <c r="R42" i="40"/>
  <c r="AJ4" i="40"/>
  <c r="AI4" i="40"/>
  <c r="AH4" i="40"/>
  <c r="AD4" i="40"/>
  <c r="AC4" i="40"/>
  <c r="AB4" i="40"/>
  <c r="R43" i="39"/>
  <c r="R41" i="39"/>
  <c r="V27" i="39"/>
  <c r="AC25" i="39" s="1"/>
  <c r="R40" i="39"/>
  <c r="V28" i="39"/>
  <c r="AE25" i="39" s="1"/>
  <c r="AG4" i="39"/>
  <c r="Y2" i="39"/>
  <c r="V25" i="39"/>
  <c r="R23" i="39"/>
  <c r="V34" i="39"/>
  <c r="V32" i="39"/>
  <c r="V30" i="39"/>
  <c r="V31" i="39"/>
  <c r="V33" i="39"/>
  <c r="V29" i="39"/>
  <c r="R39" i="39"/>
  <c r="P37" i="39"/>
  <c r="V26" i="39"/>
  <c r="X2" i="39"/>
  <c r="AA4" i="39"/>
  <c r="R42" i="38"/>
  <c r="R41" i="38"/>
  <c r="R40" i="38"/>
  <c r="R23" i="38"/>
  <c r="V25" i="38"/>
  <c r="V32" i="38"/>
  <c r="V30" i="38"/>
  <c r="V34" i="38"/>
  <c r="V29" i="38"/>
  <c r="V33" i="38"/>
  <c r="V31" i="38"/>
  <c r="Y2" i="38"/>
  <c r="AG4" i="38"/>
  <c r="V27" i="38"/>
  <c r="V28" i="38"/>
  <c r="R39" i="38"/>
  <c r="P37" i="38"/>
  <c r="V26" i="38"/>
  <c r="AA4" i="38"/>
  <c r="X2" i="38"/>
  <c r="R44" i="38"/>
  <c r="W16" i="31"/>
  <c r="V16" i="31"/>
  <c r="R16" i="31"/>
  <c r="Q16" i="31"/>
  <c r="P16" i="31"/>
  <c r="C30" i="31"/>
  <c r="B30" i="31"/>
  <c r="BS36" i="45" l="1"/>
  <c r="BS24" i="45"/>
  <c r="BS32" i="45"/>
  <c r="BK58" i="45"/>
  <c r="BK57" i="45"/>
  <c r="BS38" i="45"/>
  <c r="BO12" i="45"/>
  <c r="BS37" i="45"/>
  <c r="BS33" i="45"/>
  <c r="BS34" i="45"/>
  <c r="BK42" i="45"/>
  <c r="BO13" i="45"/>
  <c r="BK47" i="45"/>
  <c r="BS10" i="45"/>
  <c r="BS39" i="45"/>
  <c r="BS40" i="45"/>
  <c r="BS45" i="45"/>
  <c r="BS11" i="45"/>
  <c r="BK39" i="45"/>
  <c r="BK29" i="45"/>
  <c r="BS16" i="45"/>
  <c r="BK51" i="45"/>
  <c r="BS26" i="45"/>
  <c r="BS30" i="45"/>
  <c r="BS12" i="45"/>
  <c r="BS28" i="45"/>
  <c r="BS25" i="45"/>
  <c r="BS6" i="45"/>
  <c r="BK26" i="45"/>
  <c r="BO10" i="45"/>
  <c r="BK52" i="45"/>
  <c r="BK55" i="45"/>
  <c r="BK44" i="45"/>
  <c r="BK41" i="45"/>
  <c r="BO6" i="45"/>
  <c r="BS47" i="45"/>
  <c r="BS20" i="45"/>
  <c r="BS43" i="45"/>
  <c r="BK49" i="45"/>
  <c r="BO8" i="45"/>
  <c r="BK28" i="45"/>
  <c r="BS41" i="45"/>
  <c r="BS19" i="45"/>
  <c r="BS15" i="45"/>
  <c r="BK54" i="45"/>
  <c r="BK50" i="45"/>
  <c r="BK46" i="45"/>
  <c r="BK56" i="45"/>
  <c r="BO9" i="45"/>
  <c r="BS13" i="45"/>
  <c r="BK38" i="45"/>
  <c r="BK30" i="45"/>
  <c r="BS23" i="45"/>
  <c r="BK45" i="45"/>
  <c r="BK48" i="45"/>
  <c r="BK53" i="45"/>
  <c r="H37" i="45"/>
  <c r="BS31" i="45"/>
  <c r="BS5" i="45"/>
  <c r="BK23" i="45"/>
  <c r="BS21" i="45"/>
  <c r="BS27" i="45"/>
  <c r="BS14" i="45"/>
  <c r="BK25" i="45"/>
  <c r="H23" i="45"/>
  <c r="BK8" i="45"/>
  <c r="BK5" i="45"/>
  <c r="BK13" i="45"/>
  <c r="BK11" i="45"/>
  <c r="BK9" i="45"/>
  <c r="BK6" i="45"/>
  <c r="BO4" i="45"/>
  <c r="BK7" i="45"/>
  <c r="BK12" i="45"/>
  <c r="BK4" i="45"/>
  <c r="BK10" i="45"/>
  <c r="BS42" i="45"/>
  <c r="BS29" i="45"/>
  <c r="BS18" i="45"/>
  <c r="BO14" i="45"/>
  <c r="BS17" i="45"/>
  <c r="BK43" i="45"/>
  <c r="BK24" i="45"/>
  <c r="BS46" i="45"/>
  <c r="BK40" i="45"/>
  <c r="BK17" i="45"/>
  <c r="BK15" i="45"/>
  <c r="BK14" i="45"/>
  <c r="BK21" i="45"/>
  <c r="BK19" i="45"/>
  <c r="BK22" i="45"/>
  <c r="BK16" i="45"/>
  <c r="BK20" i="45"/>
  <c r="BK18" i="45"/>
  <c r="BO5" i="45"/>
  <c r="BS4" i="45"/>
  <c r="BK27" i="45"/>
  <c r="BK59" i="45"/>
  <c r="BS44" i="45"/>
  <c r="BS22" i="45"/>
  <c r="BO11" i="45"/>
  <c r="BK32" i="45"/>
  <c r="BK31" i="45"/>
  <c r="BK35" i="45"/>
  <c r="BK33" i="45"/>
  <c r="BK37" i="45"/>
  <c r="BK36" i="45"/>
  <c r="BK34" i="45"/>
  <c r="BS9" i="45"/>
  <c r="BO7" i="45"/>
  <c r="BS8" i="45"/>
  <c r="BS7" i="45"/>
  <c r="BS34" i="44"/>
  <c r="BO8" i="44"/>
  <c r="BK21" i="44"/>
  <c r="BK18" i="44"/>
  <c r="BK23" i="44"/>
  <c r="BK9" i="44"/>
  <c r="BK13" i="44"/>
  <c r="BK22" i="44"/>
  <c r="BO14" i="44"/>
  <c r="BK59" i="44"/>
  <c r="BK56" i="44"/>
  <c r="BS26" i="44"/>
  <c r="BK15" i="44"/>
  <c r="BK27" i="44"/>
  <c r="BK17" i="44"/>
  <c r="BK25" i="44"/>
  <c r="BS27" i="44"/>
  <c r="BS38" i="44"/>
  <c r="BK47" i="44"/>
  <c r="BK12" i="44"/>
  <c r="BS28" i="44"/>
  <c r="BS25" i="44"/>
  <c r="BK57" i="44"/>
  <c r="BS29" i="44"/>
  <c r="BK54" i="44"/>
  <c r="H37" i="44"/>
  <c r="BK55" i="44"/>
  <c r="BK28" i="44"/>
  <c r="BK10" i="44"/>
  <c r="BK36" i="44"/>
  <c r="BO11" i="44"/>
  <c r="BS24" i="44"/>
  <c r="BS37" i="44"/>
  <c r="BK11" i="44"/>
  <c r="BS17" i="44"/>
  <c r="BK46" i="44"/>
  <c r="BS18" i="44"/>
  <c r="BO9" i="44"/>
  <c r="BS43" i="44"/>
  <c r="BS16" i="44"/>
  <c r="BS47" i="44"/>
  <c r="BK48" i="44"/>
  <c r="BS30" i="44"/>
  <c r="BS41" i="44"/>
  <c r="BK44" i="44"/>
  <c r="BK40" i="44"/>
  <c r="BS44" i="44"/>
  <c r="BS15" i="44"/>
  <c r="BK45" i="44"/>
  <c r="BK41" i="44"/>
  <c r="BS40" i="44"/>
  <c r="BK39" i="44"/>
  <c r="BS42" i="44"/>
  <c r="BK32" i="44"/>
  <c r="BK38" i="44"/>
  <c r="BS46" i="44"/>
  <c r="BS7" i="44"/>
  <c r="BO13" i="44"/>
  <c r="BS45" i="44"/>
  <c r="BS9" i="44"/>
  <c r="BS10" i="44"/>
  <c r="BS39" i="44"/>
  <c r="BK34" i="44"/>
  <c r="BS36" i="44"/>
  <c r="BS35" i="44"/>
  <c r="BK58" i="44"/>
  <c r="BO12" i="44"/>
  <c r="BS31" i="44"/>
  <c r="BK43" i="44"/>
  <c r="BK31" i="44"/>
  <c r="BS32" i="44"/>
  <c r="BS33" i="44"/>
  <c r="BK42" i="44"/>
  <c r="BS11" i="44"/>
  <c r="BK33" i="44"/>
  <c r="BS14" i="44"/>
  <c r="BS13" i="44"/>
  <c r="BK37" i="44"/>
  <c r="H23" i="44"/>
  <c r="BS21" i="44"/>
  <c r="BK53" i="44"/>
  <c r="BS19" i="44"/>
  <c r="BO7" i="44"/>
  <c r="BK35" i="44"/>
  <c r="BK52" i="44"/>
  <c r="BK51" i="44"/>
  <c r="BS23" i="44"/>
  <c r="BO10" i="44"/>
  <c r="BK50" i="44"/>
  <c r="BS22" i="44"/>
  <c r="BS20" i="44"/>
  <c r="BK4" i="43"/>
  <c r="BK10" i="43"/>
  <c r="BS17" i="43"/>
  <c r="BK40" i="43"/>
  <c r="BK19" i="43"/>
  <c r="BO4" i="43"/>
  <c r="BK50" i="43"/>
  <c r="BS38" i="43"/>
  <c r="BK38" i="43"/>
  <c r="BK32" i="43"/>
  <c r="BK27" i="43"/>
  <c r="BO14" i="43"/>
  <c r="BK34" i="43"/>
  <c r="BK6" i="43"/>
  <c r="BS36" i="43"/>
  <c r="BS39" i="43"/>
  <c r="BS14" i="43"/>
  <c r="BO11" i="43"/>
  <c r="BS10" i="43"/>
  <c r="BK43" i="43"/>
  <c r="BK58" i="43"/>
  <c r="BS46" i="43"/>
  <c r="BO9" i="43"/>
  <c r="BO12" i="43"/>
  <c r="BS44" i="43"/>
  <c r="BK17" i="43"/>
  <c r="BK59" i="43"/>
  <c r="BS6" i="43"/>
  <c r="BS25" i="43"/>
  <c r="BK11" i="43"/>
  <c r="BS32" i="43"/>
  <c r="BS18" i="43"/>
  <c r="BO5" i="43"/>
  <c r="BK12" i="43"/>
  <c r="BK7" i="43"/>
  <c r="BO8" i="43"/>
  <c r="BK37" i="43"/>
  <c r="BK46" i="43"/>
  <c r="BS29" i="43"/>
  <c r="BS45" i="43"/>
  <c r="BK13" i="43"/>
  <c r="BK8" i="43"/>
  <c r="BS40" i="43"/>
  <c r="BS8" i="43"/>
  <c r="BK25" i="43"/>
  <c r="BK9" i="43"/>
  <c r="BK57" i="43"/>
  <c r="BS11" i="43"/>
  <c r="BK41" i="43"/>
  <c r="BS15" i="43"/>
  <c r="BS31" i="43"/>
  <c r="BK42" i="43"/>
  <c r="BS20" i="43"/>
  <c r="BO6" i="43"/>
  <c r="BK14" i="43"/>
  <c r="BS26" i="43"/>
  <c r="BS41" i="43"/>
  <c r="BS9" i="43"/>
  <c r="BK21" i="43"/>
  <c r="BK52" i="43"/>
  <c r="BK29" i="43"/>
  <c r="BK55" i="43"/>
  <c r="BK23" i="43"/>
  <c r="BS21" i="43"/>
  <c r="BS27" i="43"/>
  <c r="BK15" i="43"/>
  <c r="BS42" i="43"/>
  <c r="BK54" i="43"/>
  <c r="BK20" i="43"/>
  <c r="BK28" i="43"/>
  <c r="BK51" i="43"/>
  <c r="BK33" i="43"/>
  <c r="BS16" i="43"/>
  <c r="H37" i="43"/>
  <c r="BS5" i="43"/>
  <c r="BS4" i="43"/>
  <c r="BS24" i="43"/>
  <c r="BK49" i="43"/>
  <c r="BK16" i="43"/>
  <c r="BS28" i="43"/>
  <c r="BK24" i="43"/>
  <c r="BS22" i="43"/>
  <c r="BS33" i="43"/>
  <c r="BS13" i="43"/>
  <c r="BK39" i="43"/>
  <c r="BO13" i="43"/>
  <c r="BO7" i="43"/>
  <c r="BK31" i="43"/>
  <c r="BO10" i="43"/>
  <c r="BS30" i="43"/>
  <c r="BK26" i="43"/>
  <c r="BK18" i="43"/>
  <c r="BS37" i="43"/>
  <c r="BK5" i="43"/>
  <c r="BK30" i="43"/>
  <c r="BK22" i="43"/>
  <c r="BK53" i="43"/>
  <c r="BK56" i="43"/>
  <c r="BS35" i="43"/>
  <c r="BS47" i="43"/>
  <c r="BK36" i="43"/>
  <c r="AK18" i="42"/>
  <c r="L42" i="42" s="1"/>
  <c r="H44" i="42" s="1"/>
  <c r="AE18" i="42"/>
  <c r="L28" i="42" s="1"/>
  <c r="H32" i="42" s="1"/>
  <c r="H27" i="42"/>
  <c r="H25" i="42"/>
  <c r="H26" i="42"/>
  <c r="H41" i="42"/>
  <c r="H40" i="42"/>
  <c r="H39" i="42"/>
  <c r="J37" i="42"/>
  <c r="AS37" i="42"/>
  <c r="AS36" i="42" s="1"/>
  <c r="AC18" i="41"/>
  <c r="L26" i="41" s="1"/>
  <c r="AI18" i="41"/>
  <c r="L40" i="41" s="1"/>
  <c r="AD18" i="41"/>
  <c r="L27" i="41" s="1"/>
  <c r="AJ18" i="41"/>
  <c r="L41" i="41" s="1"/>
  <c r="J37" i="41"/>
  <c r="L25" i="41"/>
  <c r="AS23" i="41"/>
  <c r="AS22" i="41" s="1"/>
  <c r="L39" i="41"/>
  <c r="J23" i="41"/>
  <c r="AS37" i="41"/>
  <c r="AS36" i="41" s="1"/>
  <c r="AC26" i="40"/>
  <c r="AC27" i="40"/>
  <c r="V45" i="40"/>
  <c r="V44" i="40"/>
  <c r="V47" i="40"/>
  <c r="V46" i="40"/>
  <c r="R37" i="40"/>
  <c r="V39" i="40"/>
  <c r="V48" i="40"/>
  <c r="V43" i="40"/>
  <c r="AQ27" i="40"/>
  <c r="AQ26" i="40"/>
  <c r="AQ32" i="40"/>
  <c r="AQ29" i="40"/>
  <c r="AQ33" i="40"/>
  <c r="AQ25" i="40"/>
  <c r="AQ34" i="40"/>
  <c r="AQ30" i="40"/>
  <c r="AQ28" i="40"/>
  <c r="AQ31" i="40"/>
  <c r="V41" i="40"/>
  <c r="Y25" i="40"/>
  <c r="Y23" i="40" s="1"/>
  <c r="V23" i="40"/>
  <c r="V35" i="40" s="1"/>
  <c r="V40" i="40"/>
  <c r="AM25" i="40"/>
  <c r="AM31" i="40"/>
  <c r="AM32" i="40"/>
  <c r="AM28" i="40"/>
  <c r="AM26" i="40"/>
  <c r="AM30" i="40"/>
  <c r="AM29" i="40"/>
  <c r="AM27" i="40"/>
  <c r="AI30" i="40"/>
  <c r="AI28" i="40"/>
  <c r="AI26" i="40"/>
  <c r="AI29" i="40"/>
  <c r="AI27" i="40"/>
  <c r="AI25" i="40"/>
  <c r="AA26" i="40"/>
  <c r="AA25" i="40"/>
  <c r="V42" i="40"/>
  <c r="AO32" i="40"/>
  <c r="AO27" i="40"/>
  <c r="AO31" i="40"/>
  <c r="AO29" i="40"/>
  <c r="AO25" i="40"/>
  <c r="AO28" i="40"/>
  <c r="AO30" i="40"/>
  <c r="AO33" i="40"/>
  <c r="AO26" i="40"/>
  <c r="AG27" i="40"/>
  <c r="AG28" i="40"/>
  <c r="AG25" i="40"/>
  <c r="AG29" i="40"/>
  <c r="AG26" i="40"/>
  <c r="AE27" i="40"/>
  <c r="AE25" i="40"/>
  <c r="AE26" i="40"/>
  <c r="AE28" i="40"/>
  <c r="AK25" i="40"/>
  <c r="AK27" i="40"/>
  <c r="AK30" i="40"/>
  <c r="AK31" i="40"/>
  <c r="AK29" i="40"/>
  <c r="AK26" i="40"/>
  <c r="AK28" i="40"/>
  <c r="AH18" i="40"/>
  <c r="AI15" i="40"/>
  <c r="AI16" i="40"/>
  <c r="AI9" i="40"/>
  <c r="AI13" i="40"/>
  <c r="AJ7" i="40"/>
  <c r="AI8" i="40"/>
  <c r="AJ11" i="40"/>
  <c r="AI14" i="40"/>
  <c r="AJ13" i="40"/>
  <c r="AI12" i="40"/>
  <c r="AJ14" i="40"/>
  <c r="AI10" i="40"/>
  <c r="AJ6" i="40"/>
  <c r="AI5" i="40"/>
  <c r="AI6" i="40"/>
  <c r="AI7" i="40"/>
  <c r="AJ8" i="40"/>
  <c r="AI11" i="40"/>
  <c r="AJ12" i="40"/>
  <c r="AJ10" i="40"/>
  <c r="AJ9" i="40"/>
  <c r="AJ5" i="40"/>
  <c r="AB18" i="40"/>
  <c r="AC16" i="40"/>
  <c r="AD15" i="40"/>
  <c r="AC15" i="40"/>
  <c r="AD8" i="40"/>
  <c r="AD7" i="40"/>
  <c r="AD12" i="40"/>
  <c r="AD10" i="40"/>
  <c r="AC10" i="40"/>
  <c r="AD6" i="40"/>
  <c r="AD14" i="40"/>
  <c r="AC11" i="40"/>
  <c r="AC14" i="40"/>
  <c r="AC8" i="40"/>
  <c r="AC12" i="40"/>
  <c r="AC5" i="40"/>
  <c r="AD9" i="40"/>
  <c r="AD11" i="40"/>
  <c r="AD5" i="40"/>
  <c r="AC7" i="40"/>
  <c r="AC6" i="40"/>
  <c r="AC9" i="40"/>
  <c r="AC13" i="40"/>
  <c r="AD13" i="40"/>
  <c r="V40" i="39"/>
  <c r="AA39" i="39" s="1"/>
  <c r="AE27" i="39"/>
  <c r="AE26" i="39"/>
  <c r="AE28" i="39"/>
  <c r="AC26" i="39"/>
  <c r="AC27" i="39"/>
  <c r="AK28" i="39"/>
  <c r="AK27" i="39"/>
  <c r="AK26" i="39"/>
  <c r="AK31" i="39"/>
  <c r="AK30" i="39"/>
  <c r="AK29" i="39"/>
  <c r="AK25" i="39"/>
  <c r="AD4" i="39"/>
  <c r="AC4" i="39"/>
  <c r="AB4" i="39"/>
  <c r="V41" i="39"/>
  <c r="AI29" i="39"/>
  <c r="AI28" i="39"/>
  <c r="AI26" i="39"/>
  <c r="AI27" i="39"/>
  <c r="AI25" i="39"/>
  <c r="AI30" i="39"/>
  <c r="AA25" i="39"/>
  <c r="AA26" i="39"/>
  <c r="AM32" i="39"/>
  <c r="AM31" i="39"/>
  <c r="AM26" i="39"/>
  <c r="AM25" i="39"/>
  <c r="AM27" i="39"/>
  <c r="AM28" i="39"/>
  <c r="AM30" i="39"/>
  <c r="AM29" i="39"/>
  <c r="AI4" i="39"/>
  <c r="AH4" i="39"/>
  <c r="AJ4" i="39"/>
  <c r="AQ34" i="39"/>
  <c r="AQ28" i="39"/>
  <c r="AQ30" i="39"/>
  <c r="AQ27" i="39"/>
  <c r="AQ25" i="39"/>
  <c r="AQ32" i="39"/>
  <c r="AQ29" i="39"/>
  <c r="AQ33" i="39"/>
  <c r="AQ26" i="39"/>
  <c r="AQ31" i="39"/>
  <c r="R37" i="39"/>
  <c r="V39" i="39"/>
  <c r="V46" i="39"/>
  <c r="V44" i="39"/>
  <c r="V48" i="39"/>
  <c r="V45" i="39"/>
  <c r="V43" i="39"/>
  <c r="V47" i="39"/>
  <c r="AG29" i="39"/>
  <c r="AG28" i="39"/>
  <c r="AG27" i="39"/>
  <c r="AG26" i="39"/>
  <c r="AG25" i="39"/>
  <c r="V23" i="39"/>
  <c r="V35" i="39" s="1"/>
  <c r="V22" i="39" s="1"/>
  <c r="Y25" i="39"/>
  <c r="AO27" i="39"/>
  <c r="AO31" i="39"/>
  <c r="AO25" i="39"/>
  <c r="AO33" i="39"/>
  <c r="AO26" i="39"/>
  <c r="AO28" i="39"/>
  <c r="AO32" i="39"/>
  <c r="AO30" i="39"/>
  <c r="AO29" i="39"/>
  <c r="V42" i="39"/>
  <c r="V40" i="38"/>
  <c r="AA40" i="38" s="1"/>
  <c r="V42" i="38"/>
  <c r="AE40" i="38" s="1"/>
  <c r="V41" i="38"/>
  <c r="AC39" i="38" s="1"/>
  <c r="AE27" i="38"/>
  <c r="AE26" i="38"/>
  <c r="AE28" i="38"/>
  <c r="AE25" i="38"/>
  <c r="Y25" i="38"/>
  <c r="V23" i="38"/>
  <c r="V35" i="38" s="1"/>
  <c r="V22" i="38" s="1"/>
  <c r="AD4" i="38"/>
  <c r="AC4" i="38"/>
  <c r="AB4" i="38"/>
  <c r="AK26" i="38"/>
  <c r="AK25" i="38"/>
  <c r="AK31" i="38"/>
  <c r="AK30" i="38"/>
  <c r="AK29" i="38"/>
  <c r="AK28" i="38"/>
  <c r="AK27" i="38"/>
  <c r="AM25" i="38"/>
  <c r="AM28" i="38"/>
  <c r="AM26" i="38"/>
  <c r="AM30" i="38"/>
  <c r="AM31" i="38"/>
  <c r="AM32" i="38"/>
  <c r="AM29" i="38"/>
  <c r="AM27" i="38"/>
  <c r="AA26" i="38"/>
  <c r="AA25" i="38"/>
  <c r="AG27" i="38"/>
  <c r="AG26" i="38"/>
  <c r="AG25" i="38"/>
  <c r="AG28" i="38"/>
  <c r="AG29" i="38"/>
  <c r="AC27" i="38"/>
  <c r="AC26" i="38"/>
  <c r="AC25" i="38"/>
  <c r="AE42" i="38"/>
  <c r="AQ33" i="38"/>
  <c r="AQ26" i="38"/>
  <c r="AQ25" i="38"/>
  <c r="AQ31" i="38"/>
  <c r="AQ32" i="38"/>
  <c r="AQ29" i="38"/>
  <c r="AQ27" i="38"/>
  <c r="AQ34" i="38"/>
  <c r="AQ30" i="38"/>
  <c r="AQ28" i="38"/>
  <c r="AO25" i="38"/>
  <c r="AO26" i="38"/>
  <c r="AO32" i="38"/>
  <c r="AO33" i="38"/>
  <c r="AO30" i="38"/>
  <c r="AO29" i="38"/>
  <c r="AO28" i="38"/>
  <c r="AO31" i="38"/>
  <c r="AO27" i="38"/>
  <c r="R37" i="38"/>
  <c r="V39" i="38"/>
  <c r="V45" i="38"/>
  <c r="V43" i="38"/>
  <c r="V46" i="38"/>
  <c r="V44" i="38"/>
  <c r="V47" i="38"/>
  <c r="V48" i="38"/>
  <c r="AI25" i="38"/>
  <c r="AI27" i="38"/>
  <c r="AI29" i="38"/>
  <c r="AI28" i="38"/>
  <c r="AI26" i="38"/>
  <c r="AI30" i="38"/>
  <c r="AJ4" i="38"/>
  <c r="AI4" i="38"/>
  <c r="AH4" i="38"/>
  <c r="C33" i="31"/>
  <c r="B33" i="31"/>
  <c r="B38" i="45" l="1"/>
  <c r="B36" i="45"/>
  <c r="B37" i="45"/>
  <c r="B36" i="44"/>
  <c r="B38" i="44"/>
  <c r="B37" i="44"/>
  <c r="B36" i="43"/>
  <c r="B37" i="43"/>
  <c r="B38" i="43"/>
  <c r="H46" i="42"/>
  <c r="BK19" i="42" s="1"/>
  <c r="H42" i="42"/>
  <c r="BS27" i="42" s="1"/>
  <c r="H45" i="42"/>
  <c r="BK18" i="42" s="1"/>
  <c r="H48" i="42"/>
  <c r="BK55" i="42" s="1"/>
  <c r="H28" i="42"/>
  <c r="H43" i="42"/>
  <c r="BK24" i="42" s="1"/>
  <c r="H49" i="42"/>
  <c r="BK22" i="42" s="1"/>
  <c r="H47" i="42"/>
  <c r="BK20" i="42" s="1"/>
  <c r="H30" i="42"/>
  <c r="L37" i="42"/>
  <c r="H34" i="42"/>
  <c r="H35" i="42"/>
  <c r="H31" i="42"/>
  <c r="H33" i="42"/>
  <c r="BS32" i="42" s="1"/>
  <c r="H29" i="42"/>
  <c r="BS29" i="42"/>
  <c r="BS25" i="42"/>
  <c r="BS26" i="42"/>
  <c r="L23" i="42"/>
  <c r="BO4" i="42"/>
  <c r="BK4" i="42"/>
  <c r="BK8" i="42"/>
  <c r="BK5" i="42"/>
  <c r="BK25" i="42"/>
  <c r="BS6" i="42"/>
  <c r="BS5" i="42"/>
  <c r="BO6" i="42"/>
  <c r="BK17" i="42"/>
  <c r="BK14" i="42"/>
  <c r="BO5" i="42"/>
  <c r="BS4" i="42"/>
  <c r="BS24" i="42"/>
  <c r="AE18" i="41"/>
  <c r="L28" i="41" s="1"/>
  <c r="H33" i="41" s="1"/>
  <c r="AK18" i="41"/>
  <c r="L42" i="41" s="1"/>
  <c r="H46" i="41" s="1"/>
  <c r="H26" i="41"/>
  <c r="H27" i="41"/>
  <c r="H25" i="41"/>
  <c r="H41" i="41"/>
  <c r="H39" i="41"/>
  <c r="H40" i="41"/>
  <c r="AC23" i="40"/>
  <c r="AE23" i="40"/>
  <c r="AE41" i="40"/>
  <c r="AE39" i="40"/>
  <c r="AE40" i="40"/>
  <c r="AE42" i="40"/>
  <c r="AM23" i="40"/>
  <c r="AQ42" i="40"/>
  <c r="AQ41" i="40"/>
  <c r="AQ40" i="40"/>
  <c r="AQ44" i="40"/>
  <c r="AQ48" i="40"/>
  <c r="AQ39" i="40"/>
  <c r="AQ46" i="40"/>
  <c r="AQ47" i="40"/>
  <c r="AQ45" i="40"/>
  <c r="AQ43" i="40"/>
  <c r="AA23" i="40"/>
  <c r="AA40" i="40"/>
  <c r="AA39" i="40"/>
  <c r="AQ23" i="40"/>
  <c r="V37" i="40"/>
  <c r="V49" i="40" s="1"/>
  <c r="Y39" i="40"/>
  <c r="Y37" i="40" s="1"/>
  <c r="V22" i="40"/>
  <c r="AS34" i="40"/>
  <c r="J34" i="40" s="1"/>
  <c r="AS27" i="40"/>
  <c r="J27" i="40" s="1"/>
  <c r="AS30" i="40"/>
  <c r="J30" i="40" s="1"/>
  <c r="AS33" i="40"/>
  <c r="J33" i="40" s="1"/>
  <c r="AS25" i="40"/>
  <c r="AS35" i="40"/>
  <c r="J35" i="40" s="1"/>
  <c r="AS29" i="40"/>
  <c r="J29" i="40" s="1"/>
  <c r="AS26" i="40"/>
  <c r="J26" i="40" s="1"/>
  <c r="AS28" i="40"/>
  <c r="J28" i="40" s="1"/>
  <c r="AS31" i="40"/>
  <c r="J31" i="40" s="1"/>
  <c r="AS32" i="40"/>
  <c r="J32" i="40" s="1"/>
  <c r="AO23" i="40"/>
  <c r="AI23" i="40"/>
  <c r="AM41" i="40"/>
  <c r="AM42" i="40"/>
  <c r="AM40" i="40"/>
  <c r="AM43" i="40"/>
  <c r="AM39" i="40"/>
  <c r="AM45" i="40"/>
  <c r="AM46" i="40"/>
  <c r="AM44" i="40"/>
  <c r="AG42" i="40"/>
  <c r="AG41" i="40"/>
  <c r="AG43" i="40"/>
  <c r="AG39" i="40"/>
  <c r="AG40" i="40"/>
  <c r="AK23" i="40"/>
  <c r="AG23" i="40"/>
  <c r="AC40" i="40"/>
  <c r="AC39" i="40"/>
  <c r="AC41" i="40"/>
  <c r="AO43" i="40"/>
  <c r="AO45" i="40"/>
  <c r="AO42" i="40"/>
  <c r="AO47" i="40"/>
  <c r="AO41" i="40"/>
  <c r="AO46" i="40"/>
  <c r="AO40" i="40"/>
  <c r="AO44" i="40"/>
  <c r="AO39" i="40"/>
  <c r="AI44" i="40"/>
  <c r="AI39" i="40"/>
  <c r="AI42" i="40"/>
  <c r="AI40" i="40"/>
  <c r="AI43" i="40"/>
  <c r="AI41" i="40"/>
  <c r="AK43" i="40"/>
  <c r="AK41" i="40"/>
  <c r="AK39" i="40"/>
  <c r="AK40" i="40"/>
  <c r="AK45" i="40"/>
  <c r="AK44" i="40"/>
  <c r="AK42" i="40"/>
  <c r="AC18" i="40"/>
  <c r="L26" i="40" s="1"/>
  <c r="AI18" i="40"/>
  <c r="L40" i="40" s="1"/>
  <c r="AD18" i="40"/>
  <c r="L27" i="40" s="1"/>
  <c r="AJ18" i="40"/>
  <c r="L41" i="40" s="1"/>
  <c r="L25" i="40"/>
  <c r="L39" i="40"/>
  <c r="AA40" i="39"/>
  <c r="AA37" i="39" s="1"/>
  <c r="AE23" i="39"/>
  <c r="AC23" i="39"/>
  <c r="AG23" i="39"/>
  <c r="AM23" i="39"/>
  <c r="AM41" i="39"/>
  <c r="AM46" i="39"/>
  <c r="AM42" i="39"/>
  <c r="AM40" i="39"/>
  <c r="AM43" i="39"/>
  <c r="AM44" i="39"/>
  <c r="AM39" i="39"/>
  <c r="AM45" i="39"/>
  <c r="AQ23" i="39"/>
  <c r="AK44" i="39"/>
  <c r="AK42" i="39"/>
  <c r="AK41" i="39"/>
  <c r="AK45" i="39"/>
  <c r="AK40" i="39"/>
  <c r="AK39" i="39"/>
  <c r="AK43" i="39"/>
  <c r="AO23" i="39"/>
  <c r="AI42" i="39"/>
  <c r="AI44" i="39"/>
  <c r="AI41" i="39"/>
  <c r="AI43" i="39"/>
  <c r="AI40" i="39"/>
  <c r="AI39" i="39"/>
  <c r="V37" i="39"/>
  <c r="V49" i="39" s="1"/>
  <c r="V36" i="39" s="1"/>
  <c r="Y39" i="39"/>
  <c r="AQ43" i="39"/>
  <c r="AQ42" i="39"/>
  <c r="AQ39" i="39"/>
  <c r="AQ44" i="39"/>
  <c r="AQ41" i="39"/>
  <c r="AQ48" i="39"/>
  <c r="AQ46" i="39"/>
  <c r="AQ40" i="39"/>
  <c r="AQ45" i="39"/>
  <c r="AQ47" i="39"/>
  <c r="AH18" i="39"/>
  <c r="AI15" i="39"/>
  <c r="AI11" i="39"/>
  <c r="AI13" i="39"/>
  <c r="AI10" i="39"/>
  <c r="AI8" i="39"/>
  <c r="AI16" i="39"/>
  <c r="AI14" i="39"/>
  <c r="AJ13" i="39"/>
  <c r="AJ9" i="39"/>
  <c r="AI5" i="39"/>
  <c r="AJ14" i="39"/>
  <c r="AI9" i="39"/>
  <c r="AJ7" i="39"/>
  <c r="AI7" i="39"/>
  <c r="AJ11" i="39"/>
  <c r="AJ12" i="39"/>
  <c r="AJ10" i="39"/>
  <c r="AJ6" i="39"/>
  <c r="AI12" i="39"/>
  <c r="AI6" i="39"/>
  <c r="AJ5" i="39"/>
  <c r="AJ8" i="39"/>
  <c r="Y23" i="39"/>
  <c r="AO47" i="39"/>
  <c r="AO42" i="39"/>
  <c r="AO39" i="39"/>
  <c r="AO43" i="39"/>
  <c r="AO41" i="39"/>
  <c r="AO40" i="39"/>
  <c r="AO45" i="39"/>
  <c r="AO46" i="39"/>
  <c r="AO44" i="39"/>
  <c r="AA23" i="39"/>
  <c r="AC39" i="39"/>
  <c r="AC41" i="39"/>
  <c r="AC40" i="39"/>
  <c r="AE42" i="39"/>
  <c r="AE41" i="39"/>
  <c r="AE39" i="39"/>
  <c r="AE40" i="39"/>
  <c r="AB18" i="39"/>
  <c r="AC16" i="39"/>
  <c r="AD15" i="39"/>
  <c r="AC15" i="39"/>
  <c r="AC14" i="39"/>
  <c r="AD14" i="39"/>
  <c r="AD10" i="39"/>
  <c r="AC13" i="39"/>
  <c r="AD13" i="39"/>
  <c r="AD7" i="39"/>
  <c r="AC9" i="39"/>
  <c r="AD9" i="39"/>
  <c r="AD12" i="39"/>
  <c r="AD5" i="39"/>
  <c r="AD6" i="39"/>
  <c r="AC12" i="39"/>
  <c r="AD11" i="39"/>
  <c r="AC7" i="39"/>
  <c r="AC11" i="39"/>
  <c r="AC10" i="39"/>
  <c r="AC5" i="39"/>
  <c r="AD8" i="39"/>
  <c r="AC8" i="39"/>
  <c r="AC6" i="39"/>
  <c r="AS28" i="39"/>
  <c r="J28" i="39" s="1"/>
  <c r="AS30" i="39"/>
  <c r="J30" i="39" s="1"/>
  <c r="AS35" i="39"/>
  <c r="J35" i="39" s="1"/>
  <c r="AS26" i="39"/>
  <c r="J26" i="39" s="1"/>
  <c r="AS33" i="39"/>
  <c r="J33" i="39" s="1"/>
  <c r="AS29" i="39"/>
  <c r="J29" i="39" s="1"/>
  <c r="AS31" i="39"/>
  <c r="J31" i="39" s="1"/>
  <c r="AS27" i="39"/>
  <c r="J27" i="39" s="1"/>
  <c r="AS25" i="39"/>
  <c r="AS32" i="39"/>
  <c r="J32" i="39" s="1"/>
  <c r="AS34" i="39"/>
  <c r="J34" i="39" s="1"/>
  <c r="AG42" i="39"/>
  <c r="AG43" i="39"/>
  <c r="AG41" i="39"/>
  <c r="AG40" i="39"/>
  <c r="AG39" i="39"/>
  <c r="AI23" i="39"/>
  <c r="AK23" i="39"/>
  <c r="AE39" i="38"/>
  <c r="AC40" i="38"/>
  <c r="AA39" i="38"/>
  <c r="AE41" i="38"/>
  <c r="AC41" i="38"/>
  <c r="AA23" i="38"/>
  <c r="AG23" i="38"/>
  <c r="AG41" i="38"/>
  <c r="AG42" i="38"/>
  <c r="AG43" i="38"/>
  <c r="AG40" i="38"/>
  <c r="AG39" i="38"/>
  <c r="AH18" i="38"/>
  <c r="AI15" i="38"/>
  <c r="AI11" i="38"/>
  <c r="AI16" i="38"/>
  <c r="AJ14" i="38"/>
  <c r="AI14" i="38"/>
  <c r="AJ8" i="38"/>
  <c r="AJ10" i="38"/>
  <c r="AI8" i="38"/>
  <c r="AI13" i="38"/>
  <c r="AI9" i="38"/>
  <c r="AJ7" i="38"/>
  <c r="AJ6" i="38"/>
  <c r="AI10" i="38"/>
  <c r="AI7" i="38"/>
  <c r="AI5" i="38"/>
  <c r="AI6" i="38"/>
  <c r="AI12" i="38"/>
  <c r="AJ13" i="38"/>
  <c r="AJ12" i="38"/>
  <c r="AJ9" i="38"/>
  <c r="AJ5" i="38"/>
  <c r="AJ11" i="38"/>
  <c r="AI23" i="38"/>
  <c r="V37" i="38"/>
  <c r="V49" i="38" s="1"/>
  <c r="V36" i="38" s="1"/>
  <c r="Y39" i="38"/>
  <c r="AQ42" i="38"/>
  <c r="AQ41" i="38"/>
  <c r="AQ48" i="38"/>
  <c r="AQ46" i="38"/>
  <c r="AQ40" i="38"/>
  <c r="AQ43" i="38"/>
  <c r="AQ45" i="38"/>
  <c r="AQ39" i="38"/>
  <c r="AQ44" i="38"/>
  <c r="AQ47" i="38"/>
  <c r="AC23" i="38"/>
  <c r="AS35" i="38"/>
  <c r="J35" i="38" s="1"/>
  <c r="AS33" i="38"/>
  <c r="J33" i="38" s="1"/>
  <c r="AS31" i="38"/>
  <c r="J31" i="38" s="1"/>
  <c r="AS34" i="38"/>
  <c r="J34" i="38" s="1"/>
  <c r="AS25" i="38"/>
  <c r="J25" i="38" s="1"/>
  <c r="AS32" i="38"/>
  <c r="J32" i="38" s="1"/>
  <c r="AS29" i="38"/>
  <c r="J29" i="38" s="1"/>
  <c r="AS30" i="38"/>
  <c r="J30" i="38" s="1"/>
  <c r="AS28" i="38"/>
  <c r="J28" i="38" s="1"/>
  <c r="AS26" i="38"/>
  <c r="J26" i="38" s="1"/>
  <c r="AS27" i="38"/>
  <c r="J27" i="38" s="1"/>
  <c r="AO23" i="38"/>
  <c r="AQ23" i="38"/>
  <c r="Y23" i="38"/>
  <c r="AO42" i="38"/>
  <c r="AO41" i="38"/>
  <c r="AO40" i="38"/>
  <c r="AO46" i="38"/>
  <c r="AO45" i="38"/>
  <c r="AO44" i="38"/>
  <c r="AO39" i="38"/>
  <c r="AO47" i="38"/>
  <c r="AO43" i="38"/>
  <c r="AK23" i="38"/>
  <c r="AE23" i="38"/>
  <c r="AI41" i="38"/>
  <c r="AI40" i="38"/>
  <c r="AI39" i="38"/>
  <c r="AI42" i="38"/>
  <c r="AI44" i="38"/>
  <c r="AI43" i="38"/>
  <c r="AM42" i="38"/>
  <c r="AM41" i="38"/>
  <c r="AM40" i="38"/>
  <c r="AM39" i="38"/>
  <c r="AM45" i="38"/>
  <c r="AM46" i="38"/>
  <c r="AM43" i="38"/>
  <c r="AM44" i="38"/>
  <c r="AM23" i="38"/>
  <c r="AB18" i="38"/>
  <c r="AC16" i="38"/>
  <c r="AC14" i="38"/>
  <c r="AC15" i="38"/>
  <c r="AD15" i="38"/>
  <c r="AD14" i="38"/>
  <c r="AD10" i="38"/>
  <c r="AD13" i="38"/>
  <c r="AD6" i="38"/>
  <c r="AC7" i="38"/>
  <c r="AC13" i="38"/>
  <c r="AD8" i="38"/>
  <c r="AD5" i="38"/>
  <c r="AD12" i="38"/>
  <c r="AC12" i="38"/>
  <c r="AD7" i="38"/>
  <c r="AD11" i="38"/>
  <c r="AD9" i="38"/>
  <c r="AC11" i="38"/>
  <c r="AC5" i="38"/>
  <c r="AC9" i="38"/>
  <c r="AC10" i="38"/>
  <c r="AC8" i="38"/>
  <c r="AC6" i="38"/>
  <c r="AK41" i="38"/>
  <c r="AK42" i="38"/>
  <c r="AK40" i="38"/>
  <c r="AK39" i="38"/>
  <c r="AK44" i="38"/>
  <c r="AK45" i="38"/>
  <c r="AK43" i="38"/>
  <c r="AE37" i="38"/>
  <c r="AA37" i="38"/>
  <c r="BK45" i="42" l="1"/>
  <c r="BK10" i="42"/>
  <c r="BO11" i="42"/>
  <c r="BK27" i="42"/>
  <c r="BS45" i="42"/>
  <c r="BK43" i="42"/>
  <c r="BK56" i="42"/>
  <c r="BO14" i="42"/>
  <c r="BK16" i="42"/>
  <c r="BK13" i="42"/>
  <c r="BK30" i="42"/>
  <c r="BS13" i="42"/>
  <c r="BK15" i="42"/>
  <c r="BK23" i="42"/>
  <c r="BS12" i="42"/>
  <c r="BK6" i="42"/>
  <c r="BK7" i="42"/>
  <c r="BS38" i="42"/>
  <c r="BS14" i="42"/>
  <c r="BK52" i="42"/>
  <c r="BS17" i="42"/>
  <c r="BK48" i="42"/>
  <c r="BS16" i="42"/>
  <c r="BK31" i="42"/>
  <c r="BK58" i="42"/>
  <c r="BS15" i="42"/>
  <c r="BK26" i="42"/>
  <c r="BK41" i="42"/>
  <c r="BK21" i="42"/>
  <c r="BK11" i="42"/>
  <c r="BK44" i="42"/>
  <c r="BK9" i="42"/>
  <c r="BS7" i="42"/>
  <c r="BK33" i="42"/>
  <c r="BK35" i="42"/>
  <c r="BK28" i="42"/>
  <c r="BK12" i="42"/>
  <c r="BK47" i="42"/>
  <c r="BS30" i="42"/>
  <c r="BK46" i="42"/>
  <c r="BS19" i="42"/>
  <c r="BK54" i="42"/>
  <c r="BS9" i="42"/>
  <c r="BK42" i="42"/>
  <c r="BK53" i="42"/>
  <c r="BK29" i="42"/>
  <c r="BO9" i="42"/>
  <c r="BS34" i="42"/>
  <c r="BS8" i="42"/>
  <c r="BS23" i="42"/>
  <c r="BS28" i="42"/>
  <c r="BS33" i="42"/>
  <c r="BK57" i="42"/>
  <c r="BK34" i="42"/>
  <c r="BK50" i="42"/>
  <c r="H37" i="42"/>
  <c r="BS35" i="42"/>
  <c r="BS36" i="42"/>
  <c r="BK36" i="42"/>
  <c r="BS22" i="42"/>
  <c r="BS18" i="42"/>
  <c r="BK32" i="42"/>
  <c r="BO12" i="42"/>
  <c r="BS37" i="42"/>
  <c r="BK37" i="42"/>
  <c r="BK49" i="42"/>
  <c r="BS31" i="42"/>
  <c r="BO7" i="42"/>
  <c r="BK40" i="42"/>
  <c r="BS10" i="42"/>
  <c r="BK38" i="42"/>
  <c r="BO8" i="42"/>
  <c r="BK39" i="42"/>
  <c r="BS11" i="42"/>
  <c r="H23" i="42"/>
  <c r="BS47" i="42"/>
  <c r="BK59" i="42"/>
  <c r="BS43" i="42"/>
  <c r="BS41" i="42"/>
  <c r="BS42" i="42"/>
  <c r="BO10" i="42"/>
  <c r="BS21" i="42"/>
  <c r="BS46" i="42"/>
  <c r="BS20" i="42"/>
  <c r="BK51" i="42"/>
  <c r="BS40" i="42"/>
  <c r="BO13" i="42"/>
  <c r="BS44" i="42"/>
  <c r="BS39" i="42"/>
  <c r="H29" i="41"/>
  <c r="BS10" i="41" s="1"/>
  <c r="H28" i="41"/>
  <c r="H35" i="41"/>
  <c r="H31" i="41"/>
  <c r="BK50" i="41" s="1"/>
  <c r="H34" i="41"/>
  <c r="BS46" i="41" s="1"/>
  <c r="BS32" i="41"/>
  <c r="L23" i="41"/>
  <c r="H32" i="41"/>
  <c r="BO11" i="41" s="1"/>
  <c r="H30" i="41"/>
  <c r="BK45" i="41" s="1"/>
  <c r="H47" i="41"/>
  <c r="BO12" i="41" s="1"/>
  <c r="H43" i="41"/>
  <c r="BK16" i="41" s="1"/>
  <c r="H45" i="41"/>
  <c r="BS37" i="41" s="1"/>
  <c r="H44" i="41"/>
  <c r="BK8" i="41" s="1"/>
  <c r="H42" i="41"/>
  <c r="BS34" i="41" s="1"/>
  <c r="BS38" i="41"/>
  <c r="H48" i="41"/>
  <c r="BS33" i="41"/>
  <c r="L37" i="41"/>
  <c r="H49" i="41"/>
  <c r="BS5" i="41"/>
  <c r="BO6" i="41"/>
  <c r="BK27" i="41"/>
  <c r="BS6" i="41"/>
  <c r="BK14" i="41"/>
  <c r="BS4" i="41"/>
  <c r="BK19" i="41"/>
  <c r="BO5" i="41"/>
  <c r="BS31" i="41"/>
  <c r="BK5" i="41"/>
  <c r="BK10" i="41"/>
  <c r="BO4" i="41"/>
  <c r="BK4" i="41"/>
  <c r="AI37" i="40"/>
  <c r="AM37" i="40"/>
  <c r="AK37" i="40"/>
  <c r="AA37" i="40"/>
  <c r="AG37" i="40"/>
  <c r="AK18" i="40"/>
  <c r="L42" i="40" s="1"/>
  <c r="L37" i="40" s="1"/>
  <c r="AO37" i="40"/>
  <c r="AC37" i="40"/>
  <c r="V36" i="40"/>
  <c r="AS48" i="40"/>
  <c r="J48" i="40" s="1"/>
  <c r="AS40" i="40"/>
  <c r="J40" i="40" s="1"/>
  <c r="AS44" i="40"/>
  <c r="J44" i="40" s="1"/>
  <c r="AS45" i="40"/>
  <c r="J45" i="40" s="1"/>
  <c r="AS49" i="40"/>
  <c r="J49" i="40" s="1"/>
  <c r="AS42" i="40"/>
  <c r="J42" i="40" s="1"/>
  <c r="AS46" i="40"/>
  <c r="J46" i="40" s="1"/>
  <c r="AS43" i="40"/>
  <c r="J43" i="40" s="1"/>
  <c r="AS47" i="40"/>
  <c r="J47" i="40" s="1"/>
  <c r="AS41" i="40"/>
  <c r="J41" i="40" s="1"/>
  <c r="AS39" i="40"/>
  <c r="AE18" i="40"/>
  <c r="L28" i="40" s="1"/>
  <c r="H32" i="40" s="1"/>
  <c r="AS23" i="40"/>
  <c r="AS22" i="40" s="1"/>
  <c r="J25" i="40"/>
  <c r="J23" i="40" s="1"/>
  <c r="AQ37" i="40"/>
  <c r="AE37" i="40"/>
  <c r="AI18" i="39"/>
  <c r="L40" i="39" s="1"/>
  <c r="AC18" i="39"/>
  <c r="L26" i="39" s="1"/>
  <c r="L27" i="39"/>
  <c r="AJ18" i="39"/>
  <c r="L41" i="39" s="1"/>
  <c r="AS23" i="39"/>
  <c r="AS22" i="39" s="1"/>
  <c r="L25" i="39"/>
  <c r="AC37" i="39"/>
  <c r="AO37" i="39"/>
  <c r="Y37" i="39"/>
  <c r="AG37" i="39"/>
  <c r="AS42" i="39"/>
  <c r="J42" i="39" s="1"/>
  <c r="AS43" i="39"/>
  <c r="J43" i="39" s="1"/>
  <c r="AS48" i="39"/>
  <c r="J48" i="39" s="1"/>
  <c r="AS44" i="39"/>
  <c r="J44" i="39" s="1"/>
  <c r="AS49" i="39"/>
  <c r="J49" i="39" s="1"/>
  <c r="AS41" i="39"/>
  <c r="J41" i="39" s="1"/>
  <c r="AS39" i="39"/>
  <c r="AS40" i="39"/>
  <c r="J40" i="39" s="1"/>
  <c r="AS46" i="39"/>
  <c r="J46" i="39" s="1"/>
  <c r="AS47" i="39"/>
  <c r="J47" i="39" s="1"/>
  <c r="AS45" i="39"/>
  <c r="J45" i="39" s="1"/>
  <c r="AE37" i="39"/>
  <c r="L39" i="39"/>
  <c r="AQ37" i="39"/>
  <c r="J25" i="39"/>
  <c r="J23" i="39" s="1"/>
  <c r="AI37" i="39"/>
  <c r="AK37" i="39"/>
  <c r="AM37" i="39"/>
  <c r="AC37" i="38"/>
  <c r="AI18" i="38"/>
  <c r="L40" i="38" s="1"/>
  <c r="AM37" i="38"/>
  <c r="J23" i="38"/>
  <c r="AJ18" i="38"/>
  <c r="L41" i="38" s="1"/>
  <c r="AC18" i="38"/>
  <c r="L26" i="38" s="1"/>
  <c r="AD18" i="38"/>
  <c r="L27" i="38" s="1"/>
  <c r="AI37" i="38"/>
  <c r="AO37" i="38"/>
  <c r="Y37" i="38"/>
  <c r="AK37" i="38"/>
  <c r="AS42" i="38"/>
  <c r="J42" i="38" s="1"/>
  <c r="AS43" i="38"/>
  <c r="J43" i="38" s="1"/>
  <c r="AS41" i="38"/>
  <c r="J41" i="38" s="1"/>
  <c r="AS40" i="38"/>
  <c r="J40" i="38" s="1"/>
  <c r="AS46" i="38"/>
  <c r="J46" i="38" s="1"/>
  <c r="AS47" i="38"/>
  <c r="J47" i="38" s="1"/>
  <c r="AS39" i="38"/>
  <c r="J39" i="38" s="1"/>
  <c r="AS48" i="38"/>
  <c r="J48" i="38" s="1"/>
  <c r="AS44" i="38"/>
  <c r="J44" i="38" s="1"/>
  <c r="AS45" i="38"/>
  <c r="J45" i="38" s="1"/>
  <c r="AS49" i="38"/>
  <c r="J49" i="38" s="1"/>
  <c r="L39" i="38"/>
  <c r="AG37" i="38"/>
  <c r="AS23" i="38"/>
  <c r="AS22" i="38" s="1"/>
  <c r="L25" i="38"/>
  <c r="AQ37" i="38"/>
  <c r="BI51" i="35"/>
  <c r="BI54" i="35" s="1"/>
  <c r="BM12" i="35" s="1"/>
  <c r="BQ47" i="35" s="1"/>
  <c r="BF48" i="35"/>
  <c r="BI47" i="35"/>
  <c r="BI52" i="35" s="1"/>
  <c r="BI55" i="35" s="1"/>
  <c r="BI57" i="35" s="1"/>
  <c r="BM13" i="35" s="1"/>
  <c r="BF47" i="35"/>
  <c r="BF46" i="35"/>
  <c r="BE45" i="35"/>
  <c r="BE44" i="35"/>
  <c r="BF45" i="35" s="1"/>
  <c r="BD44" i="35"/>
  <c r="BE43" i="35"/>
  <c r="BF44" i="35" s="1"/>
  <c r="BD43" i="35"/>
  <c r="BC43" i="35"/>
  <c r="BF42" i="35"/>
  <c r="BE42" i="35"/>
  <c r="BD42" i="35"/>
  <c r="BC42" i="35"/>
  <c r="BF41" i="35"/>
  <c r="BE41" i="35"/>
  <c r="BD41" i="35"/>
  <c r="BC41" i="35"/>
  <c r="BF40" i="35"/>
  <c r="BE40" i="35"/>
  <c r="BD40" i="35"/>
  <c r="BC40" i="35"/>
  <c r="BC39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BF34" i="35"/>
  <c r="BF33" i="35"/>
  <c r="C33" i="35"/>
  <c r="C32" i="35"/>
  <c r="E25" i="35" s="1"/>
  <c r="B32" i="35"/>
  <c r="BE31" i="35"/>
  <c r="BF32" i="35" s="1"/>
  <c r="BI30" i="35"/>
  <c r="BI37" i="35" s="1"/>
  <c r="BI43" i="35" s="1"/>
  <c r="BI48" i="35" s="1"/>
  <c r="BI53" i="35" s="1"/>
  <c r="BI56" i="35" s="1"/>
  <c r="BI58" i="35" s="1"/>
  <c r="BI59" i="35" s="1"/>
  <c r="BE30" i="35"/>
  <c r="BF31" i="35" s="1"/>
  <c r="BD30" i="35"/>
  <c r="D30" i="35"/>
  <c r="BI29" i="35"/>
  <c r="BI36" i="35" s="1"/>
  <c r="BI42" i="35" s="1"/>
  <c r="BE29" i="35"/>
  <c r="BD29" i="35"/>
  <c r="BC29" i="35"/>
  <c r="C29" i="35"/>
  <c r="B29" i="35"/>
  <c r="BI28" i="35"/>
  <c r="BI35" i="35" s="1"/>
  <c r="BI41" i="35" s="1"/>
  <c r="BI46" i="35" s="1"/>
  <c r="BE28" i="35"/>
  <c r="BF29" i="35" s="1"/>
  <c r="BD28" i="35"/>
  <c r="BC28" i="35"/>
  <c r="BI27" i="35"/>
  <c r="BI34" i="35" s="1"/>
  <c r="BI40" i="35" s="1"/>
  <c r="BI45" i="35" s="1"/>
  <c r="BI50" i="35" s="1"/>
  <c r="BM11" i="35" s="1"/>
  <c r="BQ38" i="35" s="1"/>
  <c r="BQ46" i="35" s="1"/>
  <c r="BF27" i="35"/>
  <c r="BE27" i="35"/>
  <c r="BF28" i="35" s="1"/>
  <c r="BD27" i="35"/>
  <c r="BC27" i="35"/>
  <c r="C27" i="35"/>
  <c r="B27" i="35"/>
  <c r="BI26" i="35"/>
  <c r="BI33" i="35" s="1"/>
  <c r="BI39" i="35" s="1"/>
  <c r="BI44" i="35" s="1"/>
  <c r="BM10" i="35" s="1"/>
  <c r="BQ30" i="35" s="1"/>
  <c r="BQ37" i="35" s="1"/>
  <c r="BQ45" i="35" s="1"/>
  <c r="BF26" i="35"/>
  <c r="BE26" i="35"/>
  <c r="BD26" i="35"/>
  <c r="BC26" i="35"/>
  <c r="E26" i="35"/>
  <c r="E27" i="35" s="1"/>
  <c r="D26" i="35"/>
  <c r="D27" i="35" s="1"/>
  <c r="C26" i="35"/>
  <c r="B26" i="35"/>
  <c r="BI25" i="35"/>
  <c r="BI32" i="35" s="1"/>
  <c r="BI38" i="35" s="1"/>
  <c r="BC25" i="35"/>
  <c r="D25" i="35"/>
  <c r="C25" i="35"/>
  <c r="B25" i="35"/>
  <c r="BI24" i="35"/>
  <c r="BI31" i="35" s="1"/>
  <c r="BM8" i="35" s="1"/>
  <c r="BQ18" i="35" s="1"/>
  <c r="BQ22" i="35" s="1"/>
  <c r="BQ28" i="35" s="1"/>
  <c r="BQ35" i="35" s="1"/>
  <c r="BQ43" i="35" s="1"/>
  <c r="BI23" i="35"/>
  <c r="B22" i="35"/>
  <c r="C22" i="35" s="1"/>
  <c r="G14" i="35" s="1"/>
  <c r="B20" i="35"/>
  <c r="B21" i="35" s="1"/>
  <c r="AA15" i="35"/>
  <c r="W15" i="35"/>
  <c r="V15" i="35"/>
  <c r="Q15" i="35"/>
  <c r="P15" i="35"/>
  <c r="W14" i="35"/>
  <c r="V14" i="35"/>
  <c r="Q14" i="35"/>
  <c r="P14" i="35"/>
  <c r="W13" i="35"/>
  <c r="V13" i="35"/>
  <c r="Q13" i="35"/>
  <c r="P13" i="35"/>
  <c r="W12" i="35"/>
  <c r="V12" i="35"/>
  <c r="Q12" i="35"/>
  <c r="P12" i="35"/>
  <c r="Q11" i="35"/>
  <c r="P11" i="35"/>
  <c r="W10" i="35"/>
  <c r="V10" i="35"/>
  <c r="BQ9" i="35"/>
  <c r="BQ12" i="35" s="1"/>
  <c r="BQ16" i="35" s="1"/>
  <c r="BQ20" i="35" s="1"/>
  <c r="BQ26" i="35" s="1"/>
  <c r="BQ33" i="35" s="1"/>
  <c r="BQ41" i="35" s="1"/>
  <c r="BM9" i="35"/>
  <c r="BQ23" i="35" s="1"/>
  <c r="BQ29" i="35" s="1"/>
  <c r="BQ36" i="35" s="1"/>
  <c r="BQ44" i="35" s="1"/>
  <c r="W9" i="35"/>
  <c r="V9" i="35"/>
  <c r="Q9" i="35"/>
  <c r="P9" i="35"/>
  <c r="BQ8" i="35"/>
  <c r="BQ11" i="35" s="1"/>
  <c r="BQ15" i="35" s="1"/>
  <c r="BQ19" i="35" s="1"/>
  <c r="BQ25" i="35" s="1"/>
  <c r="BQ32" i="35" s="1"/>
  <c r="BQ40" i="35" s="1"/>
  <c r="W8" i="35"/>
  <c r="V8" i="35"/>
  <c r="Q8" i="35"/>
  <c r="P8" i="35"/>
  <c r="BM7" i="35"/>
  <c r="BQ13" i="35" s="1"/>
  <c r="BQ17" i="35" s="1"/>
  <c r="BQ21" i="35" s="1"/>
  <c r="BQ27" i="35" s="1"/>
  <c r="BQ34" i="35" s="1"/>
  <c r="BQ42" i="35" s="1"/>
  <c r="W7" i="35"/>
  <c r="V7" i="35"/>
  <c r="Q7" i="35"/>
  <c r="P7" i="35"/>
  <c r="BQ6" i="35"/>
  <c r="BM6" i="35"/>
  <c r="W6" i="35"/>
  <c r="V6" i="35"/>
  <c r="Q6" i="35"/>
  <c r="P6" i="35"/>
  <c r="BQ5" i="35"/>
  <c r="BQ7" i="35" s="1"/>
  <c r="BQ10" i="35" s="1"/>
  <c r="BQ14" i="35" s="1"/>
  <c r="BI49" i="35" s="1"/>
  <c r="BQ24" i="35" s="1"/>
  <c r="BQ31" i="35" s="1"/>
  <c r="BQ39" i="35" s="1"/>
  <c r="BM14" i="35" s="1"/>
  <c r="W5" i="35"/>
  <c r="V5" i="35"/>
  <c r="Q5" i="35"/>
  <c r="P5" i="35"/>
  <c r="W4" i="35"/>
  <c r="V4" i="35"/>
  <c r="Q4" i="35"/>
  <c r="P4" i="35"/>
  <c r="D3" i="35"/>
  <c r="Q1" i="35"/>
  <c r="P1" i="35"/>
  <c r="N1" i="35"/>
  <c r="N11" i="35" s="1"/>
  <c r="B36" i="42" l="1"/>
  <c r="B37" i="42"/>
  <c r="B38" i="42"/>
  <c r="BK42" i="41"/>
  <c r="BS39" i="41"/>
  <c r="BS19" i="41"/>
  <c r="BK9" i="41"/>
  <c r="BS45" i="41"/>
  <c r="BS44" i="41"/>
  <c r="BK25" i="41"/>
  <c r="BS36" i="41"/>
  <c r="BK49" i="41"/>
  <c r="BK18" i="41"/>
  <c r="BK26" i="41"/>
  <c r="H23" i="41"/>
  <c r="BS23" i="41"/>
  <c r="BS13" i="41"/>
  <c r="BK32" i="41"/>
  <c r="BK39" i="41"/>
  <c r="BS11" i="41"/>
  <c r="BK23" i="41"/>
  <c r="BS16" i="41"/>
  <c r="BS25" i="41"/>
  <c r="BO9" i="41"/>
  <c r="BS47" i="41"/>
  <c r="BS12" i="41"/>
  <c r="BS14" i="41"/>
  <c r="BK34" i="41"/>
  <c r="BK40" i="41"/>
  <c r="BK44" i="41"/>
  <c r="BK38" i="41"/>
  <c r="BS15" i="41"/>
  <c r="BK48" i="41"/>
  <c r="BS8" i="41"/>
  <c r="BS26" i="41"/>
  <c r="BK41" i="41"/>
  <c r="BS24" i="41"/>
  <c r="BS9" i="41"/>
  <c r="BS18" i="41"/>
  <c r="BK51" i="41"/>
  <c r="BK31" i="41"/>
  <c r="BK11" i="41"/>
  <c r="BK7" i="41"/>
  <c r="BK36" i="41"/>
  <c r="BS29" i="41"/>
  <c r="BS7" i="41"/>
  <c r="BK24" i="41"/>
  <c r="BK33" i="41"/>
  <c r="BK20" i="41"/>
  <c r="BS30" i="41"/>
  <c r="BO10" i="41"/>
  <c r="BO8" i="41"/>
  <c r="BK35" i="41"/>
  <c r="BK28" i="41"/>
  <c r="BK46" i="41"/>
  <c r="BS41" i="41"/>
  <c r="BK12" i="41"/>
  <c r="BS40" i="41"/>
  <c r="BS17" i="41"/>
  <c r="BK22" i="41"/>
  <c r="BS20" i="41"/>
  <c r="BK54" i="41"/>
  <c r="BS27" i="41"/>
  <c r="BS42" i="41"/>
  <c r="BK6" i="41"/>
  <c r="BK15" i="41"/>
  <c r="BK29" i="41"/>
  <c r="BS21" i="41"/>
  <c r="BS35" i="41"/>
  <c r="BS28" i="41"/>
  <c r="BS43" i="41"/>
  <c r="BS22" i="41"/>
  <c r="BO7" i="41"/>
  <c r="BK17" i="41"/>
  <c r="BK59" i="41"/>
  <c r="BK56" i="41"/>
  <c r="BK57" i="41"/>
  <c r="BO13" i="41"/>
  <c r="BK55" i="41"/>
  <c r="BK37" i="41"/>
  <c r="BK58" i="41"/>
  <c r="BK43" i="41"/>
  <c r="BK30" i="41"/>
  <c r="BK13" i="41"/>
  <c r="BK53" i="41"/>
  <c r="BK21" i="41"/>
  <c r="H37" i="41"/>
  <c r="BK52" i="41"/>
  <c r="BK47" i="41"/>
  <c r="BO14" i="41"/>
  <c r="H31" i="40"/>
  <c r="H34" i="40"/>
  <c r="H29" i="40"/>
  <c r="H33" i="40"/>
  <c r="H35" i="40"/>
  <c r="H30" i="40"/>
  <c r="L23" i="40"/>
  <c r="H26" i="40"/>
  <c r="H27" i="40"/>
  <c r="H28" i="40"/>
  <c r="H25" i="40"/>
  <c r="H44" i="40"/>
  <c r="BS29" i="40" s="1"/>
  <c r="H45" i="40"/>
  <c r="H46" i="40"/>
  <c r="H43" i="40"/>
  <c r="BS28" i="40" s="1"/>
  <c r="AS37" i="40"/>
  <c r="AS36" i="40" s="1"/>
  <c r="H48" i="40"/>
  <c r="H49" i="40"/>
  <c r="J39" i="40"/>
  <c r="H42" i="40" s="1"/>
  <c r="BS27" i="40" s="1"/>
  <c r="H47" i="40"/>
  <c r="AK18" i="39"/>
  <c r="L42" i="39" s="1"/>
  <c r="H47" i="39" s="1"/>
  <c r="AE18" i="39"/>
  <c r="L28" i="39" s="1"/>
  <c r="H34" i="39" s="1"/>
  <c r="H26" i="39"/>
  <c r="H27" i="39"/>
  <c r="H25" i="39"/>
  <c r="AS37" i="39"/>
  <c r="AS36" i="39" s="1"/>
  <c r="J39" i="39"/>
  <c r="J37" i="39" s="1"/>
  <c r="AK18" i="38"/>
  <c r="L42" i="38" s="1"/>
  <c r="H45" i="38" s="1"/>
  <c r="AE18" i="38"/>
  <c r="L28" i="38" s="1"/>
  <c r="H31" i="38" s="1"/>
  <c r="J37" i="38"/>
  <c r="H41" i="38"/>
  <c r="H40" i="38"/>
  <c r="H39" i="38"/>
  <c r="AS37" i="38"/>
  <c r="AS36" i="38" s="1"/>
  <c r="H26" i="38"/>
  <c r="H27" i="38"/>
  <c r="H25" i="38"/>
  <c r="E30" i="35"/>
  <c r="E23" i="35"/>
  <c r="B31" i="35"/>
  <c r="W25" i="35" s="1"/>
  <c r="C31" i="35"/>
  <c r="W39" i="35" s="1"/>
  <c r="G13" i="35"/>
  <c r="B23" i="35"/>
  <c r="C23" i="35" s="1"/>
  <c r="V11" i="35"/>
  <c r="R11" i="35"/>
  <c r="N8" i="35"/>
  <c r="R8" i="35" s="1"/>
  <c r="N7" i="35"/>
  <c r="R7" i="35" s="1"/>
  <c r="N13" i="35"/>
  <c r="R13" i="35" s="1"/>
  <c r="N10" i="35"/>
  <c r="R10" i="35" s="1"/>
  <c r="N4" i="35"/>
  <c r="R4" i="35" s="1"/>
  <c r="N14" i="35"/>
  <c r="R14" i="35" s="1"/>
  <c r="N15" i="35"/>
  <c r="N9" i="35"/>
  <c r="R9" i="35" s="1"/>
  <c r="N12" i="35"/>
  <c r="R12" i="35" s="1"/>
  <c r="W11" i="35"/>
  <c r="N5" i="35"/>
  <c r="R5" i="35" s="1"/>
  <c r="N6" i="35"/>
  <c r="R6" i="35" s="1"/>
  <c r="BF43" i="35"/>
  <c r="BF30" i="35"/>
  <c r="R15" i="35"/>
  <c r="AB15" i="35"/>
  <c r="D23" i="35"/>
  <c r="B37" i="41" l="1"/>
  <c r="B36" i="41"/>
  <c r="B38" i="41"/>
  <c r="BK59" i="40"/>
  <c r="BS44" i="40"/>
  <c r="BO10" i="40"/>
  <c r="BS46" i="40"/>
  <c r="BK21" i="40"/>
  <c r="BS36" i="40"/>
  <c r="BS18" i="40"/>
  <c r="BO9" i="40"/>
  <c r="BK41" i="40"/>
  <c r="BK24" i="40"/>
  <c r="BS43" i="40"/>
  <c r="BS23" i="40"/>
  <c r="BK47" i="40"/>
  <c r="BK32" i="40"/>
  <c r="BK25" i="40"/>
  <c r="BK52" i="40"/>
  <c r="BK17" i="40"/>
  <c r="BK57" i="40"/>
  <c r="BK36" i="40"/>
  <c r="BS35" i="40"/>
  <c r="BK55" i="40"/>
  <c r="BK18" i="40"/>
  <c r="BK29" i="40"/>
  <c r="BK42" i="40"/>
  <c r="BK38" i="40"/>
  <c r="BK7" i="40"/>
  <c r="BS34" i="40"/>
  <c r="BS17" i="40"/>
  <c r="H23" i="40"/>
  <c r="BS21" i="40"/>
  <c r="BK23" i="40"/>
  <c r="BS13" i="40"/>
  <c r="BK20" i="40"/>
  <c r="BK56" i="40"/>
  <c r="BO13" i="40"/>
  <c r="BK8" i="40"/>
  <c r="BS22" i="40"/>
  <c r="BK31" i="40"/>
  <c r="BK30" i="40"/>
  <c r="BS37" i="40"/>
  <c r="BK12" i="40"/>
  <c r="BK11" i="40"/>
  <c r="BK28" i="40"/>
  <c r="BK58" i="40"/>
  <c r="BK16" i="40"/>
  <c r="BK46" i="40"/>
  <c r="BK26" i="40"/>
  <c r="BS30" i="40"/>
  <c r="BK44" i="40"/>
  <c r="BK34" i="40"/>
  <c r="BS38" i="40"/>
  <c r="BK22" i="40"/>
  <c r="BK54" i="40"/>
  <c r="BK45" i="40"/>
  <c r="BK19" i="40"/>
  <c r="BK43" i="40"/>
  <c r="BK53" i="40"/>
  <c r="BS45" i="40"/>
  <c r="BK35" i="40"/>
  <c r="BK39" i="40"/>
  <c r="BK9" i="40"/>
  <c r="BK33" i="40"/>
  <c r="BK13" i="40"/>
  <c r="BK27" i="40"/>
  <c r="BK40" i="40"/>
  <c r="BK10" i="40"/>
  <c r="BK50" i="40"/>
  <c r="BO11" i="40"/>
  <c r="BS47" i="40"/>
  <c r="BK48" i="40"/>
  <c r="BO7" i="40"/>
  <c r="BS42" i="40"/>
  <c r="J37" i="40"/>
  <c r="H39" i="40"/>
  <c r="BK6" i="40"/>
  <c r="BK51" i="40"/>
  <c r="BK15" i="40"/>
  <c r="H41" i="40"/>
  <c r="BO8" i="40"/>
  <c r="BK37" i="40"/>
  <c r="BO14" i="40"/>
  <c r="BO12" i="40"/>
  <c r="H40" i="40"/>
  <c r="H43" i="39"/>
  <c r="BK7" i="39" s="1"/>
  <c r="H48" i="39"/>
  <c r="BK21" i="39" s="1"/>
  <c r="H44" i="39"/>
  <c r="BK8" i="39" s="1"/>
  <c r="H49" i="39"/>
  <c r="BK30" i="39" s="1"/>
  <c r="H46" i="39"/>
  <c r="H45" i="39"/>
  <c r="BK18" i="39" s="1"/>
  <c r="L37" i="39"/>
  <c r="H33" i="39"/>
  <c r="H31" i="39"/>
  <c r="H30" i="39"/>
  <c r="L23" i="39"/>
  <c r="H32" i="39"/>
  <c r="H35" i="39"/>
  <c r="H29" i="39"/>
  <c r="BK41" i="39" s="1"/>
  <c r="H28" i="39"/>
  <c r="H39" i="39"/>
  <c r="BS4" i="39" s="1"/>
  <c r="H41" i="39"/>
  <c r="BK11" i="39"/>
  <c r="BK28" i="39"/>
  <c r="BK20" i="39"/>
  <c r="H40" i="39"/>
  <c r="BS47" i="39"/>
  <c r="H42" i="39"/>
  <c r="H34" i="38"/>
  <c r="BS45" i="38" s="1"/>
  <c r="H48" i="38"/>
  <c r="BK52" i="38" s="1"/>
  <c r="H29" i="38"/>
  <c r="BK39" i="38" s="1"/>
  <c r="H44" i="38"/>
  <c r="BS23" i="38" s="1"/>
  <c r="L23" i="38"/>
  <c r="H33" i="38"/>
  <c r="L37" i="38"/>
  <c r="H30" i="38"/>
  <c r="BK44" i="38" s="1"/>
  <c r="H49" i="38"/>
  <c r="BK30" i="38" s="1"/>
  <c r="H32" i="38"/>
  <c r="H28" i="38"/>
  <c r="BS8" i="38" s="1"/>
  <c r="H35" i="38"/>
  <c r="BO10" i="38"/>
  <c r="H42" i="38"/>
  <c r="BS21" i="38" s="1"/>
  <c r="H46" i="38"/>
  <c r="BK50" i="38" s="1"/>
  <c r="H47" i="38"/>
  <c r="BK51" i="38" s="1"/>
  <c r="H43" i="38"/>
  <c r="BS22" i="38" s="1"/>
  <c r="BK49" i="38"/>
  <c r="BK9" i="38"/>
  <c r="BO4" i="38"/>
  <c r="BK4" i="38"/>
  <c r="BK5" i="38"/>
  <c r="BS19" i="38"/>
  <c r="BK26" i="38"/>
  <c r="BO6" i="38"/>
  <c r="BS5" i="38"/>
  <c r="BS6" i="38"/>
  <c r="BK14" i="38"/>
  <c r="BS4" i="38"/>
  <c r="BK18" i="38"/>
  <c r="BO5" i="38"/>
  <c r="BS20" i="38"/>
  <c r="B34" i="35"/>
  <c r="T40" i="35"/>
  <c r="T49" i="35"/>
  <c r="T42" i="35"/>
  <c r="T39" i="35"/>
  <c r="T41" i="35"/>
  <c r="T47" i="35"/>
  <c r="T43" i="35"/>
  <c r="T44" i="35"/>
  <c r="T45" i="35"/>
  <c r="T48" i="35"/>
  <c r="T46" i="35"/>
  <c r="T26" i="35"/>
  <c r="T35" i="35"/>
  <c r="T33" i="35"/>
  <c r="T30" i="35"/>
  <c r="C24" i="35"/>
  <c r="N40" i="35" s="1"/>
  <c r="P40" i="35" s="1"/>
  <c r="T28" i="35"/>
  <c r="T34" i="35"/>
  <c r="T25" i="35"/>
  <c r="T32" i="35"/>
  <c r="T27" i="35"/>
  <c r="T29" i="35"/>
  <c r="C34" i="35"/>
  <c r="T31" i="35"/>
  <c r="B24" i="35"/>
  <c r="N25" i="35" s="1"/>
  <c r="R2" i="35"/>
  <c r="N2" i="35"/>
  <c r="W16" i="32"/>
  <c r="V16" i="32"/>
  <c r="U16" i="32"/>
  <c r="T16" i="32"/>
  <c r="X16" i="32" s="1"/>
  <c r="BS11" i="40" l="1"/>
  <c r="BS25" i="40"/>
  <c r="BO5" i="40"/>
  <c r="BS32" i="40"/>
  <c r="BS15" i="40"/>
  <c r="BS19" i="40"/>
  <c r="BS6" i="40"/>
  <c r="BS8" i="40"/>
  <c r="BS40" i="40"/>
  <c r="BK4" i="40"/>
  <c r="H37" i="40"/>
  <c r="BS39" i="40"/>
  <c r="BS31" i="40"/>
  <c r="BS5" i="40"/>
  <c r="BS14" i="40"/>
  <c r="BS10" i="40"/>
  <c r="BS4" i="40"/>
  <c r="BO4" i="40"/>
  <c r="BS7" i="40"/>
  <c r="BS24" i="40"/>
  <c r="BK49" i="40"/>
  <c r="BK14" i="40"/>
  <c r="BS33" i="40"/>
  <c r="BS20" i="40"/>
  <c r="BK5" i="40"/>
  <c r="BS9" i="40"/>
  <c r="BO6" i="40"/>
  <c r="BS12" i="40"/>
  <c r="BS41" i="40"/>
  <c r="BS16" i="40"/>
  <c r="BS26" i="40"/>
  <c r="BK29" i="39"/>
  <c r="BK47" i="39"/>
  <c r="BK16" i="39"/>
  <c r="BK33" i="39"/>
  <c r="BK24" i="39"/>
  <c r="BS28" i="39"/>
  <c r="BS43" i="39"/>
  <c r="BK9" i="39"/>
  <c r="BK26" i="39"/>
  <c r="BS45" i="39"/>
  <c r="BO13" i="39"/>
  <c r="BO10" i="39"/>
  <c r="BK12" i="39"/>
  <c r="BS44" i="39"/>
  <c r="BK25" i="39"/>
  <c r="BS23" i="39"/>
  <c r="BO14" i="39"/>
  <c r="BK50" i="39"/>
  <c r="BK40" i="39"/>
  <c r="BK42" i="39"/>
  <c r="BK38" i="39"/>
  <c r="BK13" i="39"/>
  <c r="BK17" i="39"/>
  <c r="BK55" i="39"/>
  <c r="BK59" i="39"/>
  <c r="BK19" i="39"/>
  <c r="BK27" i="39"/>
  <c r="BK10" i="39"/>
  <c r="BS30" i="39"/>
  <c r="BK53" i="39"/>
  <c r="BS46" i="39"/>
  <c r="BK22" i="39"/>
  <c r="BS29" i="39"/>
  <c r="BS36" i="39"/>
  <c r="BK39" i="39"/>
  <c r="BK56" i="39"/>
  <c r="BK36" i="39"/>
  <c r="BO8" i="39"/>
  <c r="BK37" i="39"/>
  <c r="BS37" i="39"/>
  <c r="BK57" i="39"/>
  <c r="BK35" i="39"/>
  <c r="BS35" i="39"/>
  <c r="BS38" i="39"/>
  <c r="BO4" i="39"/>
  <c r="BK58" i="39"/>
  <c r="BK43" i="39"/>
  <c r="BK54" i="39"/>
  <c r="BO12" i="39"/>
  <c r="BS34" i="39"/>
  <c r="BS32" i="39"/>
  <c r="BS31" i="39"/>
  <c r="BS26" i="39"/>
  <c r="BK51" i="39"/>
  <c r="BS7" i="39"/>
  <c r="BO9" i="39"/>
  <c r="BK44" i="39"/>
  <c r="BK45" i="39"/>
  <c r="BK52" i="39"/>
  <c r="BK32" i="39"/>
  <c r="BS18" i="39"/>
  <c r="BS22" i="39"/>
  <c r="BK31" i="39"/>
  <c r="BK46" i="39"/>
  <c r="H23" i="39"/>
  <c r="BS41" i="39"/>
  <c r="BK49" i="39"/>
  <c r="BK34" i="39"/>
  <c r="BK48" i="39"/>
  <c r="BO11" i="39"/>
  <c r="BO5" i="39"/>
  <c r="BS9" i="39"/>
  <c r="BS24" i="39"/>
  <c r="BS14" i="39"/>
  <c r="BS12" i="39"/>
  <c r="BK5" i="39"/>
  <c r="BK14" i="39"/>
  <c r="BO6" i="39"/>
  <c r="BS33" i="39"/>
  <c r="BS20" i="39"/>
  <c r="BS16" i="39"/>
  <c r="BS39" i="39"/>
  <c r="BS10" i="39"/>
  <c r="BS5" i="39"/>
  <c r="BS11" i="39"/>
  <c r="BS40" i="39"/>
  <c r="BS13" i="39"/>
  <c r="BS25" i="39"/>
  <c r="BS21" i="39"/>
  <c r="H37" i="39"/>
  <c r="BS42" i="39"/>
  <c r="BS19" i="39"/>
  <c r="BS15" i="39"/>
  <c r="BS6" i="39"/>
  <c r="BK6" i="39"/>
  <c r="BK15" i="39"/>
  <c r="BS8" i="39"/>
  <c r="BS17" i="39"/>
  <c r="BK23" i="39"/>
  <c r="BS27" i="39"/>
  <c r="BO7" i="39"/>
  <c r="BK4" i="39"/>
  <c r="BK22" i="38"/>
  <c r="BK53" i="38"/>
  <c r="BK59" i="38"/>
  <c r="BK56" i="38"/>
  <c r="BK13" i="38"/>
  <c r="BK17" i="38"/>
  <c r="BS25" i="38"/>
  <c r="BK8" i="38"/>
  <c r="BS39" i="38"/>
  <c r="BS40" i="38"/>
  <c r="BS41" i="38"/>
  <c r="BS44" i="38"/>
  <c r="BK38" i="38"/>
  <c r="BS11" i="38"/>
  <c r="BK57" i="38"/>
  <c r="BS12" i="38"/>
  <c r="BK43" i="38"/>
  <c r="BS7" i="38"/>
  <c r="BK32" i="38"/>
  <c r="BS24" i="38"/>
  <c r="BO14" i="38"/>
  <c r="BK37" i="38"/>
  <c r="BS34" i="38"/>
  <c r="BK55" i="38"/>
  <c r="BS36" i="38"/>
  <c r="BK25" i="38"/>
  <c r="BS29" i="38"/>
  <c r="BS42" i="38"/>
  <c r="BS10" i="38"/>
  <c r="BS30" i="38"/>
  <c r="BK33" i="38"/>
  <c r="BS9" i="38"/>
  <c r="BS14" i="38"/>
  <c r="BS33" i="38"/>
  <c r="BS37" i="38"/>
  <c r="BK12" i="38"/>
  <c r="BS26" i="38"/>
  <c r="BK47" i="38"/>
  <c r="BK58" i="38"/>
  <c r="BS15" i="38"/>
  <c r="BK36" i="38"/>
  <c r="BS31" i="38"/>
  <c r="BK42" i="38"/>
  <c r="BO9" i="38"/>
  <c r="BO13" i="38"/>
  <c r="BK48" i="38"/>
  <c r="BS32" i="38"/>
  <c r="BS16" i="38"/>
  <c r="BK21" i="38"/>
  <c r="BK29" i="38"/>
  <c r="H23" i="38"/>
  <c r="BK24" i="38"/>
  <c r="BS43" i="38"/>
  <c r="BS28" i="38"/>
  <c r="BS18" i="38"/>
  <c r="BO8" i="38"/>
  <c r="BK31" i="38"/>
  <c r="BK16" i="38"/>
  <c r="BS35" i="38"/>
  <c r="BK7" i="38"/>
  <c r="BK10" i="38"/>
  <c r="BK15" i="38"/>
  <c r="BS38" i="38"/>
  <c r="BK27" i="38"/>
  <c r="BS46" i="38"/>
  <c r="BK40" i="38"/>
  <c r="BK20" i="38"/>
  <c r="BK28" i="38"/>
  <c r="BK41" i="38"/>
  <c r="BK35" i="38"/>
  <c r="BO7" i="38"/>
  <c r="BO11" i="38"/>
  <c r="BK19" i="38"/>
  <c r="BK23" i="38"/>
  <c r="BS13" i="38"/>
  <c r="BK6" i="38"/>
  <c r="BK46" i="38"/>
  <c r="H37" i="38"/>
  <c r="BS47" i="38"/>
  <c r="BK54" i="38"/>
  <c r="BS27" i="38"/>
  <c r="BK45" i="38"/>
  <c r="BO12" i="38"/>
  <c r="BS17" i="38"/>
  <c r="BK34" i="38"/>
  <c r="BK11" i="38"/>
  <c r="N39" i="35"/>
  <c r="P39" i="35" s="1"/>
  <c r="N42" i="35"/>
  <c r="P42" i="35" s="1"/>
  <c r="N44" i="35"/>
  <c r="P44" i="35" s="1"/>
  <c r="R49" i="35" s="1"/>
  <c r="N41" i="35"/>
  <c r="P41" i="35" s="1"/>
  <c r="N43" i="35"/>
  <c r="P43" i="35" s="1"/>
  <c r="N30" i="35"/>
  <c r="P30" i="35" s="1"/>
  <c r="R35" i="35" s="1"/>
  <c r="N29" i="35"/>
  <c r="P29" i="35" s="1"/>
  <c r="N27" i="35"/>
  <c r="P27" i="35" s="1"/>
  <c r="N28" i="35"/>
  <c r="P28" i="35" s="1"/>
  <c r="S9" i="35"/>
  <c r="T9" i="35" s="1"/>
  <c r="X9" i="35" s="1"/>
  <c r="AA8" i="35" s="1"/>
  <c r="T37" i="35"/>
  <c r="N26" i="35"/>
  <c r="P26" i="35" s="1"/>
  <c r="T23" i="35"/>
  <c r="S12" i="35"/>
  <c r="U12" i="35" s="1"/>
  <c r="Y12" i="35" s="1"/>
  <c r="AG12" i="35" s="1"/>
  <c r="S8" i="35"/>
  <c r="T8" i="35" s="1"/>
  <c r="X8" i="35" s="1"/>
  <c r="AA7" i="35" s="1"/>
  <c r="S13" i="35"/>
  <c r="T13" i="35" s="1"/>
  <c r="X13" i="35" s="1"/>
  <c r="AA12" i="35" s="1"/>
  <c r="S11" i="35"/>
  <c r="S15" i="35"/>
  <c r="S5" i="35"/>
  <c r="P25" i="35"/>
  <c r="S4" i="35"/>
  <c r="S6" i="35"/>
  <c r="U9" i="35"/>
  <c r="Y9" i="35" s="1"/>
  <c r="AG9" i="35" s="1"/>
  <c r="S7" i="35"/>
  <c r="S10" i="35"/>
  <c r="S14" i="35"/>
  <c r="R16" i="32"/>
  <c r="U15" i="32"/>
  <c r="V15" i="32" s="1"/>
  <c r="T15" i="32"/>
  <c r="R15" i="32"/>
  <c r="U14" i="32"/>
  <c r="T14" i="32"/>
  <c r="R14" i="32"/>
  <c r="U13" i="32"/>
  <c r="T13" i="32"/>
  <c r="R13" i="32"/>
  <c r="U12" i="32"/>
  <c r="T12" i="32"/>
  <c r="R12" i="32"/>
  <c r="R11" i="32"/>
  <c r="V11" i="32" s="1"/>
  <c r="U10" i="32"/>
  <c r="T10" i="32"/>
  <c r="R10" i="32"/>
  <c r="U9" i="32"/>
  <c r="T9" i="32"/>
  <c r="R9" i="32"/>
  <c r="U8" i="32"/>
  <c r="T8" i="32"/>
  <c r="R8" i="32"/>
  <c r="U7" i="32"/>
  <c r="T7" i="32"/>
  <c r="R7" i="32"/>
  <c r="U6" i="32"/>
  <c r="T6" i="32"/>
  <c r="R6" i="32"/>
  <c r="U5" i="32"/>
  <c r="T5" i="32"/>
  <c r="R5" i="32"/>
  <c r="R3" i="32" s="1"/>
  <c r="U2" i="32"/>
  <c r="T2" i="32"/>
  <c r="R2" i="32"/>
  <c r="Q1" i="31"/>
  <c r="P1" i="31"/>
  <c r="P15" i="31"/>
  <c r="Q6" i="31"/>
  <c r="E11" i="32"/>
  <c r="E12" i="32"/>
  <c r="E13" i="32"/>
  <c r="E14" i="32"/>
  <c r="B27" i="32" s="1"/>
  <c r="C33" i="32" s="1"/>
  <c r="D33" i="32" s="1"/>
  <c r="E33" i="32" s="1"/>
  <c r="E7" i="32"/>
  <c r="E8" i="32"/>
  <c r="E4" i="32"/>
  <c r="E5" i="32"/>
  <c r="E6" i="32"/>
  <c r="E3" i="32"/>
  <c r="B36" i="40" l="1"/>
  <c r="B37" i="40"/>
  <c r="B38" i="40"/>
  <c r="B36" i="39"/>
  <c r="B38" i="39"/>
  <c r="B37" i="39"/>
  <c r="B37" i="38"/>
  <c r="B36" i="38"/>
  <c r="B38" i="38"/>
  <c r="R41" i="35"/>
  <c r="R45" i="35"/>
  <c r="R48" i="35"/>
  <c r="R34" i="35"/>
  <c r="N37" i="35"/>
  <c r="R46" i="35"/>
  <c r="R32" i="35"/>
  <c r="R47" i="35"/>
  <c r="N23" i="35"/>
  <c r="R33" i="35"/>
  <c r="R31" i="35"/>
  <c r="U13" i="35"/>
  <c r="Y13" i="35" s="1"/>
  <c r="AG13" i="35" s="1"/>
  <c r="AH13" i="35" s="1"/>
  <c r="T12" i="35"/>
  <c r="X12" i="35" s="1"/>
  <c r="AA11" i="35" s="1"/>
  <c r="AB11" i="35" s="1"/>
  <c r="U8" i="35"/>
  <c r="Y8" i="35" s="1"/>
  <c r="AG8" i="35" s="1"/>
  <c r="AH8" i="35" s="1"/>
  <c r="T10" i="35"/>
  <c r="X10" i="35" s="1"/>
  <c r="AA9" i="35" s="1"/>
  <c r="U10" i="35"/>
  <c r="Y10" i="35" s="1"/>
  <c r="AG10" i="35" s="1"/>
  <c r="R26" i="35"/>
  <c r="R25" i="35"/>
  <c r="R29" i="35"/>
  <c r="R27" i="35"/>
  <c r="P23" i="35"/>
  <c r="R28" i="35"/>
  <c r="R30" i="35"/>
  <c r="U5" i="35"/>
  <c r="Y5" i="35" s="1"/>
  <c r="AG5" i="35" s="1"/>
  <c r="T5" i="35"/>
  <c r="X5" i="35" s="1"/>
  <c r="AA4" i="35" s="1"/>
  <c r="AH12" i="35"/>
  <c r="U15" i="35"/>
  <c r="Y15" i="35" s="1"/>
  <c r="AG15" i="35" s="1"/>
  <c r="T15" i="35"/>
  <c r="X15" i="35" s="1"/>
  <c r="AA14" i="35" s="1"/>
  <c r="R43" i="35"/>
  <c r="AH9" i="35"/>
  <c r="R44" i="35"/>
  <c r="U11" i="35"/>
  <c r="Y11" i="35" s="1"/>
  <c r="AG11" i="35" s="1"/>
  <c r="T11" i="35"/>
  <c r="X11" i="35" s="1"/>
  <c r="AA10" i="35" s="1"/>
  <c r="AB8" i="35"/>
  <c r="AB7" i="35"/>
  <c r="P37" i="35"/>
  <c r="R39" i="35"/>
  <c r="R42" i="35"/>
  <c r="U6" i="35"/>
  <c r="Y6" i="35" s="1"/>
  <c r="AG6" i="35" s="1"/>
  <c r="T6" i="35"/>
  <c r="X6" i="35" s="1"/>
  <c r="AA5" i="35" s="1"/>
  <c r="T14" i="35"/>
  <c r="X14" i="35" s="1"/>
  <c r="AA13" i="35" s="1"/>
  <c r="U14" i="35"/>
  <c r="Y14" i="35" s="1"/>
  <c r="AG14" i="35" s="1"/>
  <c r="U7" i="35"/>
  <c r="Y7" i="35" s="1"/>
  <c r="AG7" i="35" s="1"/>
  <c r="T7" i="35"/>
  <c r="X7" i="35" s="1"/>
  <c r="AA6" i="35" s="1"/>
  <c r="AB12" i="35"/>
  <c r="S2" i="35"/>
  <c r="U4" i="35"/>
  <c r="T4" i="35"/>
  <c r="R40" i="35"/>
  <c r="V14" i="32"/>
  <c r="V9" i="32"/>
  <c r="V13" i="32"/>
  <c r="V10" i="32"/>
  <c r="V8" i="32"/>
  <c r="V12" i="32"/>
  <c r="V6" i="32"/>
  <c r="V7" i="32"/>
  <c r="V5" i="32"/>
  <c r="B26" i="32"/>
  <c r="C26" i="32" s="1"/>
  <c r="D26" i="32" s="1"/>
  <c r="E26" i="32" s="1"/>
  <c r="F26" i="32" s="1"/>
  <c r="B19" i="32"/>
  <c r="C19" i="32" s="1"/>
  <c r="D19" i="32" s="1"/>
  <c r="E19" i="32" s="1"/>
  <c r="F19" i="32" s="1"/>
  <c r="B25" i="32"/>
  <c r="F25" i="32" s="1"/>
  <c r="D17" i="32"/>
  <c r="C25" i="32"/>
  <c r="D25" i="32" s="1"/>
  <c r="E25" i="32" s="1"/>
  <c r="C32" i="32"/>
  <c r="D32" i="32" s="1"/>
  <c r="E32" i="32" s="1"/>
  <c r="C27" i="32"/>
  <c r="D27" i="32" s="1"/>
  <c r="E27" i="32" s="1"/>
  <c r="F27" i="32" s="1"/>
  <c r="BF48" i="31"/>
  <c r="BF47" i="31"/>
  <c r="BE45" i="31"/>
  <c r="BF46" i="31" s="1"/>
  <c r="BE44" i="31"/>
  <c r="BF45" i="31" s="1"/>
  <c r="BD44" i="31"/>
  <c r="BE43" i="31"/>
  <c r="BF44" i="31" s="1"/>
  <c r="BD43" i="31"/>
  <c r="BC43" i="31"/>
  <c r="BE42" i="31"/>
  <c r="BD42" i="31"/>
  <c r="BC42" i="31"/>
  <c r="BF41" i="31"/>
  <c r="BE41" i="31"/>
  <c r="BF42" i="31" s="1"/>
  <c r="BD41" i="31"/>
  <c r="BC41" i="31"/>
  <c r="BF40" i="31"/>
  <c r="BE40" i="31"/>
  <c r="BD40" i="31"/>
  <c r="BC40" i="31"/>
  <c r="BC39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BF34" i="31"/>
  <c r="BF33" i="31"/>
  <c r="C32" i="31"/>
  <c r="B32" i="31"/>
  <c r="BE31" i="31"/>
  <c r="BF32" i="31" s="1"/>
  <c r="BI30" i="31"/>
  <c r="BI37" i="31" s="1"/>
  <c r="BI43" i="31" s="1"/>
  <c r="BI48" i="31" s="1"/>
  <c r="BI53" i="31" s="1"/>
  <c r="BI56" i="31" s="1"/>
  <c r="BI58" i="31" s="1"/>
  <c r="BI59" i="31" s="1"/>
  <c r="BE30" i="31"/>
  <c r="BF31" i="31" s="1"/>
  <c r="BD30" i="31"/>
  <c r="E30" i="31"/>
  <c r="D30" i="31"/>
  <c r="BI29" i="31"/>
  <c r="BI36" i="31" s="1"/>
  <c r="BI42" i="31" s="1"/>
  <c r="BI47" i="31" s="1"/>
  <c r="BI52" i="31" s="1"/>
  <c r="BI55" i="31" s="1"/>
  <c r="BI57" i="31" s="1"/>
  <c r="BM13" i="31" s="1"/>
  <c r="BE29" i="31"/>
  <c r="BD29" i="31"/>
  <c r="BC29" i="31"/>
  <c r="C29" i="31"/>
  <c r="B29" i="31"/>
  <c r="BI28" i="31"/>
  <c r="BI35" i="31" s="1"/>
  <c r="BI41" i="31" s="1"/>
  <c r="BI46" i="31" s="1"/>
  <c r="BI51" i="31" s="1"/>
  <c r="BI54" i="31" s="1"/>
  <c r="BM12" i="31" s="1"/>
  <c r="BQ47" i="31" s="1"/>
  <c r="BE28" i="31"/>
  <c r="BF29" i="31" s="1"/>
  <c r="BD28" i="31"/>
  <c r="BC28" i="31"/>
  <c r="BI27" i="31"/>
  <c r="BI34" i="31" s="1"/>
  <c r="BI40" i="31" s="1"/>
  <c r="BI45" i="31" s="1"/>
  <c r="BI50" i="31" s="1"/>
  <c r="BF27" i="31"/>
  <c r="BE27" i="31"/>
  <c r="BF28" i="31" s="1"/>
  <c r="BD27" i="31"/>
  <c r="BC27" i="31"/>
  <c r="C27" i="31"/>
  <c r="B27" i="31"/>
  <c r="BI26" i="31"/>
  <c r="BI33" i="31" s="1"/>
  <c r="BI39" i="31" s="1"/>
  <c r="BI44" i="31" s="1"/>
  <c r="BM10" i="31" s="1"/>
  <c r="BQ30" i="31" s="1"/>
  <c r="BQ37" i="31" s="1"/>
  <c r="BQ45" i="31" s="1"/>
  <c r="BF26" i="31"/>
  <c r="BE26" i="31"/>
  <c r="BD26" i="31"/>
  <c r="BC26" i="31"/>
  <c r="E26" i="31"/>
  <c r="E27" i="31" s="1"/>
  <c r="D26" i="31"/>
  <c r="C26" i="31"/>
  <c r="B26" i="31"/>
  <c r="BI25" i="31"/>
  <c r="BI32" i="31" s="1"/>
  <c r="BI38" i="31" s="1"/>
  <c r="BM9" i="31" s="1"/>
  <c r="BQ23" i="31" s="1"/>
  <c r="BQ29" i="31" s="1"/>
  <c r="BQ36" i="31" s="1"/>
  <c r="BQ44" i="31" s="1"/>
  <c r="BC25" i="31"/>
  <c r="E25" i="31"/>
  <c r="D25" i="31"/>
  <c r="C25" i="31"/>
  <c r="B25" i="31"/>
  <c r="BI24" i="31"/>
  <c r="BI31" i="31" s="1"/>
  <c r="BM8" i="31" s="1"/>
  <c r="BI23" i="31"/>
  <c r="B22" i="31"/>
  <c r="C22" i="31" s="1"/>
  <c r="B20" i="31"/>
  <c r="B21" i="31" s="1"/>
  <c r="BQ18" i="31"/>
  <c r="BQ22" i="31" s="1"/>
  <c r="BQ28" i="31" s="1"/>
  <c r="BQ35" i="31" s="1"/>
  <c r="BQ43" i="31" s="1"/>
  <c r="W15" i="31"/>
  <c r="V15" i="31"/>
  <c r="Q15" i="31"/>
  <c r="R15" i="31" s="1"/>
  <c r="W14" i="31"/>
  <c r="V14" i="31"/>
  <c r="Q14" i="31"/>
  <c r="P14" i="31"/>
  <c r="BQ13" i="31"/>
  <c r="BQ17" i="31" s="1"/>
  <c r="BQ21" i="31" s="1"/>
  <c r="BQ27" i="31" s="1"/>
  <c r="BQ34" i="31" s="1"/>
  <c r="BQ42" i="31" s="1"/>
  <c r="Q13" i="31"/>
  <c r="P13" i="31"/>
  <c r="W12" i="31"/>
  <c r="V12" i="31"/>
  <c r="Q12" i="31"/>
  <c r="P12" i="31"/>
  <c r="BM11" i="31"/>
  <c r="BQ38" i="31" s="1"/>
  <c r="BQ46" i="31" s="1"/>
  <c r="W10" i="31"/>
  <c r="V10" i="31"/>
  <c r="W9" i="31"/>
  <c r="V9" i="31"/>
  <c r="Q9" i="31"/>
  <c r="P9" i="31"/>
  <c r="W8" i="31"/>
  <c r="V8" i="31"/>
  <c r="Q8" i="31"/>
  <c r="P8" i="31"/>
  <c r="BM7" i="31"/>
  <c r="W7" i="31"/>
  <c r="V7" i="31"/>
  <c r="Q7" i="31"/>
  <c r="P7" i="31"/>
  <c r="BQ6" i="31"/>
  <c r="BQ8" i="31" s="1"/>
  <c r="BQ11" i="31" s="1"/>
  <c r="BQ15" i="31" s="1"/>
  <c r="BQ19" i="31" s="1"/>
  <c r="BQ25" i="31" s="1"/>
  <c r="BQ32" i="31" s="1"/>
  <c r="BQ40" i="31" s="1"/>
  <c r="BM6" i="31"/>
  <c r="BQ9" i="31" s="1"/>
  <c r="BQ12" i="31" s="1"/>
  <c r="BQ16" i="31" s="1"/>
  <c r="BQ20" i="31" s="1"/>
  <c r="BQ26" i="31" s="1"/>
  <c r="BQ33" i="31" s="1"/>
  <c r="BQ41" i="31" s="1"/>
  <c r="W6" i="31"/>
  <c r="V6" i="31"/>
  <c r="P6" i="31"/>
  <c r="BQ5" i="31"/>
  <c r="BQ7" i="31" s="1"/>
  <c r="BQ10" i="31" s="1"/>
  <c r="BQ14" i="31" s="1"/>
  <c r="BI49" i="31" s="1"/>
  <c r="BQ24" i="31" s="1"/>
  <c r="BQ31" i="31" s="1"/>
  <c r="BQ39" i="31" s="1"/>
  <c r="BM14" i="31" s="1"/>
  <c r="W5" i="31"/>
  <c r="V5" i="31"/>
  <c r="Q5" i="31"/>
  <c r="P5" i="31"/>
  <c r="W4" i="31"/>
  <c r="V4" i="31"/>
  <c r="Q4" i="31"/>
  <c r="P4" i="31"/>
  <c r="D3" i="31"/>
  <c r="N1" i="31"/>
  <c r="N11" i="31" s="1"/>
  <c r="BF43" i="31" l="1"/>
  <c r="BF30" i="31"/>
  <c r="E23" i="31"/>
  <c r="N5" i="31"/>
  <c r="R5" i="31" s="1"/>
  <c r="N12" i="31"/>
  <c r="R12" i="31" s="1"/>
  <c r="N4" i="31"/>
  <c r="R4" i="31" s="1"/>
  <c r="N7" i="31"/>
  <c r="N6" i="31"/>
  <c r="V27" i="35"/>
  <c r="AC25" i="35" s="1"/>
  <c r="AB10" i="35"/>
  <c r="AH15" i="35"/>
  <c r="V40" i="35"/>
  <c r="AH7" i="35"/>
  <c r="AH11" i="35"/>
  <c r="R37" i="35"/>
  <c r="V39" i="35"/>
  <c r="V47" i="35"/>
  <c r="V46" i="35"/>
  <c r="V45" i="35"/>
  <c r="V44" i="35"/>
  <c r="V43" i="35"/>
  <c r="V48" i="35"/>
  <c r="U2" i="35"/>
  <c r="Y4" i="35"/>
  <c r="AB13" i="35"/>
  <c r="AH6" i="35"/>
  <c r="V25" i="35"/>
  <c r="R23" i="35"/>
  <c r="V31" i="35"/>
  <c r="V30" i="35"/>
  <c r="V32" i="35"/>
  <c r="V33" i="35"/>
  <c r="V29" i="35"/>
  <c r="V34" i="35"/>
  <c r="AB4" i="35"/>
  <c r="V26" i="35"/>
  <c r="AB6" i="35"/>
  <c r="AH14" i="35"/>
  <c r="AH5" i="35"/>
  <c r="AH10" i="35"/>
  <c r="T2" i="35"/>
  <c r="X4" i="35"/>
  <c r="X2" i="35" s="1"/>
  <c r="AB9" i="35"/>
  <c r="AB5" i="35"/>
  <c r="V42" i="35"/>
  <c r="AB14" i="35"/>
  <c r="V28" i="35"/>
  <c r="V41" i="35"/>
  <c r="V3" i="32"/>
  <c r="C31" i="32"/>
  <c r="D31" i="32" s="1"/>
  <c r="E31" i="32" s="1"/>
  <c r="B23" i="31"/>
  <c r="G14" i="31"/>
  <c r="G13" i="31"/>
  <c r="R6" i="31"/>
  <c r="R11" i="31"/>
  <c r="N9" i="31"/>
  <c r="R9" i="31" s="1"/>
  <c r="D27" i="31"/>
  <c r="D23" i="31" s="1"/>
  <c r="N10" i="31"/>
  <c r="R10" i="31" s="1"/>
  <c r="C31" i="31"/>
  <c r="W39" i="31" s="1"/>
  <c r="R7" i="31"/>
  <c r="N15" i="31"/>
  <c r="N14" i="31"/>
  <c r="R14" i="31" s="1"/>
  <c r="N13" i="31"/>
  <c r="R13" i="31" s="1"/>
  <c r="N8" i="31"/>
  <c r="B24" i="31" l="1"/>
  <c r="N30" i="31" s="1"/>
  <c r="P30" i="31" s="1"/>
  <c r="R35" i="31" s="1"/>
  <c r="C23" i="31"/>
  <c r="N26" i="31"/>
  <c r="P26" i="31" s="1"/>
  <c r="B34" i="31"/>
  <c r="N2" i="31"/>
  <c r="AD13" i="35"/>
  <c r="AC26" i="35"/>
  <c r="AC27" i="35"/>
  <c r="AD12" i="35"/>
  <c r="AC4" i="35"/>
  <c r="AD5" i="35"/>
  <c r="AD9" i="35"/>
  <c r="AD8" i="35"/>
  <c r="AC13" i="35"/>
  <c r="AD4" i="35"/>
  <c r="AI29" i="35"/>
  <c r="AI30" i="35"/>
  <c r="AI28" i="35"/>
  <c r="AI26" i="35"/>
  <c r="AI25" i="35"/>
  <c r="AI27" i="35"/>
  <c r="AK44" i="35"/>
  <c r="AK39" i="35"/>
  <c r="AK43" i="35"/>
  <c r="AK45" i="35"/>
  <c r="AK40" i="35"/>
  <c r="AK42" i="35"/>
  <c r="AK41" i="35"/>
  <c r="AA39" i="35"/>
  <c r="AA40" i="35"/>
  <c r="AD15" i="35"/>
  <c r="AB18" i="35"/>
  <c r="AC15" i="35"/>
  <c r="AC11" i="35"/>
  <c r="AC7" i="35"/>
  <c r="AC8" i="35"/>
  <c r="AC12" i="35"/>
  <c r="AD14" i="35"/>
  <c r="AC9" i="35"/>
  <c r="AD11" i="35"/>
  <c r="AM40" i="35"/>
  <c r="AM41" i="35"/>
  <c r="AM42" i="35"/>
  <c r="AM46" i="35"/>
  <c r="AM44" i="35"/>
  <c r="AM43" i="35"/>
  <c r="AM45" i="35"/>
  <c r="AM39" i="35"/>
  <c r="AK30" i="35"/>
  <c r="AK31" i="35"/>
  <c r="AK29" i="35"/>
  <c r="AK28" i="35"/>
  <c r="AK27" i="35"/>
  <c r="AK26" i="35"/>
  <c r="AK25" i="35"/>
  <c r="AC14" i="35"/>
  <c r="AC6" i="35"/>
  <c r="V23" i="35"/>
  <c r="V35" i="35" s="1"/>
  <c r="Y25" i="35"/>
  <c r="AG4" i="35"/>
  <c r="Y2" i="35"/>
  <c r="AO47" i="35"/>
  <c r="AO44" i="35"/>
  <c r="AO39" i="35"/>
  <c r="AO45" i="35"/>
  <c r="AO42" i="35"/>
  <c r="AO46" i="35"/>
  <c r="AO41" i="35"/>
  <c r="AO40" i="35"/>
  <c r="AO43" i="35"/>
  <c r="AD10" i="35"/>
  <c r="AE40" i="35"/>
  <c r="AE42" i="35"/>
  <c r="AE39" i="35"/>
  <c r="AE41" i="35"/>
  <c r="AD6" i="35"/>
  <c r="AQ32" i="35"/>
  <c r="AQ25" i="35"/>
  <c r="AQ28" i="35"/>
  <c r="AQ26" i="35"/>
  <c r="AQ31" i="35"/>
  <c r="AQ29" i="35"/>
  <c r="AQ30" i="35"/>
  <c r="AQ33" i="35"/>
  <c r="AQ27" i="35"/>
  <c r="AQ34" i="35"/>
  <c r="AD7" i="35"/>
  <c r="Y39" i="35"/>
  <c r="V37" i="35"/>
  <c r="V49" i="35" s="1"/>
  <c r="V36" i="35" s="1"/>
  <c r="AI44" i="35"/>
  <c r="AI43" i="35"/>
  <c r="AI41" i="35"/>
  <c r="AI39" i="35"/>
  <c r="AI40" i="35"/>
  <c r="AI42" i="35"/>
  <c r="AG25" i="35"/>
  <c r="AG26" i="35"/>
  <c r="AG27" i="35"/>
  <c r="AG28" i="35"/>
  <c r="AG29" i="35"/>
  <c r="AQ48" i="35"/>
  <c r="AQ42" i="35"/>
  <c r="AQ44" i="35"/>
  <c r="AQ43" i="35"/>
  <c r="AQ41" i="35"/>
  <c r="AQ47" i="35"/>
  <c r="AQ45" i="35"/>
  <c r="AQ39" i="35"/>
  <c r="AQ40" i="35"/>
  <c r="AQ46" i="35"/>
  <c r="AC10" i="35"/>
  <c r="AC41" i="35"/>
  <c r="AC39" i="35"/>
  <c r="AC40" i="35"/>
  <c r="AM28" i="35"/>
  <c r="AM29" i="35"/>
  <c r="AM30" i="35"/>
  <c r="AM25" i="35"/>
  <c r="AM31" i="35"/>
  <c r="AM32" i="35"/>
  <c r="AM27" i="35"/>
  <c r="AM26" i="35"/>
  <c r="AE25" i="35"/>
  <c r="AE27" i="35"/>
  <c r="AE28" i="35"/>
  <c r="AE26" i="35"/>
  <c r="AC5" i="35"/>
  <c r="AA26" i="35"/>
  <c r="AA25" i="35"/>
  <c r="AO32" i="35"/>
  <c r="AO28" i="35"/>
  <c r="AO31" i="35"/>
  <c r="AO26" i="35"/>
  <c r="AO33" i="35"/>
  <c r="AO30" i="35"/>
  <c r="AO29" i="35"/>
  <c r="AO25" i="35"/>
  <c r="AO27" i="35"/>
  <c r="AG43" i="35"/>
  <c r="AG42" i="35"/>
  <c r="AG40" i="35"/>
  <c r="AG41" i="35"/>
  <c r="AG39" i="35"/>
  <c r="W6" i="32"/>
  <c r="X6" i="32" s="1"/>
  <c r="Y16" i="32"/>
  <c r="W10" i="32"/>
  <c r="X10" i="32" s="1"/>
  <c r="W13" i="32"/>
  <c r="X13" i="32" s="1"/>
  <c r="W8" i="32"/>
  <c r="Y8" i="32" s="1"/>
  <c r="W11" i="32"/>
  <c r="X11" i="32" s="1"/>
  <c r="W9" i="32"/>
  <c r="X9" i="32" s="1"/>
  <c r="W7" i="32"/>
  <c r="X7" i="32" s="1"/>
  <c r="W15" i="32"/>
  <c r="X15" i="32" s="1"/>
  <c r="W5" i="32"/>
  <c r="Y5" i="32" s="1"/>
  <c r="W14" i="32"/>
  <c r="X14" i="32" s="1"/>
  <c r="W12" i="32"/>
  <c r="X12" i="32" s="1"/>
  <c r="N25" i="31"/>
  <c r="P25" i="31" s="1"/>
  <c r="N27" i="31"/>
  <c r="P27" i="31" s="1"/>
  <c r="N28" i="31"/>
  <c r="P28" i="31" s="1"/>
  <c r="N29" i="31"/>
  <c r="P29" i="31" s="1"/>
  <c r="R34" i="31" s="1"/>
  <c r="R8" i="31"/>
  <c r="T34" i="31"/>
  <c r="B31" i="31"/>
  <c r="T28" i="31"/>
  <c r="T33" i="31"/>
  <c r="C34" i="31"/>
  <c r="U16" i="31" s="1"/>
  <c r="Y16" i="31" s="1"/>
  <c r="AG16" i="31" s="1"/>
  <c r="T26" i="31"/>
  <c r="T30" i="31"/>
  <c r="T29" i="31"/>
  <c r="C24" i="31"/>
  <c r="T32" i="31"/>
  <c r="T31" i="31"/>
  <c r="T35" i="31"/>
  <c r="AJ16" i="31" l="1"/>
  <c r="AH16" i="31"/>
  <c r="T16" i="31"/>
  <c r="X16" i="31" s="1"/>
  <c r="AA16" i="31" s="1"/>
  <c r="R33" i="31"/>
  <c r="R32" i="31"/>
  <c r="R31" i="31"/>
  <c r="T25" i="31"/>
  <c r="T27" i="31"/>
  <c r="T23" i="31" s="1"/>
  <c r="AC23" i="35"/>
  <c r="AQ37" i="35"/>
  <c r="AA37" i="35"/>
  <c r="AM37" i="35"/>
  <c r="AK23" i="35"/>
  <c r="AC18" i="35"/>
  <c r="L26" i="35" s="1"/>
  <c r="AM23" i="35"/>
  <c r="AI23" i="35"/>
  <c r="L25" i="35"/>
  <c r="AS32" i="35"/>
  <c r="J32" i="35" s="1"/>
  <c r="AS33" i="35"/>
  <c r="J33" i="35" s="1"/>
  <c r="AS28" i="35"/>
  <c r="J28" i="35" s="1"/>
  <c r="AS29" i="35"/>
  <c r="J29" i="35" s="1"/>
  <c r="AS35" i="35"/>
  <c r="J35" i="35" s="1"/>
  <c r="AS27" i="35"/>
  <c r="J27" i="35" s="1"/>
  <c r="AS30" i="35"/>
  <c r="J30" i="35" s="1"/>
  <c r="AS25" i="35"/>
  <c r="J25" i="35" s="1"/>
  <c r="AS26" i="35"/>
  <c r="J26" i="35" s="1"/>
  <c r="AS31" i="35"/>
  <c r="J31" i="35" s="1"/>
  <c r="AS34" i="35"/>
  <c r="J34" i="35" s="1"/>
  <c r="AI37" i="35"/>
  <c r="AQ23" i="35"/>
  <c r="AO37" i="35"/>
  <c r="AE23" i="35"/>
  <c r="AO23" i="35"/>
  <c r="AA23" i="35"/>
  <c r="AC37" i="35"/>
  <c r="AS49" i="35"/>
  <c r="J49" i="35" s="1"/>
  <c r="AS46" i="35"/>
  <c r="J46" i="35" s="1"/>
  <c r="AS48" i="35"/>
  <c r="J48" i="35" s="1"/>
  <c r="AS45" i="35"/>
  <c r="J45" i="35" s="1"/>
  <c r="AS39" i="35"/>
  <c r="AS43" i="35"/>
  <c r="J43" i="35" s="1"/>
  <c r="AS40" i="35"/>
  <c r="J40" i="35" s="1"/>
  <c r="AS44" i="35"/>
  <c r="J44" i="35" s="1"/>
  <c r="AS42" i="35"/>
  <c r="J42" i="35" s="1"/>
  <c r="AS47" i="35"/>
  <c r="J47" i="35" s="1"/>
  <c r="AS41" i="35"/>
  <c r="J41" i="35" s="1"/>
  <c r="AI4" i="35"/>
  <c r="AH4" i="35"/>
  <c r="AJ4" i="35"/>
  <c r="AK37" i="35"/>
  <c r="AD18" i="35"/>
  <c r="L27" i="35" s="1"/>
  <c r="AG23" i="35"/>
  <c r="AE37" i="35"/>
  <c r="V22" i="35"/>
  <c r="AG37" i="35"/>
  <c r="Y37" i="35"/>
  <c r="Y23" i="35"/>
  <c r="Y6" i="32"/>
  <c r="Y7" i="32"/>
  <c r="Y9" i="32"/>
  <c r="Y10" i="32"/>
  <c r="Y12" i="32"/>
  <c r="X8" i="32"/>
  <c r="Y15" i="32"/>
  <c r="Y11" i="32"/>
  <c r="Y14" i="32"/>
  <c r="Y13" i="32"/>
  <c r="W3" i="32"/>
  <c r="X5" i="32"/>
  <c r="N23" i="31"/>
  <c r="W25" i="31"/>
  <c r="T39" i="31"/>
  <c r="T41" i="31"/>
  <c r="T49" i="31"/>
  <c r="T43" i="31"/>
  <c r="T40" i="31"/>
  <c r="T45" i="31"/>
  <c r="T48" i="31"/>
  <c r="T44" i="31"/>
  <c r="T46" i="31"/>
  <c r="T47" i="31"/>
  <c r="T42" i="31"/>
  <c r="R26" i="31"/>
  <c r="R30" i="31"/>
  <c r="R29" i="31"/>
  <c r="R28" i="31"/>
  <c r="R27" i="31"/>
  <c r="R25" i="31"/>
  <c r="P23" i="31"/>
  <c r="N43" i="31"/>
  <c r="P43" i="31" s="1"/>
  <c r="N41" i="31"/>
  <c r="P41" i="31" s="1"/>
  <c r="N44" i="31"/>
  <c r="P44" i="31" s="1"/>
  <c r="N40" i="31"/>
  <c r="P40" i="31" s="1"/>
  <c r="N39" i="31"/>
  <c r="N42" i="31"/>
  <c r="P42" i="31" s="1"/>
  <c r="R2" i="31"/>
  <c r="S16" i="31" s="1"/>
  <c r="AD16" i="31" l="1"/>
  <c r="AB16" i="31"/>
  <c r="AS23" i="35"/>
  <c r="AS22" i="35" s="1"/>
  <c r="H25" i="35"/>
  <c r="H27" i="35"/>
  <c r="H26" i="35"/>
  <c r="AH18" i="35"/>
  <c r="AI8" i="35"/>
  <c r="AI13" i="35"/>
  <c r="AI9" i="35"/>
  <c r="AI12" i="35"/>
  <c r="AJ8" i="35"/>
  <c r="AJ7" i="35"/>
  <c r="AI6" i="35"/>
  <c r="AJ12" i="35"/>
  <c r="AI7" i="35"/>
  <c r="AI5" i="35"/>
  <c r="AJ11" i="35"/>
  <c r="AJ10" i="35"/>
  <c r="AI14" i="35"/>
  <c r="AI11" i="35"/>
  <c r="AJ6" i="35"/>
  <c r="AJ15" i="35"/>
  <c r="AJ14" i="35"/>
  <c r="AI10" i="35"/>
  <c r="AI15" i="35"/>
  <c r="AJ9" i="35"/>
  <c r="AJ13" i="35"/>
  <c r="AJ5" i="35"/>
  <c r="AS37" i="35"/>
  <c r="AS36" i="35" s="1"/>
  <c r="AE18" i="35"/>
  <c r="L28" i="35" s="1"/>
  <c r="H31" i="35" s="1"/>
  <c r="J39" i="35"/>
  <c r="J37" i="35" s="1"/>
  <c r="J23" i="35"/>
  <c r="X3" i="32"/>
  <c r="Y3" i="32"/>
  <c r="V26" i="31"/>
  <c r="V29" i="31"/>
  <c r="AG25" i="31" s="1"/>
  <c r="V33" i="31"/>
  <c r="AO33" i="31" s="1"/>
  <c r="S14" i="31"/>
  <c r="S10" i="31"/>
  <c r="S9" i="31"/>
  <c r="S15" i="31"/>
  <c r="S11" i="31"/>
  <c r="S4" i="31"/>
  <c r="S5" i="31"/>
  <c r="S13" i="31"/>
  <c r="S6" i="31"/>
  <c r="S12" i="31"/>
  <c r="S7" i="31"/>
  <c r="R47" i="31"/>
  <c r="R48" i="31"/>
  <c r="R46" i="31"/>
  <c r="R45" i="31"/>
  <c r="R49" i="31"/>
  <c r="S8" i="31"/>
  <c r="V34" i="31"/>
  <c r="AQ31" i="31" s="1"/>
  <c r="R23" i="31"/>
  <c r="V25" i="31"/>
  <c r="T37" i="31"/>
  <c r="V31" i="31"/>
  <c r="AK26" i="31" s="1"/>
  <c r="P39" i="31"/>
  <c r="R44" i="31" s="1"/>
  <c r="N37" i="31"/>
  <c r="V27" i="31"/>
  <c r="AC25" i="31" s="1"/>
  <c r="AG28" i="31"/>
  <c r="V30" i="31"/>
  <c r="AI29" i="31" s="1"/>
  <c r="V28" i="31"/>
  <c r="AE27" i="31" s="1"/>
  <c r="V32" i="31"/>
  <c r="AM25" i="31" s="1"/>
  <c r="U11" i="31" l="1"/>
  <c r="Y11" i="31" s="1"/>
  <c r="AG11" i="31" s="1"/>
  <c r="T11" i="31"/>
  <c r="X11" i="31" s="1"/>
  <c r="AA11" i="31" s="1"/>
  <c r="AG27" i="31"/>
  <c r="AQ33" i="31"/>
  <c r="AC26" i="31"/>
  <c r="AK31" i="31"/>
  <c r="AG29" i="31"/>
  <c r="AG26" i="31"/>
  <c r="AA25" i="31"/>
  <c r="AK30" i="31"/>
  <c r="AK27" i="31"/>
  <c r="AA26" i="31"/>
  <c r="AO30" i="31"/>
  <c r="R40" i="31"/>
  <c r="R41" i="31"/>
  <c r="R42" i="31"/>
  <c r="AC27" i="31"/>
  <c r="AQ30" i="31"/>
  <c r="AM32" i="31"/>
  <c r="AQ32" i="31"/>
  <c r="AQ25" i="31"/>
  <c r="AQ27" i="31"/>
  <c r="AQ28" i="31"/>
  <c r="AQ26" i="31"/>
  <c r="AQ34" i="31"/>
  <c r="AQ29" i="31"/>
  <c r="U13" i="31"/>
  <c r="Y13" i="31" s="1"/>
  <c r="AG13" i="31" s="1"/>
  <c r="T13" i="31"/>
  <c r="X13" i="31" s="1"/>
  <c r="AA13" i="31" s="1"/>
  <c r="H35" i="35"/>
  <c r="H28" i="35"/>
  <c r="H29" i="35"/>
  <c r="H34" i="35"/>
  <c r="H32" i="35"/>
  <c r="H30" i="35"/>
  <c r="AJ18" i="35"/>
  <c r="L41" i="35" s="1"/>
  <c r="AI18" i="35"/>
  <c r="L40" i="35" s="1"/>
  <c r="H33" i="35"/>
  <c r="L39" i="35"/>
  <c r="L23" i="35"/>
  <c r="U15" i="31"/>
  <c r="Y15" i="31" s="1"/>
  <c r="AG15" i="31" s="1"/>
  <c r="AJ15" i="31" s="1"/>
  <c r="T15" i="31"/>
  <c r="X15" i="31" s="1"/>
  <c r="AA15" i="31" s="1"/>
  <c r="T7" i="31"/>
  <c r="X7" i="31" s="1"/>
  <c r="AA7" i="31" s="1"/>
  <c r="U7" i="31"/>
  <c r="Y7" i="31" s="1"/>
  <c r="AG7" i="31" s="1"/>
  <c r="U9" i="31"/>
  <c r="Y9" i="31" s="1"/>
  <c r="AG9" i="31" s="1"/>
  <c r="T9" i="31"/>
  <c r="X9" i="31" s="1"/>
  <c r="AA9" i="31" s="1"/>
  <c r="T12" i="31"/>
  <c r="X12" i="31" s="1"/>
  <c r="AA12" i="31" s="1"/>
  <c r="U12" i="31"/>
  <c r="Y12" i="31" s="1"/>
  <c r="AG12" i="31" s="1"/>
  <c r="T6" i="31"/>
  <c r="X6" i="31" s="1"/>
  <c r="AA6" i="31" s="1"/>
  <c r="U6" i="31"/>
  <c r="Y6" i="31" s="1"/>
  <c r="AG6" i="31" s="1"/>
  <c r="T14" i="31"/>
  <c r="X14" i="31" s="1"/>
  <c r="AA14" i="31" s="1"/>
  <c r="U14" i="31"/>
  <c r="Y14" i="31" s="1"/>
  <c r="AG14" i="31" s="1"/>
  <c r="U8" i="31"/>
  <c r="Y8" i="31" s="1"/>
  <c r="AG8" i="31" s="1"/>
  <c r="T8" i="31"/>
  <c r="X8" i="31" s="1"/>
  <c r="AA8" i="31" s="1"/>
  <c r="U5" i="31"/>
  <c r="Y5" i="31" s="1"/>
  <c r="AG5" i="31" s="1"/>
  <c r="T5" i="31"/>
  <c r="X5" i="31" s="1"/>
  <c r="AA5" i="31" s="1"/>
  <c r="U4" i="31"/>
  <c r="T4" i="31"/>
  <c r="AO32" i="31"/>
  <c r="AO25" i="31"/>
  <c r="AO31" i="31"/>
  <c r="AO27" i="31"/>
  <c r="AO28" i="31"/>
  <c r="AO29" i="31"/>
  <c r="AM31" i="31"/>
  <c r="AO26" i="31"/>
  <c r="AM28" i="31"/>
  <c r="AM29" i="31"/>
  <c r="AE28" i="31"/>
  <c r="AM27" i="31"/>
  <c r="S2" i="31"/>
  <c r="AE26" i="31"/>
  <c r="AK28" i="31"/>
  <c r="AK25" i="31"/>
  <c r="AM26" i="31"/>
  <c r="AI27" i="31"/>
  <c r="AK29" i="31"/>
  <c r="AE25" i="31"/>
  <c r="Y25" i="31"/>
  <c r="V23" i="31"/>
  <c r="V35" i="31" s="1"/>
  <c r="V22" i="31" s="1"/>
  <c r="U10" i="31"/>
  <c r="Y10" i="31" s="1"/>
  <c r="AG10" i="31" s="1"/>
  <c r="T10" i="31"/>
  <c r="X10" i="31" s="1"/>
  <c r="AA10" i="31" s="1"/>
  <c r="AI30" i="31"/>
  <c r="AI28" i="31"/>
  <c r="AM30" i="31"/>
  <c r="AI26" i="31"/>
  <c r="AI25" i="31"/>
  <c r="P37" i="31"/>
  <c r="R39" i="31"/>
  <c r="R43" i="31"/>
  <c r="AG23" i="31" l="1"/>
  <c r="V40" i="31"/>
  <c r="AA40" i="31" s="1"/>
  <c r="AC23" i="31"/>
  <c r="AA23" i="31"/>
  <c r="AB14" i="31"/>
  <c r="AB7" i="31"/>
  <c r="AB11" i="31"/>
  <c r="AB10" i="31"/>
  <c r="AB15" i="31"/>
  <c r="AB13" i="31"/>
  <c r="AB12" i="31"/>
  <c r="AB6" i="31"/>
  <c r="AB5" i="31"/>
  <c r="AB8" i="31"/>
  <c r="AB9" i="31"/>
  <c r="U2" i="31"/>
  <c r="T2" i="31"/>
  <c r="AQ23" i="31"/>
  <c r="AE23" i="31"/>
  <c r="H23" i="35"/>
  <c r="AK18" i="35"/>
  <c r="L42" i="35" s="1"/>
  <c r="H44" i="35" s="1"/>
  <c r="H40" i="35"/>
  <c r="H39" i="35"/>
  <c r="H41" i="35"/>
  <c r="AO23" i="31"/>
  <c r="AM23" i="31"/>
  <c r="AH7" i="31"/>
  <c r="AH6" i="31"/>
  <c r="AH8" i="31"/>
  <c r="V41" i="31"/>
  <c r="AH11" i="31"/>
  <c r="AS31" i="31"/>
  <c r="J31" i="31" s="1"/>
  <c r="AS25" i="31"/>
  <c r="AS28" i="31"/>
  <c r="J28" i="31" s="1"/>
  <c r="AS30" i="31"/>
  <c r="J30" i="31" s="1"/>
  <c r="AS26" i="31"/>
  <c r="J26" i="31" s="1"/>
  <c r="AS29" i="31"/>
  <c r="J29" i="31" s="1"/>
  <c r="AS35" i="31"/>
  <c r="J35" i="31" s="1"/>
  <c r="AS27" i="31"/>
  <c r="J27" i="31" s="1"/>
  <c r="AS32" i="31"/>
  <c r="J32" i="31" s="1"/>
  <c r="AS33" i="31"/>
  <c r="J33" i="31" s="1"/>
  <c r="AS34" i="31"/>
  <c r="J34" i="31" s="1"/>
  <c r="AH15" i="31"/>
  <c r="AI23" i="31"/>
  <c r="Y23" i="31"/>
  <c r="AK23" i="31"/>
  <c r="AH5" i="31"/>
  <c r="AH10" i="31"/>
  <c r="Y4" i="31"/>
  <c r="Y2" i="31" s="1"/>
  <c r="AH13" i="31"/>
  <c r="AH14" i="31"/>
  <c r="R37" i="31"/>
  <c r="V39" i="31"/>
  <c r="V48" i="31"/>
  <c r="V45" i="31"/>
  <c r="V44" i="31"/>
  <c r="V47" i="31"/>
  <c r="V46" i="31"/>
  <c r="V43" i="31"/>
  <c r="V42" i="31"/>
  <c r="AH12" i="31"/>
  <c r="AH9" i="31"/>
  <c r="X4" i="31"/>
  <c r="AA39" i="31" l="1"/>
  <c r="AA37" i="31" s="1"/>
  <c r="X2" i="31"/>
  <c r="AA4" i="31"/>
  <c r="AD4" i="31" s="1"/>
  <c r="H49" i="35"/>
  <c r="BO14" i="35" s="1"/>
  <c r="H43" i="35"/>
  <c r="BS28" i="35" s="1"/>
  <c r="L37" i="35"/>
  <c r="H46" i="35"/>
  <c r="BK19" i="35" s="1"/>
  <c r="H47" i="35"/>
  <c r="BK20" i="35" s="1"/>
  <c r="H48" i="35"/>
  <c r="BK52" i="35" s="1"/>
  <c r="H45" i="35"/>
  <c r="BK26" i="35" s="1"/>
  <c r="H42" i="35"/>
  <c r="BS34" i="35" s="1"/>
  <c r="BS23" i="35"/>
  <c r="BK25" i="35"/>
  <c r="BS44" i="35"/>
  <c r="BK32" i="35"/>
  <c r="BK17" i="35"/>
  <c r="BS29" i="35"/>
  <c r="BK38" i="35"/>
  <c r="BK8" i="35"/>
  <c r="BO9" i="35"/>
  <c r="BS36" i="35"/>
  <c r="BS9" i="35"/>
  <c r="BK14" i="35"/>
  <c r="BS20" i="35"/>
  <c r="BK5" i="35"/>
  <c r="BO6" i="35"/>
  <c r="BS41" i="35"/>
  <c r="BS33" i="35"/>
  <c r="BS26" i="35"/>
  <c r="BS12" i="35"/>
  <c r="BS16" i="35"/>
  <c r="BS5" i="35"/>
  <c r="BS24" i="35"/>
  <c r="BS10" i="35"/>
  <c r="BO4" i="35"/>
  <c r="BS39" i="35"/>
  <c r="BS4" i="35"/>
  <c r="BK49" i="35"/>
  <c r="BS7" i="35"/>
  <c r="BS31" i="35"/>
  <c r="BS14" i="35"/>
  <c r="BS11" i="35"/>
  <c r="BS32" i="35"/>
  <c r="BO5" i="35"/>
  <c r="BS15" i="35"/>
  <c r="BS25" i="35"/>
  <c r="BK4" i="35"/>
  <c r="BS19" i="35"/>
  <c r="BS8" i="35"/>
  <c r="BS6" i="35"/>
  <c r="BS40" i="35"/>
  <c r="AM39" i="31"/>
  <c r="AM45" i="31"/>
  <c r="AM46" i="31"/>
  <c r="AM43" i="31"/>
  <c r="AM44" i="31"/>
  <c r="AM41" i="31"/>
  <c r="AM42" i="31"/>
  <c r="AM40" i="31"/>
  <c r="AO41" i="31"/>
  <c r="AO40" i="31"/>
  <c r="AO46" i="31"/>
  <c r="AO44" i="31"/>
  <c r="AO39" i="31"/>
  <c r="AO45" i="31"/>
  <c r="AO42" i="31"/>
  <c r="AO47" i="31"/>
  <c r="AO43" i="31"/>
  <c r="AS23" i="31"/>
  <c r="AS22" i="31" s="1"/>
  <c r="AC41" i="31"/>
  <c r="AC40" i="31"/>
  <c r="AC39" i="31"/>
  <c r="AI39" i="31"/>
  <c r="AI42" i="31"/>
  <c r="AI40" i="31"/>
  <c r="AI44" i="31"/>
  <c r="AI43" i="31"/>
  <c r="AI41" i="31"/>
  <c r="AK39" i="31"/>
  <c r="AK43" i="31"/>
  <c r="AK44" i="31"/>
  <c r="AK45" i="31"/>
  <c r="AK42" i="31"/>
  <c r="AK41" i="31"/>
  <c r="AK40" i="31"/>
  <c r="AQ48" i="31"/>
  <c r="AQ43" i="31"/>
  <c r="AQ40" i="31"/>
  <c r="AQ44" i="31"/>
  <c r="AQ45" i="31"/>
  <c r="AQ39" i="31"/>
  <c r="AQ46" i="31"/>
  <c r="AQ47" i="31"/>
  <c r="AQ42" i="31"/>
  <c r="AQ41" i="31"/>
  <c r="AG4" i="31"/>
  <c r="AJ4" i="31" s="1"/>
  <c r="AE39" i="31"/>
  <c r="AE40" i="31"/>
  <c r="AE42" i="31"/>
  <c r="AE41" i="31"/>
  <c r="V37" i="31"/>
  <c r="V49" i="31" s="1"/>
  <c r="Y39" i="31"/>
  <c r="AG39" i="31"/>
  <c r="AG43" i="31"/>
  <c r="AG41" i="31"/>
  <c r="AG42" i="31"/>
  <c r="AG40" i="31"/>
  <c r="J25" i="31"/>
  <c r="J23" i="31" s="1"/>
  <c r="AB4" i="31" l="1"/>
  <c r="AC4" i="31"/>
  <c r="BS38" i="35"/>
  <c r="BK50" i="35"/>
  <c r="BK59" i="35"/>
  <c r="BK27" i="35"/>
  <c r="BK34" i="35"/>
  <c r="BK45" i="35"/>
  <c r="BK10" i="35"/>
  <c r="BK22" i="35"/>
  <c r="BK13" i="35"/>
  <c r="BO8" i="35"/>
  <c r="BK16" i="35"/>
  <c r="BK30" i="35"/>
  <c r="BK58" i="35"/>
  <c r="BK43" i="35"/>
  <c r="BO11" i="35"/>
  <c r="BK6" i="35"/>
  <c r="BK40" i="35"/>
  <c r="BS46" i="35"/>
  <c r="BS18" i="35"/>
  <c r="BK53" i="35"/>
  <c r="BK7" i="35"/>
  <c r="BK31" i="35"/>
  <c r="BK56" i="35"/>
  <c r="BS43" i="35"/>
  <c r="BK24" i="35"/>
  <c r="BK48" i="35"/>
  <c r="BS45" i="35"/>
  <c r="BS35" i="35"/>
  <c r="BS22" i="35"/>
  <c r="BK37" i="35"/>
  <c r="BS30" i="35"/>
  <c r="BK39" i="35"/>
  <c r="BK33" i="35"/>
  <c r="BO7" i="35"/>
  <c r="BS37" i="35"/>
  <c r="BK44" i="35"/>
  <c r="BK15" i="35"/>
  <c r="BO10" i="35"/>
  <c r="BK46" i="35"/>
  <c r="BK9" i="35"/>
  <c r="H37" i="35"/>
  <c r="BS27" i="35"/>
  <c r="BK18" i="35"/>
  <c r="BK35" i="35"/>
  <c r="BK51" i="35"/>
  <c r="BK42" i="35"/>
  <c r="BK11" i="35"/>
  <c r="BK57" i="35"/>
  <c r="BO13" i="35"/>
  <c r="BK28" i="35"/>
  <c r="BK36" i="35"/>
  <c r="BS13" i="35"/>
  <c r="BO12" i="35"/>
  <c r="BK21" i="35"/>
  <c r="BK54" i="35"/>
  <c r="BK55" i="35"/>
  <c r="BS21" i="35"/>
  <c r="BS47" i="35"/>
  <c r="BK12" i="35"/>
  <c r="BK47" i="35"/>
  <c r="BK23" i="35"/>
  <c r="BK41" i="35"/>
  <c r="BK29" i="35"/>
  <c r="BS17" i="35"/>
  <c r="BS42" i="35"/>
  <c r="AG37" i="31"/>
  <c r="AK37" i="31"/>
  <c r="AS40" i="31"/>
  <c r="J40" i="31" s="1"/>
  <c r="AS46" i="31"/>
  <c r="J46" i="31" s="1"/>
  <c r="AS47" i="31"/>
  <c r="J47" i="31" s="1"/>
  <c r="AS39" i="31"/>
  <c r="AS48" i="31"/>
  <c r="J48" i="31" s="1"/>
  <c r="AS44" i="31"/>
  <c r="J44" i="31" s="1"/>
  <c r="AS45" i="31"/>
  <c r="J45" i="31" s="1"/>
  <c r="AS49" i="31"/>
  <c r="J49" i="31" s="1"/>
  <c r="AS42" i="31"/>
  <c r="J42" i="31" s="1"/>
  <c r="AS43" i="31"/>
  <c r="J43" i="31" s="1"/>
  <c r="AS41" i="31"/>
  <c r="J41" i="31" s="1"/>
  <c r="AM37" i="31"/>
  <c r="V36" i="31"/>
  <c r="AI37" i="31"/>
  <c r="Y37" i="31"/>
  <c r="AQ37" i="31"/>
  <c r="AH4" i="31"/>
  <c r="AI4" i="31"/>
  <c r="AC37" i="31"/>
  <c r="AO37" i="31"/>
  <c r="AE37" i="31"/>
  <c r="AI16" i="31" l="1"/>
  <c r="AJ7" i="31"/>
  <c r="AJ12" i="31"/>
  <c r="AJ11" i="31"/>
  <c r="AJ8" i="31"/>
  <c r="AJ6" i="31"/>
  <c r="AJ14" i="31"/>
  <c r="AJ9" i="31"/>
  <c r="AJ10" i="31"/>
  <c r="AJ13" i="31"/>
  <c r="AJ5" i="31"/>
  <c r="AD9" i="31"/>
  <c r="AD5" i="31"/>
  <c r="AD13" i="31"/>
  <c r="AD10" i="31"/>
  <c r="AD12" i="31"/>
  <c r="AD15" i="31"/>
  <c r="AD7" i="31"/>
  <c r="AD11" i="31"/>
  <c r="AD6" i="31"/>
  <c r="AD14" i="31"/>
  <c r="AD8" i="31"/>
  <c r="AC16" i="31"/>
  <c r="AC15" i="31"/>
  <c r="AC5" i="31"/>
  <c r="AC14" i="31"/>
  <c r="AC8" i="31"/>
  <c r="AC12" i="31"/>
  <c r="AC10" i="31"/>
  <c r="AC13" i="31"/>
  <c r="AB18" i="31"/>
  <c r="L25" i="31" s="1"/>
  <c r="H25" i="31" s="1"/>
  <c r="AC11" i="31"/>
  <c r="AC6" i="31"/>
  <c r="AC9" i="31"/>
  <c r="AC7" i="31"/>
  <c r="B37" i="35"/>
  <c r="B38" i="35"/>
  <c r="B36" i="35"/>
  <c r="AH18" i="31"/>
  <c r="AI10" i="31"/>
  <c r="AI11" i="31"/>
  <c r="AI5" i="31"/>
  <c r="AI9" i="31"/>
  <c r="AI7" i="31"/>
  <c r="AI14" i="31"/>
  <c r="AI8" i="31"/>
  <c r="AI15" i="31"/>
  <c r="AI12" i="31"/>
  <c r="AI6" i="31"/>
  <c r="AI13" i="31"/>
  <c r="AS37" i="31"/>
  <c r="AS36" i="31" s="1"/>
  <c r="J39" i="31"/>
  <c r="J37" i="31" s="1"/>
  <c r="AC18" i="31" l="1"/>
  <c r="L26" i="31" s="1"/>
  <c r="H26" i="31" s="1"/>
  <c r="AD18" i="31"/>
  <c r="L27" i="31" s="1"/>
  <c r="AJ18" i="31"/>
  <c r="L41" i="31" s="1"/>
  <c r="AI18" i="31"/>
  <c r="L40" i="31" s="1"/>
  <c r="L39" i="31"/>
  <c r="H27" i="31" l="1"/>
  <c r="L28" i="31"/>
  <c r="H31" i="31" s="1"/>
  <c r="L42" i="31"/>
  <c r="H49" i="31" s="1"/>
  <c r="H41" i="31"/>
  <c r="H40" i="31"/>
  <c r="H39" i="31"/>
  <c r="H44" i="31" l="1"/>
  <c r="BS23" i="31" s="1"/>
  <c r="H32" i="31"/>
  <c r="BS24" i="31" s="1"/>
  <c r="H34" i="31"/>
  <c r="BS39" i="31" s="1"/>
  <c r="H29" i="31"/>
  <c r="BS11" i="31" s="1"/>
  <c r="H35" i="31"/>
  <c r="BO14" i="31" s="1"/>
  <c r="H30" i="31"/>
  <c r="BS15" i="31" s="1"/>
  <c r="L23" i="31"/>
  <c r="H33" i="31"/>
  <c r="BS33" i="31" s="1"/>
  <c r="H28" i="31"/>
  <c r="BK37" i="31" s="1"/>
  <c r="H48" i="31"/>
  <c r="H47" i="31"/>
  <c r="BK28" i="31" s="1"/>
  <c r="H43" i="31"/>
  <c r="L37" i="31"/>
  <c r="H45" i="31"/>
  <c r="H46" i="31"/>
  <c r="BK10" i="31" s="1"/>
  <c r="H42" i="31"/>
  <c r="BK49" i="31"/>
  <c r="BS5" i="31"/>
  <c r="BS4" i="31"/>
  <c r="BO4" i="31"/>
  <c r="BS6" i="31"/>
  <c r="BO5" i="31"/>
  <c r="BK4" i="31"/>
  <c r="BS19" i="31"/>
  <c r="BK13" i="31"/>
  <c r="BK53" i="31"/>
  <c r="BK22" i="31"/>
  <c r="BK30" i="31"/>
  <c r="BK14" i="31"/>
  <c r="BK5" i="31"/>
  <c r="BO6" i="31"/>
  <c r="BS20" i="31"/>
  <c r="BS43" i="31" l="1"/>
  <c r="BS10" i="31"/>
  <c r="BS41" i="31"/>
  <c r="BK59" i="31"/>
  <c r="BK43" i="31"/>
  <c r="BS40" i="31"/>
  <c r="BS12" i="31"/>
  <c r="BS16" i="31"/>
  <c r="BK48" i="31"/>
  <c r="BK44" i="31"/>
  <c r="BS26" i="31"/>
  <c r="BK56" i="31"/>
  <c r="BS25" i="31"/>
  <c r="BK47" i="31"/>
  <c r="BK58" i="31"/>
  <c r="BS31" i="31"/>
  <c r="BS14" i="31"/>
  <c r="BS32" i="31"/>
  <c r="BS34" i="31"/>
  <c r="H23" i="31"/>
  <c r="BS9" i="31"/>
  <c r="BS7" i="31"/>
  <c r="BS8" i="31"/>
  <c r="BS22" i="31"/>
  <c r="BO8" i="31"/>
  <c r="BS28" i="31"/>
  <c r="BS18" i="31"/>
  <c r="BK7" i="31"/>
  <c r="BK31" i="31"/>
  <c r="BK17" i="31"/>
  <c r="BS42" i="31"/>
  <c r="BS35" i="31"/>
  <c r="BK24" i="31"/>
  <c r="BK16" i="31"/>
  <c r="BK45" i="31"/>
  <c r="BK15" i="31"/>
  <c r="BK40" i="31"/>
  <c r="BS37" i="31"/>
  <c r="BK54" i="31"/>
  <c r="BK51" i="31"/>
  <c r="BK36" i="31"/>
  <c r="BO12" i="31"/>
  <c r="BK20" i="31"/>
  <c r="BK11" i="31"/>
  <c r="BS47" i="31"/>
  <c r="BK46" i="31"/>
  <c r="BK35" i="31"/>
  <c r="BK55" i="31"/>
  <c r="BK29" i="31"/>
  <c r="BO10" i="31"/>
  <c r="BK21" i="31"/>
  <c r="BK34" i="31"/>
  <c r="BK50" i="31"/>
  <c r="BK52" i="31"/>
  <c r="BK12" i="31"/>
  <c r="BK57" i="31"/>
  <c r="BS21" i="31"/>
  <c r="BO13" i="31"/>
  <c r="BK42" i="31"/>
  <c r="BS46" i="31"/>
  <c r="BK23" i="31"/>
  <c r="BK41" i="31"/>
  <c r="BO11" i="31"/>
  <c r="BS17" i="31"/>
  <c r="BK9" i="31"/>
  <c r="H37" i="31"/>
  <c r="BS44" i="31"/>
  <c r="BS27" i="31"/>
  <c r="BS45" i="31"/>
  <c r="BK26" i="31"/>
  <c r="BK25" i="31"/>
  <c r="BS36" i="31"/>
  <c r="BK27" i="31"/>
  <c r="BS29" i="31"/>
  <c r="BK8" i="31"/>
  <c r="BS13" i="31"/>
  <c r="BK18" i="31"/>
  <c r="BK33" i="31"/>
  <c r="BO9" i="31"/>
  <c r="BS38" i="31"/>
  <c r="BK39" i="31"/>
  <c r="BK6" i="31"/>
  <c r="BS30" i="31"/>
  <c r="BK38" i="31"/>
  <c r="BK19" i="31"/>
  <c r="BO7" i="31"/>
  <c r="BK32" i="31"/>
  <c r="B38" i="31" l="1"/>
  <c r="B36" i="31"/>
  <c r="B37" i="31"/>
  <c r="Q15" i="10" l="1"/>
  <c r="P15" i="10"/>
  <c r="N1" i="10" l="1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V11" i="10" s="1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BF42" i="10" l="1"/>
  <c r="W11" i="10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E42" i="8"/>
  <c r="BD42" i="8"/>
  <c r="BC42" i="8"/>
  <c r="BF41" i="8"/>
  <c r="BE41" i="8"/>
  <c r="BF42" i="8" s="1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F30" i="8" s="1"/>
  <c r="BD29" i="8"/>
  <c r="BC29" i="8"/>
  <c r="C29" i="8"/>
  <c r="B29" i="8"/>
  <c r="BH28" i="8"/>
  <c r="BH35" i="8" s="1"/>
  <c r="BH41" i="8" s="1"/>
  <c r="BH46" i="8" s="1"/>
  <c r="BH51" i="8" s="1"/>
  <c r="BH54" i="8" s="1"/>
  <c r="BL12" i="8" s="1"/>
  <c r="BP47" i="8" s="1"/>
  <c r="BE28" i="8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Y19" i="8"/>
  <c r="P19" i="8"/>
  <c r="O19" i="8"/>
  <c r="Q19" i="8" s="1"/>
  <c r="AA18" i="8"/>
  <c r="Q18" i="8"/>
  <c r="Z17" i="8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Z13" i="8"/>
  <c r="AA13" i="8" s="1"/>
  <c r="P13" i="8"/>
  <c r="Q13" i="8" s="1"/>
  <c r="AA12" i="8"/>
  <c r="Q12" i="8"/>
  <c r="AA11" i="8"/>
  <c r="Z11" i="8"/>
  <c r="Y11" i="8"/>
  <c r="P11" i="8"/>
  <c r="O11" i="8"/>
  <c r="Z10" i="8"/>
  <c r="AA10" i="8" s="1"/>
  <c r="Y10" i="8"/>
  <c r="P10" i="8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O6" i="8"/>
  <c r="BP5" i="8"/>
  <c r="BP7" i="8" s="1"/>
  <c r="BP10" i="8" s="1"/>
  <c r="BP14" i="8" s="1"/>
  <c r="BH49" i="8" s="1"/>
  <c r="BP24" i="8" s="1"/>
  <c r="BP31" i="8" s="1"/>
  <c r="BP39" i="8" s="1"/>
  <c r="BL14" i="8" s="1"/>
  <c r="Z5" i="8"/>
  <c r="AA5" i="8" s="1"/>
  <c r="Y5" i="8"/>
  <c r="P5" i="8"/>
  <c r="O5" i="8"/>
  <c r="D3" i="8"/>
  <c r="K3" i="8" s="1"/>
  <c r="S2" i="8"/>
  <c r="G2" i="8"/>
  <c r="AF1" i="8"/>
  <c r="S1" i="8"/>
  <c r="K2" i="8" l="1"/>
  <c r="AA17" i="8"/>
  <c r="Q6" i="8"/>
  <c r="Q8" i="8"/>
  <c r="BF43" i="8"/>
  <c r="AA19" i="8"/>
  <c r="G1" i="8"/>
  <c r="Q10" i="8"/>
  <c r="B31" i="8"/>
  <c r="W24" i="8" s="1"/>
  <c r="BF28" i="8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K1" i="8"/>
  <c r="L1" i="8" s="1"/>
  <c r="Q5" i="8"/>
  <c r="Q11" i="8"/>
  <c r="B23" i="8"/>
  <c r="T43" i="8" s="1"/>
  <c r="G3" i="8"/>
  <c r="H1" i="8" s="1"/>
  <c r="BF29" i="8"/>
  <c r="T46" i="8" l="1"/>
  <c r="T39" i="8"/>
  <c r="T42" i="8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40" i="8"/>
  <c r="T48" i="8"/>
  <c r="T44" i="8"/>
  <c r="T41" i="8"/>
  <c r="T38" i="8"/>
  <c r="T36" i="8" s="1"/>
  <c r="M1" i="8"/>
  <c r="M2" i="8" s="1"/>
  <c r="T45" i="8"/>
  <c r="T47" i="8"/>
  <c r="B34" i="8"/>
  <c r="B24" i="8"/>
  <c r="C23" i="8"/>
  <c r="R34" i="10" l="1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P39" i="10" l="1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S6" i="8"/>
  <c r="S9" i="8"/>
  <c r="S13" i="8"/>
  <c r="AC8" i="8"/>
  <c r="S11" i="8"/>
  <c r="AC15" i="8"/>
  <c r="S14" i="8"/>
  <c r="S7" i="8"/>
  <c r="S10" i="8"/>
  <c r="S8" i="8"/>
  <c r="S19" i="8"/>
  <c r="S17" i="8"/>
  <c r="AC14" i="8"/>
  <c r="AD13" i="8" s="1"/>
  <c r="AC9" i="8"/>
  <c r="AC16" i="8"/>
  <c r="S16" i="8"/>
  <c r="AC12" i="8"/>
  <c r="AE11" i="8" s="1"/>
  <c r="AD18" i="8"/>
  <c r="AC18" i="8"/>
  <c r="S12" i="8"/>
  <c r="U11" i="8" s="1"/>
  <c r="AC5" i="8"/>
  <c r="AC20" i="8" s="1"/>
  <c r="P25" i="8"/>
  <c r="R30" i="8" s="1"/>
  <c r="AD7" i="8"/>
  <c r="AC7" i="8"/>
  <c r="T5" i="8"/>
  <c r="T20" i="8" s="1"/>
  <c r="L25" i="8" s="1"/>
  <c r="S5" i="8"/>
  <c r="S20" i="8" s="1"/>
  <c r="AC11" i="8"/>
  <c r="AD10" i="8" s="1"/>
  <c r="AC17" i="8"/>
  <c r="AE16" i="8" s="1"/>
  <c r="AD17" i="8"/>
  <c r="R31" i="8"/>
  <c r="S15" i="8"/>
  <c r="AD19" i="8"/>
  <c r="AC19" i="8"/>
  <c r="AE17" i="8" s="1"/>
  <c r="AC10" i="8"/>
  <c r="N42" i="8"/>
  <c r="P42" i="8" s="1"/>
  <c r="N40" i="8"/>
  <c r="P40" i="8" s="1"/>
  <c r="N38" i="8"/>
  <c r="N43" i="8"/>
  <c r="P43" i="8" s="1"/>
  <c r="N41" i="8"/>
  <c r="P41" i="8" s="1"/>
  <c r="N39" i="8"/>
  <c r="P39" i="8" s="1"/>
  <c r="AC6" i="8"/>
  <c r="AD5" i="8" s="1"/>
  <c r="AD20" i="8" s="1"/>
  <c r="L39" i="8" s="1"/>
  <c r="AC13" i="8"/>
  <c r="U18" i="8"/>
  <c r="S18" i="8"/>
  <c r="P24" i="8"/>
  <c r="R25" i="8" s="1"/>
  <c r="N22" i="8"/>
  <c r="AE10" i="8" l="1"/>
  <c r="AD11" i="8"/>
  <c r="AE12" i="8"/>
  <c r="AD14" i="8"/>
  <c r="T17" i="8"/>
  <c r="AE15" i="8"/>
  <c r="U17" i="8"/>
  <c r="U13" i="8"/>
  <c r="U14" i="8"/>
  <c r="AD16" i="8"/>
  <c r="U10" i="8"/>
  <c r="AE7" i="8"/>
  <c r="T15" i="8"/>
  <c r="AE5" i="8"/>
  <c r="AE20" i="8" s="1"/>
  <c r="L40" i="8" s="1"/>
  <c r="T12" i="8"/>
  <c r="AD9" i="8"/>
  <c r="T10" i="8"/>
  <c r="AD8" i="8"/>
  <c r="U12" i="8"/>
  <c r="T13" i="8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N36" i="8"/>
  <c r="P38" i="8"/>
  <c r="R40" i="8"/>
  <c r="L24" i="8"/>
  <c r="V20" i="8"/>
  <c r="L27" i="8" s="1"/>
  <c r="AE13" i="8"/>
  <c r="U5" i="8"/>
  <c r="U20" i="8" s="1"/>
  <c r="L26" i="8" s="1"/>
  <c r="AE9" i="8"/>
  <c r="T9" i="8"/>
  <c r="U16" i="8"/>
  <c r="T8" i="8"/>
  <c r="T7" i="8"/>
  <c r="U9" i="8"/>
  <c r="R24" i="8"/>
  <c r="R26" i="8"/>
  <c r="P22" i="8"/>
  <c r="R27" i="8"/>
  <c r="V27" i="8" s="1"/>
  <c r="R29" i="8"/>
  <c r="R28" i="8"/>
  <c r="AD6" i="8"/>
  <c r="R39" i="8"/>
  <c r="L38" i="8"/>
  <c r="AE18" i="8"/>
  <c r="T16" i="8"/>
  <c r="U8" i="8"/>
  <c r="AE8" i="8"/>
  <c r="U6" i="8"/>
  <c r="T14" i="8"/>
  <c r="T18" i="8"/>
  <c r="AE6" i="8"/>
  <c r="R41" i="8"/>
  <c r="AD12" i="8"/>
  <c r="AD15" i="8"/>
  <c r="R47" i="8"/>
  <c r="R43" i="8"/>
  <c r="R48" i="8"/>
  <c r="R45" i="8"/>
  <c r="R46" i="8"/>
  <c r="R44" i="8"/>
  <c r="U15" i="8"/>
  <c r="AE14" i="8"/>
  <c r="T6" i="8"/>
  <c r="R42" i="8"/>
  <c r="T19" i="8"/>
  <c r="U7" i="8"/>
  <c r="T11" i="8"/>
  <c r="AF20" i="8" l="1"/>
  <c r="L41" i="8" s="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R22" i="8"/>
  <c r="V24" i="8"/>
  <c r="V31" i="8"/>
  <c r="V29" i="8"/>
  <c r="V30" i="8"/>
  <c r="V32" i="8"/>
  <c r="V28" i="8"/>
  <c r="V33" i="8"/>
  <c r="AE24" i="8"/>
  <c r="AE22" i="8" s="1"/>
  <c r="AE26" i="8"/>
  <c r="AE25" i="8"/>
  <c r="AE27" i="8"/>
  <c r="V26" i="8"/>
  <c r="L22" i="8"/>
  <c r="L36" i="8"/>
  <c r="V25" i="8"/>
  <c r="P36" i="8"/>
  <c r="R38" i="8"/>
  <c r="V40" i="8" s="1"/>
  <c r="V39" i="8" l="1"/>
  <c r="V41" i="8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C39" i="8"/>
  <c r="AC40" i="8"/>
  <c r="AC38" i="8"/>
  <c r="AC36" i="8" s="1"/>
  <c r="AA25" i="8"/>
  <c r="AA24" i="8"/>
  <c r="AA22" i="8" s="1"/>
  <c r="AK25" i="8"/>
  <c r="AK26" i="8"/>
  <c r="AK28" i="8"/>
  <c r="AK30" i="8"/>
  <c r="AK27" i="8"/>
  <c r="AK29" i="8"/>
  <c r="AK24" i="8"/>
  <c r="AK22" i="8" s="1"/>
  <c r="AM25" i="8"/>
  <c r="AM24" i="8"/>
  <c r="AM22" i="8" s="1"/>
  <c r="AM30" i="8"/>
  <c r="AM29" i="8"/>
  <c r="AM28" i="8"/>
  <c r="AM31" i="8"/>
  <c r="AM27" i="8"/>
  <c r="AM26" i="8"/>
  <c r="Y24" i="8"/>
  <c r="V21" i="8"/>
  <c r="V22" i="8"/>
  <c r="V34" i="8" s="1"/>
  <c r="AE41" i="8"/>
  <c r="AE40" i="8"/>
  <c r="AE39" i="8"/>
  <c r="AE38" i="8"/>
  <c r="AE36" i="8" s="1"/>
  <c r="AA38" i="8"/>
  <c r="AA36" i="8" s="1"/>
  <c r="AA39" i="8"/>
  <c r="AQ31" i="8"/>
  <c r="AQ25" i="8"/>
  <c r="AQ24" i="8"/>
  <c r="AQ22" i="8" s="1"/>
  <c r="AQ29" i="8"/>
  <c r="AQ28" i="8"/>
  <c r="AQ33" i="8"/>
  <c r="AQ30" i="8"/>
  <c r="AQ26" i="8"/>
  <c r="AQ27" i="8"/>
  <c r="AQ32" i="8"/>
  <c r="AG27" i="8"/>
  <c r="AG25" i="8"/>
  <c r="AG24" i="8"/>
  <c r="AG22" i="8" s="1"/>
  <c r="AG28" i="8"/>
  <c r="AG26" i="8"/>
  <c r="AI27" i="8"/>
  <c r="AI28" i="8"/>
  <c r="AI29" i="8"/>
  <c r="AI26" i="8"/>
  <c r="AI25" i="8"/>
  <c r="AI24" i="8"/>
  <c r="AI22" i="8" s="1"/>
  <c r="R36" i="8"/>
  <c r="V38" i="8"/>
  <c r="V43" i="8"/>
  <c r="V42" i="8"/>
  <c r="V46" i="8"/>
  <c r="V47" i="8"/>
  <c r="V45" i="8"/>
  <c r="V44" i="8"/>
  <c r="AC24" i="8"/>
  <c r="AC22" i="8" s="1"/>
  <c r="AC26" i="8"/>
  <c r="AC25" i="8"/>
  <c r="AO26" i="8"/>
  <c r="AO32" i="8"/>
  <c r="AO24" i="8"/>
  <c r="AO22" i="8" s="1"/>
  <c r="AO31" i="8"/>
  <c r="AO25" i="8"/>
  <c r="AO28" i="8"/>
  <c r="AO29" i="8"/>
  <c r="AO30" i="8"/>
  <c r="AO27" i="8"/>
  <c r="AA37" i="10" l="1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M39" i="8"/>
  <c r="AM42" i="8"/>
  <c r="AM45" i="8"/>
  <c r="AM44" i="8"/>
  <c r="AM38" i="8"/>
  <c r="AM36" i="8" s="1"/>
  <c r="AM41" i="8"/>
  <c r="AM43" i="8"/>
  <c r="AM40" i="8"/>
  <c r="AO44" i="8"/>
  <c r="AO39" i="8"/>
  <c r="AO42" i="8"/>
  <c r="AO38" i="8"/>
  <c r="AO36" i="8" s="1"/>
  <c r="AO41" i="8"/>
  <c r="AO43" i="8"/>
  <c r="AO40" i="8"/>
  <c r="AO45" i="8"/>
  <c r="AO46" i="8"/>
  <c r="Y22" i="8"/>
  <c r="V36" i="8"/>
  <c r="V48" i="8" s="1"/>
  <c r="Y38" i="8"/>
  <c r="V35" i="8"/>
  <c r="AI38" i="8"/>
  <c r="AI36" i="8" s="1"/>
  <c r="AI41" i="8"/>
  <c r="AI43" i="8"/>
  <c r="AI40" i="8"/>
  <c r="AI39" i="8"/>
  <c r="AI42" i="8"/>
  <c r="AK38" i="8"/>
  <c r="AK36" i="8" s="1"/>
  <c r="AK41" i="8"/>
  <c r="AK40" i="8"/>
  <c r="AK42" i="8"/>
  <c r="AK44" i="8"/>
  <c r="AK43" i="8"/>
  <c r="AK39" i="8"/>
  <c r="J30" i="8"/>
  <c r="AS33" i="8"/>
  <c r="J33" i="8" s="1"/>
  <c r="AS27" i="8"/>
  <c r="J27" i="8" s="1"/>
  <c r="AS32" i="8"/>
  <c r="J32" i="8" s="1"/>
  <c r="AS31" i="8"/>
  <c r="J31" i="8" s="1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AG39" i="8"/>
  <c r="AG41" i="8"/>
  <c r="AG42" i="8"/>
  <c r="AG40" i="8"/>
  <c r="AG38" i="8"/>
  <c r="AG36" i="8" s="1"/>
  <c r="AQ45" i="8"/>
  <c r="AQ46" i="8"/>
  <c r="AQ44" i="8"/>
  <c r="AQ38" i="8"/>
  <c r="AQ36" i="8" s="1"/>
  <c r="AQ39" i="8"/>
  <c r="AQ47" i="8"/>
  <c r="AQ42" i="8"/>
  <c r="AQ43" i="8"/>
  <c r="AQ41" i="8"/>
  <c r="AQ40" i="8"/>
  <c r="J37" i="10" l="1"/>
  <c r="AS37" i="10"/>
  <c r="AS36" i="10" s="1"/>
  <c r="H29" i="8"/>
  <c r="H28" i="8"/>
  <c r="H32" i="8"/>
  <c r="H33" i="8"/>
  <c r="H31" i="8"/>
  <c r="H34" i="8"/>
  <c r="Y36" i="8"/>
  <c r="J24" i="8"/>
  <c r="H25" i="8" s="1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AS47" i="8"/>
  <c r="AS46" i="8"/>
  <c r="J46" i="8" s="1"/>
  <c r="AS38" i="8"/>
  <c r="AS36" i="8" s="1"/>
  <c r="AS41" i="8"/>
  <c r="J41" i="8" s="1"/>
  <c r="AS42" i="8"/>
  <c r="J42" i="8" s="1"/>
  <c r="J47" i="8"/>
  <c r="H30" i="8"/>
  <c r="AS21" i="8"/>
  <c r="H44" i="8" l="1"/>
  <c r="BJ18" i="8"/>
  <c r="BJ19" i="8"/>
  <c r="H45" i="8"/>
  <c r="H43" i="8"/>
  <c r="BR36" i="8" s="1"/>
  <c r="H46" i="8"/>
  <c r="BJ20" i="8" s="1"/>
  <c r="BR38" i="8"/>
  <c r="BR37" i="8"/>
  <c r="BR30" i="8"/>
  <c r="BN11" i="8"/>
  <c r="BJ50" i="8"/>
  <c r="BN10" i="8"/>
  <c r="AS35" i="8"/>
  <c r="H26" i="8"/>
  <c r="H48" i="8"/>
  <c r="BJ58" i="8" s="1"/>
  <c r="H27" i="8"/>
  <c r="J38" i="8"/>
  <c r="H39" i="8" s="1"/>
  <c r="H42" i="8"/>
  <c r="BJ16" i="8" s="1"/>
  <c r="J22" i="8"/>
  <c r="H24" i="8"/>
  <c r="BJ44" i="8"/>
  <c r="BR18" i="8"/>
  <c r="BJ45" i="8"/>
  <c r="BJ48" i="8"/>
  <c r="H47" i="8"/>
  <c r="BJ47" i="8" s="1"/>
  <c r="BJ40" i="8"/>
  <c r="BJ39" i="8"/>
  <c r="BN8" i="8"/>
  <c r="BJ59" i="8"/>
  <c r="BR45" i="8"/>
  <c r="BR43" i="8"/>
  <c r="BR46" i="8"/>
  <c r="BR44" i="8" l="1"/>
  <c r="BJ52" i="8"/>
  <c r="BJ17" i="8"/>
  <c r="BR47" i="8"/>
  <c r="BN9" i="8"/>
  <c r="BR29" i="8"/>
  <c r="BJ42" i="8"/>
  <c r="BR23" i="8"/>
  <c r="BJ57" i="8"/>
  <c r="BJ22" i="8"/>
  <c r="BJ55" i="8"/>
  <c r="BR35" i="8"/>
  <c r="H41" i="8"/>
  <c r="BJ38" i="8"/>
  <c r="BN14" i="8"/>
  <c r="BR15" i="8"/>
  <c r="BR32" i="8"/>
  <c r="BR40" i="8"/>
  <c r="BR25" i="8"/>
  <c r="BR11" i="8"/>
  <c r="BN5" i="8"/>
  <c r="BR19" i="8"/>
  <c r="BR17" i="8"/>
  <c r="BR22" i="8"/>
  <c r="BR28" i="8"/>
  <c r="BN12" i="8"/>
  <c r="BJ21" i="8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6" i="8"/>
  <c r="BJ53" i="8"/>
  <c r="BJ43" i="8"/>
  <c r="BJ54" i="8"/>
  <c r="BJ15" i="8"/>
  <c r="J36" i="8"/>
  <c r="H38" i="8"/>
  <c r="BN4" i="8" s="1"/>
  <c r="B37" i="8" s="1"/>
  <c r="B36" i="8" s="1"/>
  <c r="BJ56" i="8"/>
  <c r="BJ8" i="8"/>
  <c r="BJ12" i="8"/>
  <c r="H22" i="8"/>
  <c r="BJ4" i="8"/>
  <c r="B38" i="8" s="1"/>
  <c r="BJ7" i="8"/>
  <c r="BJ13" i="8"/>
  <c r="BJ10" i="8"/>
  <c r="BJ6" i="8"/>
  <c r="BJ11" i="8"/>
  <c r="BJ9" i="8"/>
  <c r="BN13" i="8"/>
  <c r="BR13" i="8"/>
  <c r="BJ34" i="8"/>
  <c r="BJ36" i="8"/>
  <c r="BJ35" i="8"/>
  <c r="BJ31" i="8"/>
  <c r="BJ32" i="8"/>
  <c r="BJ33" i="8"/>
  <c r="BJ37" i="8"/>
  <c r="BR8" i="8"/>
  <c r="BN7" i="8"/>
  <c r="BR7" i="8"/>
  <c r="H40" i="8"/>
  <c r="BR21" i="8" l="1"/>
  <c r="BR42" i="8"/>
  <c r="BR27" i="8"/>
  <c r="BR34" i="8"/>
  <c r="BR26" i="8"/>
  <c r="BR16" i="8"/>
  <c r="BJ14" i="8"/>
  <c r="BR33" i="8"/>
  <c r="BR12" i="8"/>
  <c r="BR20" i="8"/>
  <c r="BR41" i="8"/>
  <c r="BR9" i="8"/>
  <c r="BJ5" i="8"/>
  <c r="H36" i="8"/>
  <c r="BR24" i="8"/>
  <c r="BJ49" i="8"/>
  <c r="BR14" i="8"/>
  <c r="BR4" i="8"/>
  <c r="B39" i="8" s="1"/>
  <c r="BR39" i="8"/>
  <c r="BR10" i="8"/>
  <c r="BR31" i="8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5" i="10" l="1"/>
  <c r="X15" i="10" s="1"/>
  <c r="AA14" i="10" s="1"/>
  <c r="AB14" i="10" s="1"/>
  <c r="U15" i="10"/>
  <c r="Y15" i="10" s="1"/>
  <c r="AG15" i="10" s="1"/>
  <c r="AH15" i="10" s="1"/>
  <c r="T13" i="10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U4" i="10"/>
  <c r="Y4" i="10" s="1"/>
  <c r="U9" i="10"/>
  <c r="Y9" i="10" s="1"/>
  <c r="AG9" i="10" s="1"/>
  <c r="AH9" i="10" s="1"/>
  <c r="AH10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0493624-B89C-4C05-9476-F70D4AB8F65B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5DDC9CA2-173C-4F4A-A913-112F46E8FAF7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A1D2F82B-A754-4DD6-ACE2-E2C36818886D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5B3582B-BAEB-47E6-B504-A7E2C7B40EB5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9E57ACC-0F53-415A-A34C-4C1122E1EB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F34E7E4-63EA-4BBF-8304-15B2AA9B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4A5C94A-5ACA-4275-AEC4-E910244311A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E02061-1F29-4878-9091-2D7CCEC142E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5036193-BFD7-45C1-88B7-884A37CB7BA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8AF56D7-5F22-4F0C-B997-3D6B89921CF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25274C40-AE7D-4EAC-84E2-B8746C592854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AAAF80C-447D-4723-94AF-B8FF3C95E0A1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F3CFF82-38EA-4FBF-894C-D7576C603D72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C17ADC7-E922-4165-B1E2-7D74B6554A1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2151AC81-7000-41C6-A54E-DF7545B1FB0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8350D66-DFD9-46D0-A404-A6DD22D8C9C5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99FA76C9-3DA7-44F0-A6DD-441A5B018287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F04D57F8-F228-478E-8FFA-F30A61233A2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F8607F0B-035E-4828-BEB5-877226FEE8D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E57B15D-05DB-44F3-A636-9036BB8C72D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8B273ADC-DDB8-46C5-80BD-28F3B18D397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456E3EA4-D1E8-49F8-80C0-3ADFF7691F9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D1C330D6-4B03-4408-845E-57CAAA9E70F2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1B0F8E66-8CD6-40BD-9397-1A0611595E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19C9409-5245-4247-8551-38A32B7FEB5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3AF46772-361F-4BF2-9606-F085D7B43AD7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33CDE141-5729-466D-BCAE-B7F66F7636A6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2FA0A080-B52E-485E-B163-607EBA767411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FABDCF0E-36B3-4C84-88F1-C6589BD2D9D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B48E391B-979F-4E01-8AE8-18D7120104C2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995EB25-4F88-45B3-A821-2A1ABCC28E7E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C73EBE1B-9452-4307-B176-F08C02D65088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BD4123B1-1D45-4F33-A1B2-84EED3F14432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BCF7551A-691B-42C0-9F86-7272CA95D6B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6F3152E-2A67-476D-B2C5-9002387BD09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6BACC5BC-D615-4DE0-B248-B757CB52BDF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D9C50997-C8A1-4CB4-9502-4A7B82290F03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CD77E8B0-E038-48B5-B18C-5AAE66EA8061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C368AE7D-C9DA-454D-B069-36D24822C69F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8E7B4BDE-AA29-4F75-9F53-1FD9930EE7A1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62CA0E8C-AB22-4E18-8822-16EED98C44A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B39511A1-7070-461E-B0B9-670F29256313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20129730-39A9-4B8E-9FEA-5940BB83A49D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E3302491-947D-4CA5-89C9-566ECD00C9C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B20CFAA2-471A-445C-A8DA-B258F4923F7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4C326C9F-054D-44E7-A79C-787BE28D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91CF2B4-A0BD-4383-B477-781A7133FAA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D05BF5B9-37C0-4962-989F-82912850507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827450AC-8D4C-4627-8228-2BE69B08023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FCB4F3F-D351-4B41-AE1D-392880CB86B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<sst xmlns="http://schemas.openxmlformats.org/spreadsheetml/2006/main" count="2378" uniqueCount="200">
  <si>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</si>
  <si>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</si>
  <si>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</si>
  <si>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</si>
  <si>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</si>
  <si>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</si>
  <si>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</si>
  <si>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</si>
  <si>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</si>
  <si>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</si>
  <si>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</si>
  <si>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</si>
  <si>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</si>
  <si>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</si>
  <si>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</si>
  <si>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</si>
  <si>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</si>
  <si>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</si>
  <si>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</si>
  <si>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</si>
  <si>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</si>
  <si>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</si>
  <si>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</si>
  <si>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</si>
  <si>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</si>
  <si>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pbase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</si>
  <si>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</si>
  <si>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</si>
  <si>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</si>
  <si>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</si>
  <si>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</si>
  <si>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</si>
  <si>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</si>
  <si>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</si>
  <si>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</si>
  <si>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</si>
  <si>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</si>
  <si>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</si>
  <si>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</si>
  <si>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</si>
  <si>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</si>
  <si>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</si>
  <si>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</si>
  <si>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</si>
  <si>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</si>
  <si>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</si>
  <si>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</si>
  <si>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</si>
  <si>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</si>
  <si>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</si>
  <si>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</si>
  <si>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</si>
  <si>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</si>
  <si>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</si>
  <si>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</si>
  <si>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</si>
  <si>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</si>
  <si>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</si>
  <si>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</si>
  <si>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</si>
  <si>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</si>
  <si>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</si>
  <si>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</si>
  <si>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</si>
  <si>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</si>
  <si>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</si>
  <si>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</si>
  <si>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</si>
  <si>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</si>
  <si>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</si>
  <si>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</si>
  <si>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</si>
  <si>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</si>
  <si>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</si>
  <si>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</si>
  <si>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</si>
  <si>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</si>
  <si>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</si>
  <si>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</si>
  <si>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</si>
  <si>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</si>
  <si>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</si>
  <si>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</si>
  <si>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</si>
  <si>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</si>
  <si>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</si>
  <si>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</si>
  <si>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</si>
  <si>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</si>
  <si>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</si>
  <si>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</si>
  <si>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</si>
  <si>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</si>
  <si>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</si>
  <si>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</si>
  <si>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</si>
  <si>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</si>
  <si>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</si>
  <si>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</si>
  <si>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</si>
  <si>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</si>
  <si>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</si>
  <si>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</si>
  <si>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</si>
  <si>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</si>
  <si>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</si>
  <si>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</si>
  <si>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</si>
  <si>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</si>
  <si>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</si>
  <si>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</si>
  <si>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</si>
  <si>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</si>
  <si>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</si>
  <si>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</si>
  <si>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</si>
  <si>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</si>
  <si>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</si>
  <si>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</si>
  <si>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</si>
  <si>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</si>
  <si>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</si>
  <si>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</si>
  <si>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</si>
  <si>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</si>
  <si>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</si>
  <si>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</si>
  <si>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</si>
  <si>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</si>
  <si>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</si>
  <si>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</si>
  <si>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</si>
  <si>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</si>
  <si>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</si>
  <si>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</si>
  <si>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</si>
  <si>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</si>
  <si>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</si>
  <si>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</si>
  <si>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</si>
  <si>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0,6</t>
  </si>
  <si>
    <t>0,72</t>
  </si>
  <si>
    <t>Tiro lejano</t>
  </si>
  <si>
    <t>07</t>
  </si>
  <si>
    <t>Ev.Clima</t>
  </si>
  <si>
    <t>&lt;debil</t>
  </si>
  <si>
    <t>Constantes Clima</t>
  </si>
  <si>
    <t>pLocal50</t>
  </si>
  <si>
    <t>pVis50</t>
  </si>
  <si>
    <t>FORM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</si>
  <si>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</si>
  <si>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</si>
  <si>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</si>
  <si>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</si>
  <si>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</si>
  <si>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</si>
  <si>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</si>
  <si>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</si>
  <si>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</si>
  <si>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</si>
  <si>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</si>
  <si>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</si>
  <si>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</si>
  <si>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</si>
  <si>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</si>
  <si>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</si>
  <si>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</si>
  <si>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</si>
  <si>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</si>
  <si>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</si>
  <si>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</si>
  <si>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</si>
  <si>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</si>
  <si>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</si>
  <si>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</si>
  <si>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</si>
  <si>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</si>
  <si>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</si>
  <si>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p_por_slot</t>
  </si>
  <si>
    <t>WB</t>
  </si>
  <si>
    <t>CD</t>
  </si>
  <si>
    <t>INN</t>
  </si>
  <si>
    <t>DAV</t>
  </si>
  <si>
    <t>Lokomotiv</t>
  </si>
  <si>
    <t>AIM</t>
  </si>
  <si>
    <t>NO</t>
  </si>
  <si>
    <t>CA</t>
  </si>
  <si>
    <t>DEF</t>
  </si>
  <si>
    <t>TL</t>
  </si>
  <si>
    <t>Conjunto</t>
  </si>
  <si>
    <t>exit</t>
  </si>
  <si>
    <t>Del POT</t>
  </si>
  <si>
    <t>Luke</t>
  </si>
  <si>
    <t>Stephen</t>
  </si>
  <si>
    <t>Gaditano</t>
  </si>
  <si>
    <t>VADER</t>
  </si>
  <si>
    <t>Pamboli</t>
  </si>
  <si>
    <t>Granada</t>
  </si>
  <si>
    <t>AOW</t>
  </si>
  <si>
    <t>Pallazo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</si>
</sst>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0.0"/>
  </numFmts>
  <fonts count="27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000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00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5" fontId="3" fillId="0" borderId="2" xfId="2" applyNumberFormat="1" applyFont="1" applyBorder="1"/>
    <xf numFmtId="165" fontId="2" fillId="0" borderId="2" xfId="2" applyNumberFormat="1" applyFont="1" applyBorder="1"/>
    <xf numFmtId="165" fontId="4" fillId="0" borderId="2" xfId="2" applyNumberFormat="1" applyFont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38" borderId="52" xfId="0" applyFont="1" applyFill="1" applyBorder="1" applyAlignment="1">
      <alignment horizontal="right"/>
    </xf>
    <xf numFmtId="0" fontId="0" fillId="38" borderId="52" xfId="0" applyFill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0" borderId="51" xfId="0" applyNumberFormat="1" applyFont="1" applyFill="1" applyBorder="1"/>
    <xf numFmtId="2" fontId="4" fillId="40" borderId="51" xfId="0" applyNumberFormat="1" applyFont="1" applyFill="1" applyBorder="1"/>
    <xf numFmtId="2" fontId="3" fillId="40" borderId="51" xfId="0" applyNumberFormat="1" applyFont="1" applyFill="1" applyBorder="1" applyAlignment="1">
      <alignment wrapText="1"/>
    </xf>
    <xf numFmtId="2" fontId="4" fillId="40" borderId="51" xfId="0" applyNumberFormat="1" applyFont="1" applyFill="1" applyBorder="1" applyAlignment="1">
      <alignment wrapText="1"/>
    </xf>
    <xf numFmtId="0" fontId="1" fillId="40" borderId="51" xfId="0" applyFont="1" applyFill="1" applyBorder="1" applyAlignment="1">
      <alignment horizontal="right"/>
    </xf>
    <xf numFmtId="0" fontId="7" fillId="40" borderId="51" xfId="0" applyFont="1" applyFill="1" applyBorder="1" applyAlignment="1">
      <alignment horizontal="right"/>
    </xf>
    <xf numFmtId="9" fontId="3" fillId="40" borderId="51" xfId="2" applyFont="1" applyFill="1" applyBorder="1"/>
    <xf numFmtId="9" fontId="4" fillId="40" borderId="51" xfId="2" applyFont="1" applyFill="1" applyBorder="1"/>
    <xf numFmtId="2" fontId="1" fillId="41" borderId="48" xfId="0" applyNumberFormat="1" applyFont="1" applyFill="1" applyBorder="1" applyAlignment="1">
      <alignment horizontal="center"/>
    </xf>
    <xf numFmtId="2" fontId="7" fillId="41" borderId="48" xfId="0" applyNumberFormat="1" applyFont="1" applyFill="1" applyBorder="1" applyAlignment="1">
      <alignment horizontal="center"/>
    </xf>
    <xf numFmtId="0" fontId="1" fillId="41" borderId="48" xfId="0" applyFont="1" applyFill="1" applyBorder="1" applyAlignment="1">
      <alignment horizontal="center"/>
    </xf>
    <xf numFmtId="0" fontId="7" fillId="41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2" borderId="5" xfId="1" applyNumberFormat="1" applyFont="1" applyFill="1" applyBorder="1"/>
    <xf numFmtId="167" fontId="0" fillId="42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48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48" xfId="0" applyFont="1" applyFill="1" applyBorder="1" applyAlignment="1"/>
    <xf numFmtId="0" fontId="0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0" applyNumberFormat="1"/>
    <xf numFmtId="2" fontId="26" fillId="43" borderId="0" xfId="0" applyNumberFormat="1" applyFont="1" applyFill="1" applyAlignment="1">
      <alignment horizontal="center"/>
    </xf>
    <xf numFmtId="2" fontId="26" fillId="44" borderId="0" xfId="0" applyNumberFormat="1" applyFont="1" applyFill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3" fillId="29" borderId="51" xfId="0" applyNumberFormat="1" applyFont="1" applyFill="1" applyBorder="1"/>
    <xf numFmtId="2" fontId="4" fillId="29" borderId="51" xfId="0" applyNumberFormat="1" applyFont="1" applyFill="1" applyBorder="1"/>
    <xf numFmtId="2" fontId="3" fillId="29" borderId="51" xfId="0" applyNumberFormat="1" applyFont="1" applyFill="1" applyBorder="1" applyAlignment="1">
      <alignment wrapText="1"/>
    </xf>
    <xf numFmtId="2" fontId="4" fillId="29" borderId="51" xfId="0" applyNumberFormat="1" applyFont="1" applyFill="1" applyBorder="1" applyAlignment="1">
      <alignment wrapText="1"/>
    </xf>
    <xf numFmtId="0" fontId="1" fillId="29" borderId="51" xfId="0" applyFont="1" applyFill="1" applyBorder="1" applyAlignment="1">
      <alignment horizontal="right"/>
    </xf>
    <xf numFmtId="0" fontId="7" fillId="29" borderId="51" xfId="0" applyFont="1" applyFill="1" applyBorder="1" applyAlignment="1">
      <alignment horizontal="right"/>
    </xf>
    <xf numFmtId="9" fontId="3" fillId="29" borderId="51" xfId="2" applyFont="1" applyFill="1" applyBorder="1"/>
    <xf numFmtId="9" fontId="4" fillId="29" borderId="51" xfId="2" applyFont="1" applyFill="1" applyBorder="1"/>
    <xf numFmtId="167" fontId="0" fillId="29" borderId="5" xfId="1" applyNumberFormat="1" applyFont="1" applyFill="1" applyBorder="1"/>
    <xf numFmtId="167" fontId="0" fillId="29" borderId="6" xfId="1" applyNumberFormat="1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0" fontId="0" fillId="46" borderId="30" xfId="0" applyFill="1" applyBorder="1" applyAlignment="1">
      <alignment horizontal="right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9" borderId="53" xfId="0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6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'Loko-LUKE'!$G$25:$G$35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'Loko-LUKE'!$H$25:$H$35</c:f>
              <c:numCache>
                <c:formatCode>0.0%</c:formatCode>
                <c:ptCount val="11"/>
                <c:pt idx="0">
                  <c:v>1.2363331905303388E-2</c:v>
                </c:pt>
                <c:pt idx="1">
                  <c:v>6.7182219122412956E-2</c:v>
                </c:pt>
                <c:pt idx="2">
                  <c:v>0.16527183683226751</c:v>
                </c:pt>
                <c:pt idx="3">
                  <c:v>0.24291328265791853</c:v>
                </c:pt>
                <c:pt idx="4">
                  <c:v>0.23702387623359883</c:v>
                </c:pt>
                <c:pt idx="5">
                  <c:v>0.16133345015840159</c:v>
                </c:pt>
                <c:pt idx="6">
                  <c:v>7.8353021347844207E-2</c:v>
                </c:pt>
                <c:pt idx="7">
                  <c:v>2.7330036662270019E-2</c:v>
                </c:pt>
                <c:pt idx="8">
                  <c:v>6.8290881442715397E-3</c:v>
                </c:pt>
                <c:pt idx="9">
                  <c:v>1.2214267246410961E-3</c:v>
                </c:pt>
                <c:pt idx="10">
                  <c:v>1.6033148056883347E-4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D-483D-B02D-0BD0BE1BBE1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'Loko-LUKE'!$G$25:$G$35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'Loko-LUKE'!$H$39:$H$49</c:f>
              <c:numCache>
                <c:formatCode>0.0%</c:formatCode>
                <c:ptCount val="11"/>
                <c:pt idx="0">
                  <c:v>6.0104559291194723E-2</c:v>
                </c:pt>
                <c:pt idx="1">
                  <c:v>0.18790099234103674</c:v>
                </c:pt>
                <c:pt idx="2">
                  <c:v>0.27189956628735679</c:v>
                </c:pt>
                <c:pt idx="3">
                  <c:v>0.24132876119890631</c:v>
                </c:pt>
                <c:pt idx="4">
                  <c:v>0.14669923708477739</c:v>
                </c:pt>
                <c:pt idx="5">
                  <c:v>6.4543615867823215E-2</c:v>
                </c:pt>
                <c:pt idx="6">
                  <c:v>2.1158976489501713E-2</c:v>
                </c:pt>
                <c:pt idx="7">
                  <c:v>5.2353822070371264E-3</c:v>
                </c:pt>
                <c:pt idx="8">
                  <c:v>9.7795874685751238E-4</c:v>
                </c:pt>
                <c:pt idx="9">
                  <c:v>1.3621155540375913E-4</c:v>
                </c:pt>
                <c:pt idx="10">
                  <c:v>1.3746271240537216E-5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D-483D-B02D-0BD0BE1BB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9.4131602063800252E-2</c:v>
                </c:pt>
                <c:pt idx="1">
                  <c:v>0.24607691593433095</c:v>
                </c:pt>
                <c:pt idx="2">
                  <c:v>0.29368516567870495</c:v>
                </c:pt>
                <c:pt idx="3">
                  <c:v>0.21277929200640597</c:v>
                </c:pt>
                <c:pt idx="4">
                  <c:v>0.10463163857987159</c:v>
                </c:pt>
                <c:pt idx="5">
                  <c:v>3.6909073977471021E-2</c:v>
                </c:pt>
                <c:pt idx="6">
                  <c:v>9.6115875593222426E-3</c:v>
                </c:pt>
                <c:pt idx="7">
                  <c:v>1.8709068303628552E-3</c:v>
                </c:pt>
                <c:pt idx="8">
                  <c:v>2.7220263986240138E-4</c:v>
                </c:pt>
                <c:pt idx="9">
                  <c:v>2.923827745920918E-5</c:v>
                </c:pt>
                <c:pt idx="10">
                  <c:v>2.2543747620017132E-6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A9-A509-63D9D82858D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2.1170003790391047E-3</c:v>
                </c:pt>
                <c:pt idx="1">
                  <c:v>1.7599583572250936E-2</c:v>
                </c:pt>
                <c:pt idx="2">
                  <c:v>6.5603054256469936E-2</c:v>
                </c:pt>
                <c:pt idx="3">
                  <c:v>0.14574089120456177</c:v>
                </c:pt>
                <c:pt idx="4">
                  <c:v>0.21603163645427509</c:v>
                </c:pt>
                <c:pt idx="5">
                  <c:v>0.22628250177965134</c:v>
                </c:pt>
                <c:pt idx="6">
                  <c:v>0.17272685777242217</c:v>
                </c:pt>
                <c:pt idx="7">
                  <c:v>9.7482384652308213E-2</c:v>
                </c:pt>
                <c:pt idx="8">
                  <c:v>4.0752308735787855E-2</c:v>
                </c:pt>
                <c:pt idx="9">
                  <c:v>1.2487208688733653E-2</c:v>
                </c:pt>
                <c:pt idx="10">
                  <c:v>2.732426061128947E-3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D-48A9-A509-63D9D828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VADER_ConjuntoVacio!$G$25:$G$35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VADER_ConjuntoVacio!$H$25:$H$35</c:f>
              <c:numCache>
                <c:formatCode>0.0%</c:formatCode>
                <c:ptCount val="11"/>
                <c:pt idx="0">
                  <c:v>0.10987001510731127</c:v>
                </c:pt>
                <c:pt idx="1">
                  <c:v>0.26340582919212852</c:v>
                </c:pt>
                <c:pt idx="2">
                  <c:v>0.29211339554924798</c:v>
                </c:pt>
                <c:pt idx="3">
                  <c:v>0.19904777568785958</c:v>
                </c:pt>
                <c:pt idx="4">
                  <c:v>9.3348022909823691E-2</c:v>
                </c:pt>
                <c:pt idx="5">
                  <c:v>3.1977483312269329E-2</c:v>
                </c:pt>
                <c:pt idx="6">
                  <c:v>8.2858481856518743E-3</c:v>
                </c:pt>
                <c:pt idx="7">
                  <c:v>1.6580830974790054E-3</c:v>
                </c:pt>
                <c:pt idx="8">
                  <c:v>2.588881796068894E-4</c:v>
                </c:pt>
                <c:pt idx="9">
                  <c:v>3.1511136796894318E-5</c:v>
                </c:pt>
                <c:pt idx="10">
                  <c:v>2.938211389142768E-6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1-43A8-835D-DDA94C8DEBC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VADER_ConjuntoVacio!$G$25:$G$35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VADER_ConjuntoVacio!$H$39:$H$49</c:f>
              <c:numCache>
                <c:formatCode>0.0%</c:formatCode>
                <c:ptCount val="11"/>
                <c:pt idx="0">
                  <c:v>0.12472141577519362</c:v>
                </c:pt>
                <c:pt idx="1">
                  <c:v>0.28085365105729226</c:v>
                </c:pt>
                <c:pt idx="2">
                  <c:v>0.29254662204713355</c:v>
                </c:pt>
                <c:pt idx="3">
                  <c:v>0.18685456058832833</c:v>
                </c:pt>
                <c:pt idx="4">
                  <c:v>8.1747496934640049E-2</c:v>
                </c:pt>
                <c:pt idx="5">
                  <c:v>2.5899191723414393E-2</c:v>
                </c:pt>
                <c:pt idx="6">
                  <c:v>6.1200645683164292E-3</c:v>
                </c:pt>
                <c:pt idx="7">
                  <c:v>1.0932011291915865E-3</c:v>
                </c:pt>
                <c:pt idx="8">
                  <c:v>1.4772245812253804E-4</c:v>
                </c:pt>
                <c:pt idx="9">
                  <c:v>1.4921374672240805E-5</c:v>
                </c:pt>
                <c:pt idx="10">
                  <c:v>1.095279321480267E-6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3A8-835D-DDA94C8D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'VADER-Stephen'!$G$25:$G$35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'VADER-Stephen'!$H$25:$H$35</c:f>
              <c:numCache>
                <c:formatCode>0.0%</c:formatCode>
                <c:ptCount val="11"/>
                <c:pt idx="0">
                  <c:v>0.12230360724809816</c:v>
                </c:pt>
                <c:pt idx="1">
                  <c:v>0.27932507976862397</c:v>
                </c:pt>
                <c:pt idx="2">
                  <c:v>0.28993717544631559</c:v>
                </c:pt>
                <c:pt idx="3">
                  <c:v>0.18657185129017745</c:v>
                </c:pt>
                <c:pt idx="4">
                  <c:v>8.4471608899284484E-2</c:v>
                </c:pt>
                <c:pt idx="5">
                  <c:v>2.8474591483930282E-2</c:v>
                </c:pt>
                <c:pt idx="6">
                  <c:v>7.2790053099769112E-3</c:v>
                </c:pt>
                <c:pt idx="7">
                  <c:v>1.4088486136837443E-3</c:v>
                </c:pt>
                <c:pt idx="8">
                  <c:v>2.0443304861034425E-4</c:v>
                </c:pt>
                <c:pt idx="9">
                  <c:v>2.1970716530150559E-5</c:v>
                </c:pt>
                <c:pt idx="10">
                  <c:v>1.7268059820888904E-6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92D-91D6-161A8AB399A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'VADER-Stephen'!$G$25:$G$35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'VADER-Stephen'!$H$39:$H$49</c:f>
              <c:numCache>
                <c:formatCode>0.0%</c:formatCode>
                <c:ptCount val="11"/>
                <c:pt idx="0">
                  <c:v>0.11143872137056403</c:v>
                </c:pt>
                <c:pt idx="1">
                  <c:v>0.267706104368578</c:v>
                </c:pt>
                <c:pt idx="2">
                  <c:v>0.29518592867549387</c:v>
                </c:pt>
                <c:pt idx="3">
                  <c:v>0.19784357777325087</c:v>
                </c:pt>
                <c:pt idx="4">
                  <c:v>8.9962679592404948E-2</c:v>
                </c:pt>
                <c:pt idx="5">
                  <c:v>2.9331313276563378E-2</c:v>
                </c:pt>
                <c:pt idx="6">
                  <c:v>7.0642733169668272E-3</c:v>
                </c:pt>
                <c:pt idx="7">
                  <c:v>1.2753382405726636E-3</c:v>
                </c:pt>
                <c:pt idx="8">
                  <c:v>1.7315501956657742E-4</c:v>
                </c:pt>
                <c:pt idx="9">
                  <c:v>1.7542747056746084E-5</c:v>
                </c:pt>
                <c:pt idx="10">
                  <c:v>1.2967467993652017E-6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92D-91D6-161A8AB3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'Gaditano-VADER'!$G$25:$G$35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'Gaditano-VADER'!$H$25:$H$35</c:f>
              <c:numCache>
                <c:formatCode>0.0%</c:formatCode>
                <c:ptCount val="11"/>
                <c:pt idx="0">
                  <c:v>0.1257095381237491</c:v>
                </c:pt>
                <c:pt idx="1">
                  <c:v>0.2836733359816242</c:v>
                </c:pt>
                <c:pt idx="2">
                  <c:v>0.294156329997386</c:v>
                </c:pt>
                <c:pt idx="3">
                  <c:v>0.1856501778146834</c:v>
                </c:pt>
                <c:pt idx="4">
                  <c:v>7.9611088588264475E-2</c:v>
                </c:pt>
                <c:pt idx="5">
                  <c:v>2.4518915667777433E-2</c:v>
                </c:pt>
                <c:pt idx="6">
                  <c:v>5.5881716590905012E-3</c:v>
                </c:pt>
                <c:pt idx="7">
                  <c:v>9.5639686318498604E-4</c:v>
                </c:pt>
                <c:pt idx="8">
                  <c:v>1.2329585809445277E-4</c:v>
                </c:pt>
                <c:pt idx="9">
                  <c:v>1.1873186302326362E-5</c:v>
                </c:pt>
                <c:pt idx="10">
                  <c:v>8.3427160185234162E-7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C92-B28E-D4D75FB63D81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'Gaditano-VADER'!$G$25:$G$35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'Gaditano-VADER'!$H$39:$H$49</c:f>
              <c:numCache>
                <c:formatCode>0.0%</c:formatCode>
                <c:ptCount val="11"/>
                <c:pt idx="0">
                  <c:v>0.13837194244249698</c:v>
                </c:pt>
                <c:pt idx="1">
                  <c:v>0.28251762825523141</c:v>
                </c:pt>
                <c:pt idx="2">
                  <c:v>0.27075668362120281</c:v>
                </c:pt>
                <c:pt idx="3">
                  <c:v>0.17394282353857857</c:v>
                </c:pt>
                <c:pt idx="4">
                  <c:v>8.6260417072378456E-2</c:v>
                </c:pt>
                <c:pt idx="5">
                  <c:v>3.4192959918274826E-2</c:v>
                </c:pt>
                <c:pt idx="6">
                  <c:v>1.0732272905978576E-2</c:v>
                </c:pt>
                <c:pt idx="7">
                  <c:v>2.6357469084390571E-3</c:v>
                </c:pt>
                <c:pt idx="8">
                  <c:v>5.0460996952740415E-4</c:v>
                </c:pt>
                <c:pt idx="9">
                  <c:v>7.5345907588512568E-5</c:v>
                </c:pt>
                <c:pt idx="10">
                  <c:v>8.7469841632668295E-6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C92-B28E-D4D75FB6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'VADER-Pamboli'!$G$25:$G$35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'VADER-Pamboli'!$H$25:$H$35</c:f>
              <c:numCache>
                <c:formatCode>0.0%</c:formatCode>
                <c:ptCount val="11"/>
                <c:pt idx="0">
                  <c:v>1.2189096192984578E-2</c:v>
                </c:pt>
                <c:pt idx="1">
                  <c:v>6.4228992234881141E-2</c:v>
                </c:pt>
                <c:pt idx="2">
                  <c:v>0.15494911205171821</c:v>
                </c:pt>
                <c:pt idx="3">
                  <c:v>0.22727007477373598</c:v>
                </c:pt>
                <c:pt idx="4">
                  <c:v>0.22737097505006607</c:v>
                </c:pt>
                <c:pt idx="5">
                  <c:v>0.16537368371102559</c:v>
                </c:pt>
                <c:pt idx="6">
                  <c:v>9.1227292855083172E-2</c:v>
                </c:pt>
                <c:pt idx="7">
                  <c:v>3.9337528875901889E-2</c:v>
                </c:pt>
                <c:pt idx="8">
                  <c:v>1.3489838557085746E-2</c:v>
                </c:pt>
                <c:pt idx="9">
                  <c:v>3.669043178529687E-3</c:v>
                </c:pt>
                <c:pt idx="10">
                  <c:v>7.6735861302201346E-4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A-4AF1-9023-CBB182630787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'VADER-Pamboli'!$G$25:$G$35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'VADER-Pamboli'!$H$39:$H$49</c:f>
              <c:numCache>
                <c:formatCode>0.0%</c:formatCode>
                <c:ptCount val="11"/>
                <c:pt idx="0">
                  <c:v>7.6858765203860063E-2</c:v>
                </c:pt>
                <c:pt idx="1">
                  <c:v>0.21936554602103217</c:v>
                </c:pt>
                <c:pt idx="2">
                  <c:v>0.28724559046888587</c:v>
                </c:pt>
                <c:pt idx="3">
                  <c:v>0.22851711558483076</c:v>
                </c:pt>
                <c:pt idx="4">
                  <c:v>0.12328229609852316</c:v>
                </c:pt>
                <c:pt idx="5">
                  <c:v>4.7670549136902808E-2</c:v>
                </c:pt>
                <c:pt idx="6">
                  <c:v>1.3613926063713486E-2</c:v>
                </c:pt>
                <c:pt idx="7">
                  <c:v>2.9147309380484808E-3</c:v>
                </c:pt>
                <c:pt idx="8">
                  <c:v>4.6963408484251135E-4</c:v>
                </c:pt>
                <c:pt idx="9">
                  <c:v>5.6547573313191367E-5</c:v>
                </c:pt>
                <c:pt idx="10">
                  <c:v>4.9803807811424153E-6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A-4AF1-9023-CBB18263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'Granada-VADER'!$G$25:$G$35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'Granada-VADER'!$H$25:$H$35</c:f>
              <c:numCache>
                <c:formatCode>0.0%</c:formatCode>
                <c:ptCount val="11"/>
                <c:pt idx="0">
                  <c:v>6.9055383424580813E-2</c:v>
                </c:pt>
                <c:pt idx="1">
                  <c:v>0.20508844115589453</c:v>
                </c:pt>
                <c:pt idx="2">
                  <c:v>0.28068746248438015</c:v>
                </c:pt>
                <c:pt idx="3">
                  <c:v>0.23462805113002794</c:v>
                </c:pt>
                <c:pt idx="4">
                  <c:v>0.13383092563100052</c:v>
                </c:pt>
                <c:pt idx="5">
                  <c:v>5.5109076816475117E-2</c:v>
                </c:pt>
                <c:pt idx="6">
                  <c:v>1.6895144968699774E-2</c:v>
                </c:pt>
                <c:pt idx="7">
                  <c:v>3.9162136995998841E-3</c:v>
                </c:pt>
                <c:pt idx="8">
                  <c:v>6.8873038851143215E-4</c:v>
                </c:pt>
                <c:pt idx="9">
                  <c:v>9.1104388978731007E-5</c:v>
                </c:pt>
                <c:pt idx="10">
                  <c:v>8.8421318125840591E-6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D-4D37-8B78-9F53A924D29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'Granada-VADER'!$G$25:$G$35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'Granada-VADER'!$H$39:$H$49</c:f>
              <c:numCache>
                <c:formatCode>0.0%</c:formatCode>
                <c:ptCount val="11"/>
                <c:pt idx="0">
                  <c:v>9.6154533730176267E-2</c:v>
                </c:pt>
                <c:pt idx="1">
                  <c:v>0.23732307693638194</c:v>
                </c:pt>
                <c:pt idx="2">
                  <c:v>0.26463358340114757</c:v>
                </c:pt>
                <c:pt idx="3">
                  <c:v>0.19574958409176468</c:v>
                </c:pt>
                <c:pt idx="4">
                  <c:v>0.11740606921397273</c:v>
                </c:pt>
                <c:pt idx="5">
                  <c:v>5.8704866232579145E-2</c:v>
                </c:pt>
                <c:pt idx="6">
                  <c:v>2.2551772262624503E-2</c:v>
                </c:pt>
                <c:pt idx="7">
                  <c:v>6.1747908472714972E-3</c:v>
                </c:pt>
                <c:pt idx="8">
                  <c:v>1.1503348263039428E-3</c:v>
                </c:pt>
                <c:pt idx="9">
                  <c:v>1.4020211370724986E-4</c:v>
                </c:pt>
                <c:pt idx="10">
                  <c:v>1.0681596955811946E-5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D-4D37-8B78-9F53A924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'VADER-Granada'!$G$25:$G$35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'VADER-Granada'!$H$25:$H$35</c:f>
              <c:numCache>
                <c:formatCode>0.0%</c:formatCode>
                <c:ptCount val="11"/>
                <c:pt idx="0">
                  <c:v>0.14261984781291454</c:v>
                </c:pt>
                <c:pt idx="1">
                  <c:v>0.30034295807042555</c:v>
                </c:pt>
                <c:pt idx="2">
                  <c:v>0.2821404869406417</c:v>
                </c:pt>
                <c:pt idx="3">
                  <c:v>0.16791275458582325</c:v>
                </c:pt>
                <c:pt idx="4">
                  <c:v>7.376591364843306E-2</c:v>
                </c:pt>
                <c:pt idx="5">
                  <c:v>2.5152771013132756E-2</c:v>
                </c:pt>
                <c:pt idx="6">
                  <c:v>6.5809425508006319E-3</c:v>
                </c:pt>
                <c:pt idx="7">
                  <c:v>1.2829540863147895E-3</c:v>
                </c:pt>
                <c:pt idx="8">
                  <c:v>1.816753784488801E-4</c:v>
                </c:pt>
                <c:pt idx="9">
                  <c:v>1.8331265655320934E-5</c:v>
                </c:pt>
                <c:pt idx="10">
                  <c:v>1.2986452072511791E-6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0BE-B847-1751BCE20567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'VADER-Granada'!$G$25:$G$35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'VADER-Granada'!$H$39:$H$49</c:f>
              <c:numCache>
                <c:formatCode>0.0%</c:formatCode>
                <c:ptCount val="11"/>
                <c:pt idx="0">
                  <c:v>0.10225102093740261</c:v>
                </c:pt>
                <c:pt idx="1">
                  <c:v>0.25545493437663797</c:v>
                </c:pt>
                <c:pt idx="2">
                  <c:v>0.29373813490575512</c:v>
                </c:pt>
                <c:pt idx="3">
                  <c:v>0.20594406622474692</c:v>
                </c:pt>
                <c:pt idx="4">
                  <c:v>9.8306351523864063E-2</c:v>
                </c:pt>
                <c:pt idx="5">
                  <c:v>3.3777870019864209E-2</c:v>
                </c:pt>
                <c:pt idx="6">
                  <c:v>8.6089084227494866E-3</c:v>
                </c:pt>
                <c:pt idx="7">
                  <c:v>1.6515053875133267E-3</c:v>
                </c:pt>
                <c:pt idx="8">
                  <c:v>2.3914047104963793E-4</c:v>
                </c:pt>
                <c:pt idx="9">
                  <c:v>2.5903440644562657E-5</c:v>
                </c:pt>
                <c:pt idx="10">
                  <c:v>2.0480164310893701E-6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6-40BE-B847-1751BCE2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'Pamboli-VADER'!$G$25:$G$35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'Pamboli-VADER'!$H$25:$H$35</c:f>
              <c:numCache>
                <c:formatCode>0.0%</c:formatCode>
                <c:ptCount val="11"/>
                <c:pt idx="0">
                  <c:v>8.0618652617237108E-2</c:v>
                </c:pt>
                <c:pt idx="1">
                  <c:v>0.22564959705397852</c:v>
                </c:pt>
                <c:pt idx="2">
                  <c:v>0.28948204296460667</c:v>
                </c:pt>
                <c:pt idx="3">
                  <c:v>0.22533394212555832</c:v>
                </c:pt>
                <c:pt idx="4">
                  <c:v>0.11873948286820526</c:v>
                </c:pt>
                <c:pt idx="5">
                  <c:v>4.4742721948507501E-2</c:v>
                </c:pt>
                <c:pt idx="6">
                  <c:v>1.2413356155677457E-2</c:v>
                </c:pt>
                <c:pt idx="7">
                  <c:v>2.5714135848243051E-3</c:v>
                </c:pt>
                <c:pt idx="8">
                  <c:v>3.9879090163479145E-4</c:v>
                </c:pt>
                <c:pt idx="9">
                  <c:v>4.5927153728778394E-5</c:v>
                </c:pt>
                <c:pt idx="10">
                  <c:v>3.8415637247697191E-6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E-43B6-9907-668973FC1DAE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'Pamboli-VADER'!$G$25:$G$35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'Pamboli-VADER'!$H$39:$H$49</c:f>
              <c:numCache>
                <c:formatCode>0.0%</c:formatCode>
                <c:ptCount val="11"/>
                <c:pt idx="0">
                  <c:v>7.4389048401717117E-2</c:v>
                </c:pt>
                <c:pt idx="1">
                  <c:v>0.20320496063351443</c:v>
                </c:pt>
                <c:pt idx="2">
                  <c:v>0.26647933907313304</c:v>
                </c:pt>
                <c:pt idx="3">
                  <c:v>0.22605898797234358</c:v>
                </c:pt>
                <c:pt idx="4">
                  <c:v>0.13844445808029782</c:v>
                </c:pt>
                <c:pt idx="5">
                  <c:v>6.3351690976828773E-2</c:v>
                </c:pt>
                <c:pt idx="6">
                  <c:v>2.1600644996110252E-2</c:v>
                </c:pt>
                <c:pt idx="7">
                  <c:v>5.3863298580354192E-3</c:v>
                </c:pt>
                <c:pt idx="8">
                  <c:v>9.5709100751363357E-4</c:v>
                </c:pt>
                <c:pt idx="9">
                  <c:v>1.1735302116812896E-4</c:v>
                </c:pt>
                <c:pt idx="10">
                  <c:v>9.5725795473953434E-6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E-43B6-9907-668973FC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'LUKE-Palazzo'!$G$25:$G$35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'LUKE-Palazzo'!$H$25:$H$35</c:f>
              <c:numCache>
                <c:formatCode>0.0%</c:formatCode>
                <c:ptCount val="11"/>
                <c:pt idx="0">
                  <c:v>4.1046339864347664E-2</c:v>
                </c:pt>
                <c:pt idx="1">
                  <c:v>0.14839801888806875</c:v>
                </c:pt>
                <c:pt idx="2">
                  <c:v>0.2475842891921794</c:v>
                </c:pt>
                <c:pt idx="3">
                  <c:v>0.25265666781830964</c:v>
                </c:pt>
                <c:pt idx="4">
                  <c:v>0.17619783212353304</c:v>
                </c:pt>
                <c:pt idx="5">
                  <c:v>8.8829648899822644E-2</c:v>
                </c:pt>
                <c:pt idx="6">
                  <c:v>3.3378379404468791E-2</c:v>
                </c:pt>
                <c:pt idx="7">
                  <c:v>9.4884870588494465E-3</c:v>
                </c:pt>
                <c:pt idx="8">
                  <c:v>2.046129376126127E-3</c:v>
                </c:pt>
                <c:pt idx="9">
                  <c:v>3.3148710670480514E-4</c:v>
                </c:pt>
                <c:pt idx="10">
                  <c:v>3.9312333488108472E-5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6-4D99-8290-D8DF529F71F3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'LUKE-Palazzo'!$G$25:$G$35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'LUKE-Palazzo'!$H$39:$H$49</c:f>
              <c:numCache>
                <c:formatCode>0.0%</c:formatCode>
                <c:ptCount val="11"/>
                <c:pt idx="0">
                  <c:v>0.49749456203159276</c:v>
                </c:pt>
                <c:pt idx="1">
                  <c:v>0.32967850086614292</c:v>
                </c:pt>
                <c:pt idx="2">
                  <c:v>9.8649124755931766E-2</c:v>
                </c:pt>
                <c:pt idx="3">
                  <c:v>4.9211505514933571E-2</c:v>
                </c:pt>
                <c:pt idx="4">
                  <c:v>1.9750284398184055E-2</c:v>
                </c:pt>
                <c:pt idx="5">
                  <c:v>4.524194181835875E-3</c:v>
                </c:pt>
                <c:pt idx="6">
                  <c:v>6.3104554153514236E-4</c:v>
                </c:pt>
                <c:pt idx="7">
                  <c:v>5.7151425401757822E-5</c:v>
                </c:pt>
                <c:pt idx="8">
                  <c:v>3.4820282489160355E-6</c:v>
                </c:pt>
                <c:pt idx="9">
                  <c:v>1.4501970054477343E-7</c:v>
                </c:pt>
                <c:pt idx="10">
                  <c:v>4.1533210573533972E-9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6-4D99-8290-D8DF529F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9F422-D342-473A-9260-990F962D8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9513-FA69-43F1-9C6A-2A9B3565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1E3F10-37FB-4C5B-93D7-E4806F44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D459CD-4C9A-4F01-B5C9-6910C008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6E3CAC-ECFD-4B0A-8D08-6811B136D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0666C6-29BB-4251-A88E-D619139FD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2540E-D202-4483-B9F8-A3B9D768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59FA05-F0C4-4582-8215-B9F21D4B5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31754</xdr:colOff>
      <xdr:row>16</xdr:row>
      <xdr:rowOff>74083</xdr:rowOff>
    </xdr:from>
    <xdr:to>
      <xdr:col>26</xdr:col>
      <xdr:colOff>486834</xdr:colOff>
      <xdr:row>36</xdr:row>
      <xdr:rowOff>10582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A83AB3-E5A7-465E-BFBF-F2446A641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2554A1-32C0-4EC7-B6B9-4E9050D9E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-Scouting-VA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DOR_v5"/>
      <sheetName val="Pamboli"/>
    </sheetNames>
    <sheetDataSet>
      <sheetData sheetId="0">
        <row r="25">
          <cell r="G25">
            <v>0</v>
          </cell>
          <cell r="H25">
            <v>9.4131602063800252E-2</v>
          </cell>
        </row>
        <row r="26">
          <cell r="G26">
            <v>1</v>
          </cell>
          <cell r="H26">
            <v>0.24607691593433095</v>
          </cell>
        </row>
        <row r="27">
          <cell r="G27">
            <v>2</v>
          </cell>
          <cell r="H27">
            <v>0.29368516567870495</v>
          </cell>
        </row>
        <row r="28">
          <cell r="G28">
            <v>3</v>
          </cell>
          <cell r="H28">
            <v>0.21277929200640597</v>
          </cell>
        </row>
        <row r="29">
          <cell r="G29">
            <v>4</v>
          </cell>
          <cell r="H29">
            <v>0.10463163857987159</v>
          </cell>
        </row>
        <row r="30">
          <cell r="G30">
            <v>5</v>
          </cell>
          <cell r="H30">
            <v>3.6909073977471021E-2</v>
          </cell>
        </row>
        <row r="31">
          <cell r="G31">
            <v>6</v>
          </cell>
          <cell r="H31">
            <v>9.6115875593222426E-3</v>
          </cell>
        </row>
        <row r="32">
          <cell r="G32">
            <v>7</v>
          </cell>
          <cell r="H32">
            <v>1.8709068303628552E-3</v>
          </cell>
        </row>
        <row r="33">
          <cell r="G33">
            <v>8</v>
          </cell>
          <cell r="H33">
            <v>2.7220263986240138E-4</v>
          </cell>
        </row>
        <row r="34">
          <cell r="G34">
            <v>9</v>
          </cell>
          <cell r="H34">
            <v>2.923827745920918E-5</v>
          </cell>
        </row>
        <row r="35">
          <cell r="G35">
            <v>10</v>
          </cell>
          <cell r="H35">
            <v>2.2543747620017132E-6</v>
          </cell>
        </row>
        <row r="39">
          <cell r="H39">
            <v>2.1170003790391047E-3</v>
          </cell>
        </row>
        <row r="40">
          <cell r="H40">
            <v>1.7599583572250936E-2</v>
          </cell>
        </row>
        <row r="41">
          <cell r="H41">
            <v>6.5603054256469936E-2</v>
          </cell>
        </row>
        <row r="42">
          <cell r="H42">
            <v>0.14574089120456177</v>
          </cell>
        </row>
        <row r="43">
          <cell r="H43">
            <v>0.21603163645427509</v>
          </cell>
        </row>
        <row r="44">
          <cell r="H44">
            <v>0.22628250177965134</v>
          </cell>
        </row>
        <row r="45">
          <cell r="H45">
            <v>0.17272685777242217</v>
          </cell>
        </row>
        <row r="46">
          <cell r="H46">
            <v>9.7482384652308213E-2</v>
          </cell>
        </row>
        <row r="47">
          <cell r="H47">
            <v>4.0752308735787855E-2</v>
          </cell>
        </row>
        <row r="48">
          <cell r="H48">
            <v>1.2487208688733653E-2</v>
          </cell>
        </row>
        <row r="49">
          <cell r="H49">
            <v>2.732426061128947E-3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CDCB-ACF9-4DDF-91A2-3A41B09DEE00}">
  <sheetPr>
    <tabColor rgb="FF00B050"/>
  </sheetPr>
  <dimension ref="A1:BS59"/>
  <sheetViews>
    <sheetView zoomScale="90" zoomScaleNormal="90" workbookViewId="0">
      <selection activeCell="C6" sqref="C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70" t="s">
        <v>183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1</v>
      </c>
      <c r="Q1" s="263">
        <f>COUNTIF(F10:H10,"CAB")+COUNTIF(E9:I9,"CAB")</f>
        <v>1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70" t="s">
        <v>192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3.6700000000000004</v>
      </c>
      <c r="S2" s="166">
        <f>SUM(S4:S15)</f>
        <v>3.6700000000000004</v>
      </c>
      <c r="T2" s="219">
        <f>SUM(T4:T16)</f>
        <v>0.26458263860498787</v>
      </c>
      <c r="U2" s="219">
        <f>SUM(U4:U16)</f>
        <v>0.83850365428213236</v>
      </c>
      <c r="V2" s="157"/>
      <c r="W2" s="157"/>
      <c r="X2" s="253">
        <f>SUM(X4:X16)</f>
        <v>0.14327351177348929</v>
      </c>
      <c r="Y2" s="254">
        <f>SUM(Y4:Y16)</f>
        <v>0.43853110231770759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9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151</v>
      </c>
      <c r="F4" s="283" t="s">
        <v>151</v>
      </c>
      <c r="G4" s="283" t="s">
        <v>33</v>
      </c>
      <c r="H4" s="283" t="s">
        <v>151</v>
      </c>
      <c r="I4" s="283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1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0.45</v>
      </c>
      <c r="T4" s="226">
        <f>IF(S4=0,0,S4*(P4^2.7/(P4^2.7+Q4^2.7))*P4/L4)</f>
        <v>3.7499999999999999E-2</v>
      </c>
      <c r="U4" s="228">
        <f>IF(S4=0,0,S4*Q4^2.7/(P4^2.7+Q4^2.7)*Q4/L4)</f>
        <v>3.7499999999999999E-2</v>
      </c>
      <c r="V4" s="218">
        <f>$G$17</f>
        <v>0.56999999999999995</v>
      </c>
      <c r="W4" s="216">
        <v>0.1</v>
      </c>
      <c r="X4" s="251">
        <f>V4*T4</f>
        <v>2.1374999999999998E-2</v>
      </c>
      <c r="Y4" s="252">
        <f>W4*U4</f>
        <v>3.7499999999999999E-3</v>
      </c>
      <c r="Z4" s="190"/>
      <c r="AA4" s="244">
        <f>X4</f>
        <v>2.1374999999999998E-2</v>
      </c>
      <c r="AB4" s="245">
        <f>1-AA4</f>
        <v>0.97862499999999997</v>
      </c>
      <c r="AC4" s="245">
        <f>PRODUCT(AB5:AB16)*AA4</f>
        <v>1.8877584516529287E-2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3.7499999999999999E-3</v>
      </c>
      <c r="AH4" s="247">
        <f t="shared" ref="AH4:AH16" si="2">(1-AG4)</f>
        <v>0.99624999999999997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2.3230823336481072E-3</v>
      </c>
      <c r="BM4" s="31">
        <v>0</v>
      </c>
      <c r="BN4" s="31">
        <v>0</v>
      </c>
      <c r="BO4" s="107">
        <f>H25*H39</f>
        <v>7.4309261553902686E-4</v>
      </c>
      <c r="BQ4" s="31">
        <v>1</v>
      </c>
      <c r="BR4" s="31">
        <v>0</v>
      </c>
      <c r="BS4" s="107">
        <f>$H$26*H39</f>
        <v>4.0379576725571055E-3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151</v>
      </c>
      <c r="F5" s="283" t="s">
        <v>2</v>
      </c>
      <c r="G5" s="283" t="s">
        <v>138</v>
      </c>
      <c r="H5" s="283" t="s">
        <v>151</v>
      </c>
      <c r="I5" s="283" t="s">
        <v>151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0.35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4.3749999999999997E-2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2.4937499999999998E-2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2.4937499999999998E-2</v>
      </c>
      <c r="AH5" s="247">
        <f t="shared" si="2"/>
        <v>0.97506250000000005</v>
      </c>
      <c r="AI5" s="247">
        <f>AG5*PRODUCT(AH3:AH4)*PRODUCT(AH6:AH17)</f>
        <v>1.6216470645606162E-2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7.2064869171307314E-3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3.3615845829186317E-3</v>
      </c>
      <c r="BM5" s="31">
        <v>1</v>
      </c>
      <c r="BN5" s="31">
        <v>1</v>
      </c>
      <c r="BO5" s="107">
        <f>$H$26*H40</f>
        <v>1.2623605640774369E-2</v>
      </c>
      <c r="BQ5" s="31">
        <f>BQ4+1</f>
        <v>2</v>
      </c>
      <c r="BR5" s="31">
        <v>0</v>
      </c>
      <c r="BS5" s="107">
        <f>$H$27*H39</f>
        <v>9.9335909160496831E-3</v>
      </c>
    </row>
    <row r="6" spans="1:71" ht="15.75" x14ac:dyDescent="0.25">
      <c r="A6" s="2" t="s">
        <v>31</v>
      </c>
      <c r="B6" s="271">
        <v>13</v>
      </c>
      <c r="C6" s="272">
        <v>14</v>
      </c>
      <c r="E6" s="211"/>
      <c r="F6" s="283" t="s">
        <v>1</v>
      </c>
      <c r="G6" s="283" t="s">
        <v>151</v>
      </c>
      <c r="H6" s="283" t="s">
        <v>151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2</v>
      </c>
      <c r="R6" s="221">
        <f t="shared" si="0"/>
        <v>0.45</v>
      </c>
      <c r="S6" s="221">
        <f t="shared" si="1"/>
        <v>0.45</v>
      </c>
      <c r="T6" s="226">
        <f t="shared" si="5"/>
        <v>4.6166039091976646E-3</v>
      </c>
      <c r="U6" s="228">
        <f t="shared" si="6"/>
        <v>5.9997561412373897E-2</v>
      </c>
      <c r="V6" s="218">
        <f>$G$18</f>
        <v>0.45</v>
      </c>
      <c r="W6" s="216">
        <f>$H$18</f>
        <v>0.45</v>
      </c>
      <c r="X6" s="251">
        <f t="shared" si="7"/>
        <v>2.0774717591389492E-3</v>
      </c>
      <c r="Y6" s="252">
        <f t="shared" si="7"/>
        <v>2.6998902635568253E-2</v>
      </c>
      <c r="Z6" s="199"/>
      <c r="AA6" s="244">
        <f t="shared" si="8"/>
        <v>2.0774717591389492E-3</v>
      </c>
      <c r="AB6" s="245">
        <f t="shared" si="9"/>
        <v>0.99792252824086103</v>
      </c>
      <c r="AC6" s="245">
        <f>PRODUCT(AB7:AB16)*AA6*PRODUCT(AB4:AB5)</f>
        <v>1.7992640710592933E-3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2.2416593116510492E-4</v>
      </c>
      <c r="AE6" s="183"/>
      <c r="AF6" s="197"/>
      <c r="AG6" s="246">
        <f t="shared" si="10"/>
        <v>2.6998902635568253E-2</v>
      </c>
      <c r="AH6" s="247">
        <f t="shared" si="2"/>
        <v>0.97300109736443174</v>
      </c>
      <c r="AI6" s="247">
        <f>AG6*PRODUCT(AH3:AH5)*PRODUCT(AH7:AH17)</f>
        <v>1.7594165144015964E-2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7.3305206555346232E-3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2.9836275729977807E-3</v>
      </c>
      <c r="BM6" s="31">
        <f>BI14+1</f>
        <v>2</v>
      </c>
      <c r="BN6" s="31">
        <v>2</v>
      </c>
      <c r="BO6" s="107">
        <f>$H$27*H41</f>
        <v>4.4937340754208334E-2</v>
      </c>
      <c r="BQ6" s="31">
        <f>BM5+1</f>
        <v>2</v>
      </c>
      <c r="BR6" s="31">
        <v>1</v>
      </c>
      <c r="BS6" s="107">
        <f>$H$27*H40</f>
        <v>3.1054742146808971E-2</v>
      </c>
    </row>
    <row r="7" spans="1:71" ht="15.75" x14ac:dyDescent="0.25">
      <c r="A7" s="5" t="s">
        <v>36</v>
      </c>
      <c r="B7" s="271">
        <v>9.5</v>
      </c>
      <c r="C7" s="272">
        <v>4.75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1</v>
      </c>
      <c r="R7" s="221">
        <f t="shared" si="0"/>
        <v>0.04</v>
      </c>
      <c r="S7" s="221">
        <f t="shared" si="1"/>
        <v>0.04</v>
      </c>
      <c r="T7" s="226">
        <f t="shared" si="5"/>
        <v>2.5000000000000001E-3</v>
      </c>
      <c r="U7" s="228">
        <f t="shared" si="6"/>
        <v>2.5000000000000001E-3</v>
      </c>
      <c r="V7" s="218">
        <f>$G$18</f>
        <v>0.45</v>
      </c>
      <c r="W7" s="216">
        <f>$H$18</f>
        <v>0.45</v>
      </c>
      <c r="X7" s="251">
        <f t="shared" si="7"/>
        <v>1.1250000000000001E-3</v>
      </c>
      <c r="Y7" s="252">
        <f t="shared" si="7"/>
        <v>1.1250000000000001E-3</v>
      </c>
      <c r="Z7" s="199"/>
      <c r="AA7" s="244">
        <f t="shared" si="8"/>
        <v>1.1250000000000001E-3</v>
      </c>
      <c r="AB7" s="245">
        <f t="shared" si="9"/>
        <v>0.99887499999999996</v>
      </c>
      <c r="AC7" s="245">
        <f>PRODUCT(AB8:AB$16)*AA7*PRODUCT(AB$4:AB6)</f>
        <v>9.7341488898634529E-4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1.2017906658977559E-4</v>
      </c>
      <c r="AE7" s="183"/>
      <c r="AF7" s="197"/>
      <c r="AG7" s="246">
        <f t="shared" si="10"/>
        <v>1.1250000000000001E-3</v>
      </c>
      <c r="AH7" s="247">
        <f t="shared" si="2"/>
        <v>0.99887499999999996</v>
      </c>
      <c r="AI7" s="247">
        <f>AG7*PRODUCT(AH3:AH6)*PRODUCT(AH8:AH17)</f>
        <v>7.1412997105418919E-4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2.9673436933253932E-4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1.8136913583338943E-3</v>
      </c>
      <c r="BM7" s="31">
        <f>BI23+1</f>
        <v>3</v>
      </c>
      <c r="BN7" s="31">
        <v>3</v>
      </c>
      <c r="BO7" s="107">
        <f>$H$28*H42</f>
        <v>5.862196158259525E-2</v>
      </c>
      <c r="BQ7" s="31">
        <f>BQ5+1</f>
        <v>3</v>
      </c>
      <c r="BR7" s="31">
        <v>0</v>
      </c>
      <c r="BS7" s="107">
        <f>$H$28*H39</f>
        <v>1.4600195800131607E-2</v>
      </c>
    </row>
    <row r="8" spans="1:71" ht="15.75" x14ac:dyDescent="0.25">
      <c r="A8" s="5" t="s">
        <v>39</v>
      </c>
      <c r="B8" s="271">
        <v>9</v>
      </c>
      <c r="C8" s="272">
        <v>7.25</v>
      </c>
      <c r="E8" s="213"/>
      <c r="F8" s="214"/>
      <c r="G8" s="284" t="s">
        <v>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1</v>
      </c>
      <c r="Q8" s="214">
        <f>COUNTIF(E10:I11,"RAP")</f>
        <v>3</v>
      </c>
      <c r="R8" s="221">
        <f t="shared" si="0"/>
        <v>0.5</v>
      </c>
      <c r="S8" s="221">
        <f t="shared" si="1"/>
        <v>0.5</v>
      </c>
      <c r="T8" s="226">
        <f t="shared" si="5"/>
        <v>3.060871149860935E-3</v>
      </c>
      <c r="U8" s="228">
        <f t="shared" si="6"/>
        <v>0.17831738655041718</v>
      </c>
      <c r="V8" s="218">
        <f>$G$17</f>
        <v>0.56999999999999995</v>
      </c>
      <c r="W8" s="216">
        <f>$H$17</f>
        <v>0.56999999999999995</v>
      </c>
      <c r="X8" s="251">
        <f t="shared" si="7"/>
        <v>1.7446965554207329E-3</v>
      </c>
      <c r="Y8" s="252">
        <f t="shared" si="7"/>
        <v>0.10164091033373779</v>
      </c>
      <c r="Z8" s="199"/>
      <c r="AA8" s="244">
        <f t="shared" si="8"/>
        <v>1.7446965554207329E-3</v>
      </c>
      <c r="AB8" s="245">
        <f t="shared" si="9"/>
        <v>0.99825530344457925</v>
      </c>
      <c r="AC8" s="245">
        <f>PRODUCT(AB9:AB$16)*AA8*PRODUCT(AB$4:AB7)</f>
        <v>1.5105492287076265E-3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1.8385431373745364E-4</v>
      </c>
      <c r="AE8" s="183"/>
      <c r="AF8" s="197"/>
      <c r="AG8" s="246">
        <f t="shared" si="10"/>
        <v>0.10164091033373779</v>
      </c>
      <c r="AH8" s="247">
        <f t="shared" si="2"/>
        <v>0.89835908966626221</v>
      </c>
      <c r="AI8" s="247">
        <f>AG8*PRODUCT(AH3:AH7)*PRODUCT(AH9:AH17)</f>
        <v>7.1738858365362757E-2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2.169225899751008E-2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7.9797414534230472E-4</v>
      </c>
      <c r="BM8" s="31">
        <f>BI31+1</f>
        <v>4</v>
      </c>
      <c r="BN8" s="31">
        <v>4</v>
      </c>
      <c r="BO8" s="107">
        <f>$H$29*H43</f>
        <v>3.4771221814345644E-2</v>
      </c>
      <c r="BQ8" s="31">
        <f>BQ6+1</f>
        <v>3</v>
      </c>
      <c r="BR8" s="31">
        <v>1</v>
      </c>
      <c r="BS8" s="107">
        <f>$H$28*H40</f>
        <v>4.5643646864241647E-2</v>
      </c>
    </row>
    <row r="9" spans="1:71" ht="15.75" x14ac:dyDescent="0.25">
      <c r="A9" s="5" t="s">
        <v>42</v>
      </c>
      <c r="B9" s="271">
        <v>8.25</v>
      </c>
      <c r="C9" s="272">
        <v>5</v>
      </c>
      <c r="E9" s="284" t="s">
        <v>151</v>
      </c>
      <c r="F9" s="284" t="s">
        <v>33</v>
      </c>
      <c r="G9" s="284" t="s">
        <v>151</v>
      </c>
      <c r="H9" s="284" t="s">
        <v>138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1</v>
      </c>
      <c r="Q9" s="214">
        <f>COUNTIF(E10:I11,"RAP")</f>
        <v>3</v>
      </c>
      <c r="R9" s="221">
        <f t="shared" si="0"/>
        <v>0.5</v>
      </c>
      <c r="S9" s="221">
        <f t="shared" si="1"/>
        <v>0.5</v>
      </c>
      <c r="T9" s="226">
        <f t="shared" si="5"/>
        <v>3.060871149860935E-3</v>
      </c>
      <c r="U9" s="228">
        <f t="shared" si="6"/>
        <v>0.17831738655041718</v>
      </c>
      <c r="V9" s="218">
        <f>$G$17</f>
        <v>0.56999999999999995</v>
      </c>
      <c r="W9" s="216">
        <f>$H$17</f>
        <v>0.56999999999999995</v>
      </c>
      <c r="X9" s="251">
        <f t="shared" si="7"/>
        <v>1.7446965554207329E-3</v>
      </c>
      <c r="Y9" s="252">
        <f t="shared" si="7"/>
        <v>0.10164091033373779</v>
      </c>
      <c r="Z9" s="199"/>
      <c r="AA9" s="244">
        <f t="shared" si="8"/>
        <v>1.7446965554207329E-3</v>
      </c>
      <c r="AB9" s="245">
        <f t="shared" si="9"/>
        <v>0.99825530344457925</v>
      </c>
      <c r="AC9" s="245">
        <f>PRODUCT(AB10:AB$16)*AA9*PRODUCT(AB$4:AB8)</f>
        <v>1.5105492287076265E-3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1.8121425760449271E-4</v>
      </c>
      <c r="AE9" s="183"/>
      <c r="AF9" s="197"/>
      <c r="AG9" s="246">
        <f t="shared" si="10"/>
        <v>0.10164091033373779</v>
      </c>
      <c r="AH9" s="247">
        <f t="shared" si="2"/>
        <v>0.89835908966626221</v>
      </c>
      <c r="AI9" s="247">
        <f>AG9*PRODUCT(AH3:AH8)*PRODUCT(AH10:AH17)</f>
        <v>7.1738858365362757E-2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1.3575679609119455E-2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2.6159544911622082E-4</v>
      </c>
      <c r="BM9" s="31">
        <f>BI38+1</f>
        <v>5</v>
      </c>
      <c r="BN9" s="31">
        <v>5</v>
      </c>
      <c r="BO9" s="107">
        <f>$H$30*H44</f>
        <v>1.0413044233654474E-2</v>
      </c>
      <c r="BQ9" s="31">
        <f>BM6+1</f>
        <v>3</v>
      </c>
      <c r="BR9" s="31">
        <v>2</v>
      </c>
      <c r="BS9" s="107">
        <f>$H$28*H41</f>
        <v>6.6048016200126153E-2</v>
      </c>
    </row>
    <row r="10" spans="1:71" ht="15.75" x14ac:dyDescent="0.25">
      <c r="A10" s="6" t="s">
        <v>45</v>
      </c>
      <c r="B10" s="271">
        <v>19.75</v>
      </c>
      <c r="C10" s="272">
        <v>6.25</v>
      </c>
      <c r="E10" s="284" t="s">
        <v>2</v>
      </c>
      <c r="F10" s="284" t="s">
        <v>151</v>
      </c>
      <c r="G10" s="284" t="s">
        <v>1</v>
      </c>
      <c r="H10" s="284" t="s">
        <v>151</v>
      </c>
      <c r="I10" s="284" t="s">
        <v>2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0.19</v>
      </c>
      <c r="T10" s="226">
        <f>S10*G13</f>
        <v>9.1481481481481483E-2</v>
      </c>
      <c r="U10" s="228">
        <f>S10*G14</f>
        <v>9.8518518518518533E-2</v>
      </c>
      <c r="V10" s="218">
        <f>$G$18</f>
        <v>0.45</v>
      </c>
      <c r="W10" s="216">
        <f>$H$18</f>
        <v>0.45</v>
      </c>
      <c r="X10" s="251">
        <f t="shared" si="7"/>
        <v>4.1166666666666671E-2</v>
      </c>
      <c r="Y10" s="252">
        <f t="shared" si="7"/>
        <v>4.4333333333333343E-2</v>
      </c>
      <c r="Z10" s="199"/>
      <c r="AA10" s="244">
        <f t="shared" si="8"/>
        <v>4.1166666666666671E-2</v>
      </c>
      <c r="AB10" s="245">
        <f t="shared" si="9"/>
        <v>0.95883333333333332</v>
      </c>
      <c r="AC10" s="245">
        <f>PRODUCT(AB11:AB$16)*AA10*PRODUCT(AB$4:AB9)</f>
        <v>3.7107285461475202E-2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2.8584367588827858E-3</v>
      </c>
      <c r="AE10" s="183"/>
      <c r="AF10" s="197"/>
      <c r="AG10" s="246">
        <f t="shared" si="10"/>
        <v>4.4333333333333343E-2</v>
      </c>
      <c r="AH10" s="247">
        <f t="shared" si="2"/>
        <v>0.95566666666666666</v>
      </c>
      <c r="AI10" s="247">
        <f>AG10*PRODUCT(AH3:AH9)*PRODUCT(AH11:AH17)</f>
        <v>2.94143888550287E-2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4.2017721793428256E-3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6.4726767876719773E-5</v>
      </c>
      <c r="BM10" s="31">
        <f>BI44+1</f>
        <v>6</v>
      </c>
      <c r="BN10" s="31">
        <v>6</v>
      </c>
      <c r="BO10" s="107">
        <f>$H$31*H45</f>
        <v>1.6578697365804613E-3</v>
      </c>
      <c r="BQ10" s="31">
        <f>BQ7+1</f>
        <v>4</v>
      </c>
      <c r="BR10" s="31">
        <v>0</v>
      </c>
      <c r="BS10" s="107">
        <f>$H$29*H39</f>
        <v>1.4246215622511141E-2</v>
      </c>
    </row>
    <row r="11" spans="1:71" ht="15.75" x14ac:dyDescent="0.25">
      <c r="A11" s="6" t="s">
        <v>48</v>
      </c>
      <c r="B11" s="271">
        <v>11</v>
      </c>
      <c r="C11" s="272">
        <v>11.25</v>
      </c>
      <c r="E11" s="213"/>
      <c r="F11" s="284" t="s">
        <v>1</v>
      </c>
      <c r="G11" s="284" t="s">
        <v>1</v>
      </c>
      <c r="H11" s="284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1</v>
      </c>
      <c r="R11" s="221">
        <f t="shared" si="0"/>
        <v>0.19</v>
      </c>
      <c r="S11" s="221">
        <f t="shared" si="1"/>
        <v>0.19</v>
      </c>
      <c r="T11" s="226">
        <f>IF(P11&gt;0,IF(Q11&gt;0,G13^2.7/(G14^2.7+G13^2.7),1),0)*P11/L11*S11</f>
        <v>9.5030262541823916E-3</v>
      </c>
      <c r="U11" s="228">
        <f>IF(Q11&gt;0,IF(P11&gt;0,G14^2.7/(G14^2.7+G13^2.7),1),0)*Q11/L11*S11</f>
        <v>1.1608084856928724E-2</v>
      </c>
      <c r="V11" s="218">
        <f>IF(P11-Q11&gt;3,0.9,IF(P11-Q11=3,0.83,IF(P11-Q11=2,0.75,IF(P11-Q11=1,0.65,IF(P11-Q11=0,0.44,IF(P11-Q11=-1,0.16,IF(P11-Q11&lt;-1,0.05,0.02)))))))</f>
        <v>0.44</v>
      </c>
      <c r="W11" s="216">
        <f>IF(Q11-P11&gt;3,0.9,IF(Q11-P11=3,0.83,IF(Q11-P11=2,0.75,IF(Q11-P11=1,0.65,IF(Q11-P11=0,0.44,IF(Q11-P11=-1,0.16,IF(Q11-P11&lt;-1,0.05,0.02)))))))</f>
        <v>0.44</v>
      </c>
      <c r="X11" s="251">
        <f t="shared" si="7"/>
        <v>4.1813315518402523E-3</v>
      </c>
      <c r="Y11" s="252">
        <f t="shared" si="7"/>
        <v>5.1075573370486385E-3</v>
      </c>
      <c r="Z11" s="199"/>
      <c r="AA11" s="244">
        <f t="shared" si="8"/>
        <v>4.1813315518402523E-3</v>
      </c>
      <c r="AB11" s="245">
        <f t="shared" si="9"/>
        <v>0.99581866844815969</v>
      </c>
      <c r="AC11" s="245">
        <f>PRODUCT(AB12:AB$16)*AA11*PRODUCT(AB$4:AB10)</f>
        <v>3.6290332549518628E-3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2.6431264388733435E-4</v>
      </c>
      <c r="AE11" s="183"/>
      <c r="AF11" s="197"/>
      <c r="AG11" s="246">
        <f t="shared" si="10"/>
        <v>5.1075573370486385E-3</v>
      </c>
      <c r="AH11" s="247">
        <f t="shared" si="2"/>
        <v>0.9948924426629514</v>
      </c>
      <c r="AI11" s="247">
        <f>AG11*PRODUCT(AH3:AH10)*PRODUCT(AH12:AH17)</f>
        <v>3.2551649469585715E-3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4.4828090884169142E-4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1.2090828577094002E-5</v>
      </c>
      <c r="BM11" s="31">
        <f>BI50+1</f>
        <v>7</v>
      </c>
      <c r="BN11" s="31">
        <v>7</v>
      </c>
      <c r="BO11" s="107">
        <f>$H$32*H46</f>
        <v>1.4308318765932079E-4</v>
      </c>
      <c r="BQ11" s="31">
        <f>BQ8+1</f>
        <v>4</v>
      </c>
      <c r="BR11" s="31">
        <v>1</v>
      </c>
      <c r="BS11" s="107">
        <f>$H$29*H40</f>
        <v>4.4537021552812292E-2</v>
      </c>
    </row>
    <row r="12" spans="1:71" ht="15.75" x14ac:dyDescent="0.25">
      <c r="A12" s="6" t="s">
        <v>52</v>
      </c>
      <c r="B12" s="271">
        <v>6</v>
      </c>
      <c r="C12" s="272">
        <v>6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0.04</v>
      </c>
      <c r="T12" s="226">
        <f t="shared" ref="T12" si="11">IF(S12=0,0,S12*(P12^2.7/(P12^2.7+Q12^2.7))*P12/L12)</f>
        <v>0</v>
      </c>
      <c r="U12" s="228">
        <f>IF(S12=0,0,S12*Q12^2.7/(P12^2.7+Q12^2.7)*Q12/L12)</f>
        <v>8.0000000000000002E-3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3.6000000000000003E-3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3.6000000000000003E-3</v>
      </c>
      <c r="AH12" s="247">
        <f t="shared" si="2"/>
        <v>0.99639999999999995</v>
      </c>
      <c r="AI12" s="247">
        <f>AG12*PRODUCT(AH3:AH11)*PRODUCT(AH13:AH17)</f>
        <v>2.2908922515833103E-3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3.0721030922426998E-4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1.6840286687942953E-6</v>
      </c>
      <c r="BM12" s="31">
        <f>BI54+1</f>
        <v>8</v>
      </c>
      <c r="BN12" s="31">
        <v>8</v>
      </c>
      <c r="BO12" s="107">
        <f>$H$33*H47</f>
        <v>6.6785664837512898E-6</v>
      </c>
      <c r="BQ12" s="31">
        <f>BQ9+1</f>
        <v>4</v>
      </c>
      <c r="BR12" s="31">
        <v>2</v>
      </c>
      <c r="BS12" s="107">
        <f>$H$29*H41</f>
        <v>6.4446689147663661E-2</v>
      </c>
    </row>
    <row r="13" spans="1:71" ht="15.75" x14ac:dyDescent="0.25">
      <c r="A13" s="7" t="s">
        <v>55</v>
      </c>
      <c r="B13" s="271">
        <v>9</v>
      </c>
      <c r="C13" s="272">
        <v>6</v>
      </c>
      <c r="E13" s="210"/>
      <c r="F13" s="210" t="s">
        <v>152</v>
      </c>
      <c r="G13" s="217">
        <f>B22</f>
        <v>0.48148148148148145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0.18</v>
      </c>
      <c r="T13" s="226">
        <f>IF((Q13+P13)=0,0,S13*P14/4*P13/L13)</f>
        <v>1.2857142857142857E-2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1.2857142857142857E-2</v>
      </c>
      <c r="Y13" s="252">
        <f t="shared" si="7"/>
        <v>0</v>
      </c>
      <c r="Z13" s="199"/>
      <c r="AA13" s="244">
        <f t="shared" si="8"/>
        <v>1.2857142857142857E-2</v>
      </c>
      <c r="AB13" s="245">
        <f t="shared" si="9"/>
        <v>0.9871428571428571</v>
      </c>
      <c r="AC13" s="245">
        <f>PRODUCT(AB14:AB$16)*AA13*PRODUCT(AB$4:AB12)</f>
        <v>1.1256958578711842E-2</v>
      </c>
      <c r="AD13" s="245">
        <f>AA13*AA14*PRODUCT(AB3:AB12)*PRODUCT(AB15:AB17)+AA13*AA15*PRODUCT(AB3:AB12)*AB14*PRODUCT(AB16:AB17)+AA13*AA16*PRODUCT(AB3:AB12)*AB14*AB15*AB17+AA13*AA17*PRODUCT(AB3:AB12)*AB14*AB15*AB16</f>
        <v>6.7325837821405083E-4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1.6994971380708814E-7</v>
      </c>
      <c r="BM13" s="31">
        <f>BI57+1</f>
        <v>9</v>
      </c>
      <c r="BN13" s="31">
        <v>9</v>
      </c>
      <c r="BO13" s="107">
        <f>$H$34*H48</f>
        <v>1.6637243397508271E-7</v>
      </c>
      <c r="BQ13" s="31">
        <f>BM7+1</f>
        <v>4</v>
      </c>
      <c r="BR13" s="31">
        <v>3</v>
      </c>
      <c r="BS13" s="107">
        <f>$H$29*H42</f>
        <v>5.7200678426017296E-2</v>
      </c>
    </row>
    <row r="14" spans="1:71" ht="15.75" x14ac:dyDescent="0.25">
      <c r="A14" s="7" t="s">
        <v>58</v>
      </c>
      <c r="B14" s="271">
        <v>8</v>
      </c>
      <c r="C14" s="272">
        <v>5.75</v>
      </c>
      <c r="E14" s="210"/>
      <c r="F14" s="210" t="s">
        <v>153</v>
      </c>
      <c r="G14" s="215">
        <f>C22</f>
        <v>0.5185185185185186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0.18</v>
      </c>
      <c r="T14" s="226">
        <f>S14*P14^2.7/(Q14^2.7+P14^2.7)</f>
        <v>0.09</v>
      </c>
      <c r="U14" s="228">
        <f>S14*Q14^2.7/(Q14^2.7+P14^2.7)</f>
        <v>0.09</v>
      </c>
      <c r="V14" s="218">
        <f>$G$17</f>
        <v>0.56999999999999995</v>
      </c>
      <c r="W14" s="216">
        <f>$H$17</f>
        <v>0.56999999999999995</v>
      </c>
      <c r="X14" s="251">
        <f t="shared" si="7"/>
        <v>5.1299999999999991E-2</v>
      </c>
      <c r="Y14" s="252">
        <f t="shared" si="7"/>
        <v>5.1299999999999991E-2</v>
      </c>
      <c r="Z14" s="199"/>
      <c r="AA14" s="244">
        <f t="shared" si="8"/>
        <v>5.1299999999999991E-2</v>
      </c>
      <c r="AB14" s="245">
        <f t="shared" si="9"/>
        <v>0.94869999999999999</v>
      </c>
      <c r="AC14" s="245">
        <f>PRODUCT(AB15:AB$16)*AA14*PRODUCT(AB$4:AB13)</f>
        <v>4.6735303841016464E-2</v>
      </c>
      <c r="AD14" s="245">
        <f>AA14*AA15*PRODUCT(AB3:AB13)*PRODUCT(AB16:AB17)+AA14*AA16*PRODUCT(AB3:AB13)*AB15*AB17+AA14*AA17*PRODUCT(AB3:AB13)*AB15*AB16</f>
        <v>2.6798955120431868E-4</v>
      </c>
      <c r="AE14" s="183"/>
      <c r="AF14" s="197"/>
      <c r="AG14" s="246">
        <f t="shared" si="10"/>
        <v>5.1299999999999991E-2</v>
      </c>
      <c r="AH14" s="247">
        <f t="shared" si="2"/>
        <v>0.94869999999999999</v>
      </c>
      <c r="AI14" s="247">
        <f>AG14*PRODUCT(AH3:AH13)*PRODUCT(AH15:AH17)</f>
        <v>3.4286594089339033E-2</v>
      </c>
      <c r="AJ14" s="247">
        <f>AG14*AG15*PRODUCT(AH3:AH13)*PRODUCT(AH16:AH17)+AG14*AG16*PRODUCT(AH3:AH13)*AH15*AH17+AG14*AG17*PRODUCT(AH3:AH13)*AH15*AH16</f>
        <v>2.7438439346469368E-3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1.8266816241606251E-2</v>
      </c>
      <c r="BM14" s="31">
        <f>BQ39+1</f>
        <v>10</v>
      </c>
      <c r="BN14" s="31">
        <v>10</v>
      </c>
      <c r="BO14" s="107">
        <f>$H$35*H49</f>
        <v>2.2039600202961071E-9</v>
      </c>
      <c r="BQ14" s="31">
        <f>BQ10+1</f>
        <v>5</v>
      </c>
      <c r="BR14" s="31">
        <v>0</v>
      </c>
      <c r="BS14" s="107">
        <f>$H$30*H39</f>
        <v>9.6968759206986568E-3</v>
      </c>
    </row>
    <row r="15" spans="1:71" ht="15.75" x14ac:dyDescent="0.25">
      <c r="A15" s="162" t="s">
        <v>62</v>
      </c>
      <c r="B15" s="273">
        <v>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2</v>
      </c>
      <c r="R15" s="221">
        <f>IF(P15&lt;&gt;0,IF(Q1&lt;&gt;0,M15,IF(Q15&lt;&gt;0,IF(P1&lt;&gt;0,M15,0),0)),IF(Q15&lt;&gt;0,IF(P1&lt;&gt;0,M15,0),0))</f>
        <v>0.6</v>
      </c>
      <c r="S15" s="221">
        <f t="shared" si="1"/>
        <v>0.6</v>
      </c>
      <c r="T15" s="226">
        <f>IF(P15&lt;&gt;0,IF(Q1&lt;&gt;0,IF(Q15&lt;&gt;0,IF(P1&lt;&gt;0,S15*P15^2.7/(P15^2.7+Q15^2.7)*P15/L15,S15*P15/L15),S15*P15/L15),0),0)</f>
        <v>1.0002641803261608E-2</v>
      </c>
      <c r="U15" s="228">
        <f>IF(Q15&lt;&gt;0,IF(P1&lt;&gt;0,IF(P15&lt;&gt;0,IF(Q1&lt;&gt;0,S15*Q15^2.7/(P15^2.7+Q15^2.7)*Q15/L15,S15*Q15/L15),S15*Q15/L15),0),0)</f>
        <v>0.12999471639347679</v>
      </c>
      <c r="V15" s="218">
        <f>$G$17</f>
        <v>0.56999999999999995</v>
      </c>
      <c r="W15" s="216">
        <f>$H$17</f>
        <v>0.56999999999999995</v>
      </c>
      <c r="X15" s="251">
        <f t="shared" si="7"/>
        <v>5.7015058278591163E-3</v>
      </c>
      <c r="Y15" s="252">
        <f t="shared" si="7"/>
        <v>7.4096988344281758E-2</v>
      </c>
      <c r="Z15" s="199"/>
      <c r="AA15" s="244">
        <f t="shared" si="8"/>
        <v>5.7015058278591163E-3</v>
      </c>
      <c r="AB15" s="245">
        <f t="shared" si="9"/>
        <v>0.99429849417214089</v>
      </c>
      <c r="AC15" s="245">
        <f>PRODUCT(AB16:AB$16)*AA15*PRODUCT(AB$4:AB14)</f>
        <v>4.9559783085289903E-3</v>
      </c>
      <c r="AD15" s="245">
        <f>AA15*AA16*PRODUCT(AB3:AB14)*AB17+AA15*AA17*PRODUCT(AB3:AB14)*AB16</f>
        <v>0</v>
      </c>
      <c r="AE15" s="183"/>
      <c r="AF15" s="197"/>
      <c r="AG15" s="246">
        <f t="shared" si="10"/>
        <v>7.4096988344281758E-2</v>
      </c>
      <c r="AH15" s="247">
        <f t="shared" si="2"/>
        <v>0.9259030116557182</v>
      </c>
      <c r="AI15" s="247">
        <f>AG15*PRODUCT(AH3:AH14)*PRODUCT(AH16:AH17)</f>
        <v>5.0742392608178345E-2</v>
      </c>
      <c r="AJ15" s="247">
        <f t="shared" ref="AJ15:AJ16" si="13">(FACT(2)/(FACT($AD$1)*FACT(2-$AD$1))*AG15^$AD$1*(1-AG15)^(2-$AD$1))</f>
        <v>5.4903636816926267E-3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1.6213001715405392E-2</v>
      </c>
      <c r="BQ15" s="31">
        <f>BQ11+1</f>
        <v>5</v>
      </c>
      <c r="BR15" s="31">
        <v>1</v>
      </c>
      <c r="BS15" s="107">
        <f>$H$30*H40</f>
        <v>3.0314715382566849E-2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9.8555802909203235E-3</v>
      </c>
      <c r="BQ16" s="31">
        <f>BQ12+1</f>
        <v>5</v>
      </c>
      <c r="BR16" s="31">
        <v>2</v>
      </c>
      <c r="BS16" s="107">
        <f>$H$30*H41</f>
        <v>4.3866495125712286E-2</v>
      </c>
    </row>
    <row r="17" spans="1:71" x14ac:dyDescent="0.25">
      <c r="A17" s="161" t="s">
        <v>69</v>
      </c>
      <c r="B17" s="275" t="s">
        <v>70</v>
      </c>
      <c r="C17" s="276" t="s">
        <v>184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4.3361833441849492E-3</v>
      </c>
      <c r="BQ17" s="31">
        <f>BQ13+1</f>
        <v>5</v>
      </c>
      <c r="BR17" s="31">
        <v>3</v>
      </c>
      <c r="BS17" s="107">
        <f>$H$30*H42</f>
        <v>3.8934401666672551E-2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0.86428426420998694</v>
      </c>
      <c r="AC18" s="159">
        <f>SUM(AC4:AC16)</f>
        <v>0.12835592137867452</v>
      </c>
      <c r="AD18" s="159">
        <f>SUM(AD3:AD17)</f>
        <v>4.7734109012853168E-3</v>
      </c>
      <c r="AE18" s="159">
        <f>IF((1-AB18-AC18-AD18)&lt;0,(1-AB18-AC18-AD18)-1,1-AB18-AC18-AD18)</f>
        <v>2.586403510053222E-3</v>
      </c>
      <c r="AF18" s="197"/>
      <c r="AG18" s="157"/>
      <c r="AH18" s="160">
        <f>PRODUCT(AH3:AH17)</f>
        <v>0.63406806652155845</v>
      </c>
      <c r="AI18" s="159">
        <f>SUM(AI3:AI17)</f>
        <v>0.2979919152424898</v>
      </c>
      <c r="AJ18" s="159">
        <f>SUM(AJ3:AJ17)</f>
        <v>6.3293151562375791E-2</v>
      </c>
      <c r="AK18" s="159">
        <f>IF((1-AH18-AI18-AJ18)&lt;0,(1-AH18-AI18-AJ18)-1,(1-AH18-AI18-AJ18))</f>
        <v>4.6468666735759584E-3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1.421506994923688E-3</v>
      </c>
      <c r="BQ18" s="31">
        <f>BM8+1</f>
        <v>5</v>
      </c>
      <c r="BR18" s="31">
        <v>4</v>
      </c>
      <c r="BS18" s="107">
        <f>$H$30*H43</f>
        <v>2.366749405449247E-2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3.5172459462275016E-4</v>
      </c>
      <c r="BQ19" s="31">
        <f>BQ15+1</f>
        <v>6</v>
      </c>
      <c r="BR19" s="31">
        <v>1</v>
      </c>
      <c r="BS19" s="107">
        <f>$H$31*H40</f>
        <v>1.4722610464178363E-2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6.5701438824061778E-5</v>
      </c>
      <c r="BQ20" s="31">
        <f>BQ16+1</f>
        <v>6</v>
      </c>
      <c r="BR20" s="31">
        <v>2</v>
      </c>
      <c r="BS20" s="107">
        <f>$H$31*H41</f>
        <v>2.1304152521782846E-2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9.1509945621400388E-6</v>
      </c>
      <c r="BQ21" s="31">
        <f>BQ17+1</f>
        <v>6</v>
      </c>
      <c r="BR21" s="31">
        <v>3</v>
      </c>
      <c r="BS21" s="107">
        <f>$H$31*H42</f>
        <v>1.8908837578066703E-2</v>
      </c>
    </row>
    <row r="22" spans="1:71" x14ac:dyDescent="0.25">
      <c r="A22" s="26" t="s">
        <v>81</v>
      </c>
      <c r="B22" s="169">
        <f>(B6)/((B6)+(C6))</f>
        <v>0.48148148148148145</v>
      </c>
      <c r="C22" s="170">
        <f>1-B22</f>
        <v>0.5185185185185186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2"/>
        <v>9.235050065978946E-7</v>
      </c>
      <c r="BQ22" s="31">
        <f>BQ18+1</f>
        <v>6</v>
      </c>
      <c r="BR22" s="31">
        <v>4</v>
      </c>
      <c r="BS22" s="107">
        <f>$H$31*H43</f>
        <v>1.1494328455016021E-2</v>
      </c>
    </row>
    <row r="23" spans="1:71" ht="15.75" thickBot="1" x14ac:dyDescent="0.3">
      <c r="A23" s="40" t="s">
        <v>82</v>
      </c>
      <c r="B23" s="56">
        <f>((B22^2.8)/((B22^2.8)+(C22^2.8)))*B21</f>
        <v>2.2415487817690756</v>
      </c>
      <c r="C23" s="57">
        <f>B21-B23</f>
        <v>2.7584512182309244</v>
      </c>
      <c r="D23" s="149">
        <f>SUM(D25:D30)</f>
        <v>1</v>
      </c>
      <c r="E23" s="149">
        <f>SUM(E25:E30)</f>
        <v>1</v>
      </c>
      <c r="H23" s="229">
        <f>SUM(H25:H35)</f>
        <v>0.9999819012694986</v>
      </c>
      <c r="I23" s="81"/>
      <c r="J23" s="229">
        <f>SUM(J25:J35)</f>
        <v>1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0.99961015921632401</v>
      </c>
      <c r="Y23" s="168">
        <f>SUM(Y25:Y35)</f>
        <v>2.5728962843600315E-3</v>
      </c>
      <c r="Z23" s="81"/>
      <c r="AA23" s="168">
        <f>SUM(AA25:AA35)</f>
        <v>2.0946434736719307E-2</v>
      </c>
      <c r="AB23" s="81"/>
      <c r="AC23" s="168">
        <f>SUM(AC25:AC35)</f>
        <v>7.6769447975732624E-2</v>
      </c>
      <c r="AD23" s="81"/>
      <c r="AE23" s="168">
        <f>SUM(AE25:AE35)</f>
        <v>0.1668273292898475</v>
      </c>
      <c r="AF23" s="81"/>
      <c r="AG23" s="168">
        <f>SUM(AG25:AG35)</f>
        <v>0.23810220529791573</v>
      </c>
      <c r="AH23" s="81"/>
      <c r="AI23" s="168">
        <f>SUM(AI25:AI35)</f>
        <v>0.23330463824439029</v>
      </c>
      <c r="AJ23" s="81"/>
      <c r="AK23" s="168">
        <f>SUM(AK25:AK35)</f>
        <v>0.15905596307613673</v>
      </c>
      <c r="AL23" s="81"/>
      <c r="AM23" s="168">
        <f>SUM(AM25:AM35)</f>
        <v>7.4603777956219058E-2</v>
      </c>
      <c r="AN23" s="81"/>
      <c r="AO23" s="168">
        <f>SUM(AO25:AO35)</f>
        <v>2.3114820526526622E-2</v>
      </c>
      <c r="AP23" s="81"/>
      <c r="AQ23" s="168">
        <f>SUM(AQ25:AQ35)</f>
        <v>4.3126458284759948E-3</v>
      </c>
      <c r="AR23" s="81"/>
      <c r="AS23" s="168">
        <f>SUM(AS25:AS35)</f>
        <v>3.8984078367598757E-4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3.9884847643798897E-2</v>
      </c>
      <c r="BQ23" s="31">
        <f>BM9+1</f>
        <v>6</v>
      </c>
      <c r="BR23" s="31">
        <v>5</v>
      </c>
      <c r="BS23" s="107">
        <f>$H$31*H44</f>
        <v>5.0571873119586086E-3</v>
      </c>
    </row>
    <row r="24" spans="1:71" ht="15.75" thickBot="1" x14ac:dyDescent="0.3">
      <c r="A24" s="26" t="s">
        <v>83</v>
      </c>
      <c r="B24" s="64">
        <f>B23/B21</f>
        <v>0.44830975635381509</v>
      </c>
      <c r="C24" s="65">
        <f>C23/B21</f>
        <v>0.55169024364618491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2.4245252374893455E-2</v>
      </c>
      <c r="BQ24" s="31">
        <f>BI49+1</f>
        <v>7</v>
      </c>
      <c r="BR24" s="31">
        <v>0</v>
      </c>
      <c r="BS24" s="107">
        <f t="shared" ref="BS24:BS30" si="17">$H$32*H39</f>
        <v>1.6426598089979338E-3</v>
      </c>
    </row>
    <row r="25" spans="1:71" x14ac:dyDescent="0.25">
      <c r="A25" s="26" t="s">
        <v>108</v>
      </c>
      <c r="B25" s="172">
        <f>1/(1+EXP(-3.1416*4*((B11/(B11+C8))-(3.1416/6))))</f>
        <v>0.72997612619005658</v>
      </c>
      <c r="C25" s="170">
        <f>1/(1+EXP(-3.1416*4*((C11/(C11+B8))-(3.1416/6))))</f>
        <v>0.59906392067981162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0.44</v>
      </c>
      <c r="G25" s="124">
        <v>0</v>
      </c>
      <c r="H25" s="125">
        <f>L25*J25</f>
        <v>1.2363331905303388E-2</v>
      </c>
      <c r="I25" s="97">
        <v>0</v>
      </c>
      <c r="J25" s="98">
        <f t="shared" ref="J25:J35" si="18">Y25+AA25+AC25+AE25+AG25+AI25+AK25+AM25+AO25+AQ25+AS25</f>
        <v>1.4304705543383105E-2</v>
      </c>
      <c r="K25" s="97">
        <v>0</v>
      </c>
      <c r="L25" s="98">
        <f>AB18</f>
        <v>0.86428426420998694</v>
      </c>
      <c r="M25" s="85">
        <v>0</v>
      </c>
      <c r="N25" s="173">
        <f>(1-$B$24)^$B$21</f>
        <v>5.1106544624728086E-2</v>
      </c>
      <c r="O25" s="72">
        <v>0</v>
      </c>
      <c r="P25" s="173">
        <f t="shared" ref="P25:P30" si="19">N25</f>
        <v>5.1106544624728086E-2</v>
      </c>
      <c r="Q25" s="28">
        <v>0</v>
      </c>
      <c r="R25" s="174">
        <f>P25*N25</f>
        <v>2.6118789034793232E-3</v>
      </c>
      <c r="S25" s="72">
        <v>0</v>
      </c>
      <c r="T25" s="175">
        <f>(1-$B$33)^(INT(C23*2*(1-C31)))</f>
        <v>0.98507487500000002</v>
      </c>
      <c r="U25" s="138">
        <v>0</v>
      </c>
      <c r="V25" s="86">
        <f>R25*T25</f>
        <v>2.5728962843600315E-3</v>
      </c>
      <c r="W25" s="134">
        <f>B31</f>
        <v>0.77019860466443446</v>
      </c>
      <c r="X25" s="28">
        <v>0</v>
      </c>
      <c r="Y25" s="176">
        <f>V25</f>
        <v>2.5728962843600315E-3</v>
      </c>
      <c r="Z25" s="28">
        <v>0</v>
      </c>
      <c r="AA25" s="176">
        <f>((1-W25)^Z26)*V26</f>
        <v>4.8135199298034561E-3</v>
      </c>
      <c r="AB25" s="28">
        <v>0</v>
      </c>
      <c r="AC25" s="176">
        <f>(((1-$W$25)^AB27))*V27</f>
        <v>4.0540933115871276E-3</v>
      </c>
      <c r="AD25" s="28">
        <v>0</v>
      </c>
      <c r="AE25" s="176">
        <f>(((1-$W$25)^AB28))*V28</f>
        <v>2.0245344973449314E-3</v>
      </c>
      <c r="AF25" s="28">
        <v>0</v>
      </c>
      <c r="AG25" s="176">
        <f>(((1-$W$25)^AB29))*V29</f>
        <v>6.6400914898922365E-4</v>
      </c>
      <c r="AH25" s="28">
        <v>0</v>
      </c>
      <c r="AI25" s="176">
        <f>(((1-$W$25)^AB30))*V30</f>
        <v>1.4951565913065126E-4</v>
      </c>
      <c r="AJ25" s="28">
        <v>0</v>
      </c>
      <c r="AK25" s="176">
        <f>(((1-$W$25)^AB31))*V31</f>
        <v>2.3424262367877469E-5</v>
      </c>
      <c r="AL25" s="28">
        <v>0</v>
      </c>
      <c r="AM25" s="176">
        <f>(((1-$W$25)^AB32))*V32</f>
        <v>2.5248143527153404E-6</v>
      </c>
      <c r="AN25" s="28">
        <v>0</v>
      </c>
      <c r="AO25" s="176">
        <f>(((1-$W$25)^AB33))*V33</f>
        <v>1.7976776401787456E-7</v>
      </c>
      <c r="AP25" s="28">
        <v>0</v>
      </c>
      <c r="AQ25" s="176">
        <f>(((1-$W$25)^AB34))*V34</f>
        <v>7.707574760063507E-9</v>
      </c>
      <c r="AR25" s="28">
        <v>0</v>
      </c>
      <c r="AS25" s="176">
        <f>(((1-$W$25)^AB35))*V35</f>
        <v>1.6010831428082004E-10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1.066724195027143E-2</v>
      </c>
      <c r="BQ25" s="31">
        <f>BQ19+1</f>
        <v>7</v>
      </c>
      <c r="BR25" s="31">
        <v>1</v>
      </c>
      <c r="BS25" s="107">
        <f t="shared" si="17"/>
        <v>5.1353410095574519E-3</v>
      </c>
    </row>
    <row r="26" spans="1:71" x14ac:dyDescent="0.25">
      <c r="A26" s="40" t="s">
        <v>109</v>
      </c>
      <c r="B26" s="169">
        <f>1/(1+EXP(-3.1416*4*((B10/(B10+C9))-(3.1416/6))))</f>
        <v>0.96917043325389818</v>
      </c>
      <c r="C26" s="170">
        <f>1/(1+EXP(-3.1416*4*((C10/(C10+B9))-(3.1416/6))))</f>
        <v>0.23808353651399733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0.217</v>
      </c>
      <c r="G26" s="87">
        <v>1</v>
      </c>
      <c r="H26" s="126">
        <f>L25*J26+L26*J25</f>
        <v>6.7182219122412956E-2</v>
      </c>
      <c r="I26" s="138">
        <v>1</v>
      </c>
      <c r="J26" s="86">
        <f t="shared" si="18"/>
        <v>7.5607214163585471E-2</v>
      </c>
      <c r="K26" s="138">
        <v>1</v>
      </c>
      <c r="L26" s="86">
        <f>AC18</f>
        <v>0.12835592137867452</v>
      </c>
      <c r="M26" s="85">
        <v>1</v>
      </c>
      <c r="N26" s="173">
        <f>(($B$24)^M26)*((1-($B$24))^($B$21-M26))*HLOOKUP($B$21,$AV$24:$BF$34,M26+1)</f>
        <v>0.20764879234923611</v>
      </c>
      <c r="O26" s="72">
        <v>1</v>
      </c>
      <c r="P26" s="173">
        <f t="shared" si="19"/>
        <v>0.20764879234923611</v>
      </c>
      <c r="Q26" s="28">
        <v>1</v>
      </c>
      <c r="R26" s="174">
        <f>N26*P25+P26*N25</f>
        <v>2.1224424544934263E-2</v>
      </c>
      <c r="S26" s="72">
        <v>1</v>
      </c>
      <c r="T26" s="175">
        <f t="shared" ref="T26:T35" si="20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2.0946434736719307E-2</v>
      </c>
      <c r="W26" s="177"/>
      <c r="X26" s="28">
        <v>1</v>
      </c>
      <c r="Y26" s="174"/>
      <c r="Z26" s="28">
        <v>1</v>
      </c>
      <c r="AA26" s="176">
        <f>(1-((1-W25)^Z26))*V26</f>
        <v>1.6132914806915852E-2</v>
      </c>
      <c r="AB26" s="28">
        <v>1</v>
      </c>
      <c r="AC26" s="176">
        <f>((($W$25)^M26)*((1-($W$25))^($U$27-M26))*HLOOKUP($U$27,$AV$24:$BF$34,M26+1))*V27</f>
        <v>2.7175265904754674E-2</v>
      </c>
      <c r="AD26" s="28">
        <v>1</v>
      </c>
      <c r="AE26" s="176">
        <f>((($W$25)^M26)*((1-($W$25))^($U$28-M26))*HLOOKUP($U$28,$AV$24:$BF$34,M26+1))*V28</f>
        <v>2.0356190300843909E-2</v>
      </c>
      <c r="AF26" s="28">
        <v>1</v>
      </c>
      <c r="AG26" s="176">
        <f>((($W$25)^M26)*((1-($W$25))^($U$29-M26))*HLOOKUP($U$29,$AV$24:$BF$34,M26+1))*V29</f>
        <v>8.9019288901901299E-3</v>
      </c>
      <c r="AH26" s="28">
        <v>1</v>
      </c>
      <c r="AI26" s="176">
        <f>((($W$25)^M26)*((1-($W$25))^($U$30-M26))*HLOOKUP($U$30,$AV$24:$BF$34,M26+1))*V30</f>
        <v>2.5055712100823875E-3</v>
      </c>
      <c r="AJ26" s="28">
        <v>1</v>
      </c>
      <c r="AK26" s="176">
        <f>((($W$25)^M26)*((1-($W$25))^($U$31-M26))*HLOOKUP($U$31,$AV$24:$BF$34,M26+1))*V31</f>
        <v>4.7105025184085084E-4</v>
      </c>
      <c r="AL26" s="28">
        <v>1</v>
      </c>
      <c r="AM26" s="176">
        <f>((($W$25)^Q26)*((1-($W$25))^($U$32-Q26))*HLOOKUP($U$32,$AV$24:$BF$34,Q26+1))*V32</f>
        <v>5.923488593535065E-5</v>
      </c>
      <c r="AN26" s="28">
        <v>1</v>
      </c>
      <c r="AO26" s="176">
        <f>((($W$25)^Q26)*((1-($W$25))^($U$33-Q26))*HLOOKUP($U$33,$AV$24:$BF$34,Q26+1))*V33</f>
        <v>4.8200536226694986E-6</v>
      </c>
      <c r="AP26" s="28">
        <v>1</v>
      </c>
      <c r="AQ26" s="176">
        <f>((($W$25)^Q26)*((1-($W$25))^($U$34-Q26))*HLOOKUP($U$34,$AV$24:$BF$34,Q26+1))*V34</f>
        <v>2.3249323552588887E-7</v>
      </c>
      <c r="AR26" s="28">
        <v>1</v>
      </c>
      <c r="AS26" s="176">
        <f>((($W$25)^Q26)*((1-($W$25))^($U$35-Q26))*HLOOKUP($U$35,$AV$24:$BF$34,Q26+1))*V35</f>
        <v>5.3661641207266101E-9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3.4969829099107115E-3</v>
      </c>
      <c r="BQ26" s="31">
        <f>BQ20+1</f>
        <v>7</v>
      </c>
      <c r="BR26" s="31">
        <v>2</v>
      </c>
      <c r="BS26" s="107">
        <f t="shared" si="17"/>
        <v>7.4310251150887779E-3</v>
      </c>
    </row>
    <row r="27" spans="1:71" x14ac:dyDescent="0.25">
      <c r="A27" s="26" t="s">
        <v>110</v>
      </c>
      <c r="B27" s="169">
        <f>1/(1+EXP(-3.1416*4*((B12/(B12+C7))-(3.1416/6))))</f>
        <v>0.60683739941367965</v>
      </c>
      <c r="C27" s="170">
        <f>1/(1+EXP(-3.1416*4*((C12/(C12+B7))-(3.1416/6))))</f>
        <v>0.15247054851327255</v>
      </c>
      <c r="D27" s="167">
        <f>D26</f>
        <v>0.25700000000000001</v>
      </c>
      <c r="E27" s="167">
        <f>E26</f>
        <v>0.217</v>
      </c>
      <c r="G27" s="87">
        <v>2</v>
      </c>
      <c r="H27" s="126">
        <f>L25*J27+J26*L26+J25*L27</f>
        <v>0.16527183683226751</v>
      </c>
      <c r="I27" s="138">
        <v>2</v>
      </c>
      <c r="J27" s="86">
        <f t="shared" si="18"/>
        <v>0.17991640875260129</v>
      </c>
      <c r="K27" s="138">
        <v>2</v>
      </c>
      <c r="L27" s="86">
        <f>AD18</f>
        <v>4.7734109012853168E-3</v>
      </c>
      <c r="M27" s="85">
        <v>2</v>
      </c>
      <c r="N27" s="173">
        <f>(($B$24)^M27)*((1-($B$24))^($B$21-M27))*HLOOKUP($B$21,$AV$24:$BF$34,M27+1)</f>
        <v>0.33747553297299915</v>
      </c>
      <c r="O27" s="72">
        <v>2</v>
      </c>
      <c r="P27" s="173">
        <f t="shared" si="19"/>
        <v>0.33747553297299915</v>
      </c>
      <c r="Q27" s="28">
        <v>2</v>
      </c>
      <c r="R27" s="174">
        <f>P25*N27+P26*N26+P27*N25</f>
        <v>7.761243773537313E-2</v>
      </c>
      <c r="S27" s="72">
        <v>2</v>
      </c>
      <c r="T27" s="175">
        <f t="shared" si="20"/>
        <v>7.4625000000000011E-5</v>
      </c>
      <c r="U27" s="138">
        <v>2</v>
      </c>
      <c r="V27" s="86">
        <f>R27*T25+T26*R26+R25*T27</f>
        <v>7.6769447975732624E-2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4.554008875939082E-2</v>
      </c>
      <c r="AD27" s="28">
        <v>2</v>
      </c>
      <c r="AE27" s="176">
        <f>((($W$25)^M27)*((1-($W$25))^($U$28-M27))*HLOOKUP($U$28,$AV$24:$BF$34,M27+1))*V28</f>
        <v>6.8225475059015855E-2</v>
      </c>
      <c r="AF27" s="28">
        <v>2</v>
      </c>
      <c r="AG27" s="176">
        <f>((($W$25)^M27)*((1-($W$25))^($U$29-M27))*HLOOKUP($U$29,$AV$24:$BF$34,M27+1))*V29</f>
        <v>4.4753339291312852E-2</v>
      </c>
      <c r="AH27" s="28">
        <v>2</v>
      </c>
      <c r="AI27" s="176">
        <f>((($W$25)^M27)*((1-($W$25))^($U$30-M27))*HLOOKUP($U$30,$AV$24:$BF$34,M27+1))*V30</f>
        <v>1.6795263119050059E-2</v>
      </c>
      <c r="AJ27" s="28">
        <v>2</v>
      </c>
      <c r="AK27" s="176">
        <f>((($W$25)^M27)*((1-($W$25))^($U$31-M27))*HLOOKUP($U$31,$AV$24:$BF$34,M27+1))*V31</f>
        <v>3.9469108332096381E-3</v>
      </c>
      <c r="AL27" s="28">
        <v>2</v>
      </c>
      <c r="AM27" s="176">
        <f>((($W$25)^Q27)*((1-($W$25))^($U$32-Q27))*HLOOKUP($U$32,$AV$24:$BF$34,Q27+1))*V32</f>
        <v>5.9559202973825216E-4</v>
      </c>
      <c r="AN27" s="28">
        <v>2</v>
      </c>
      <c r="AO27" s="176">
        <f>((($W$25)^Q27)*((1-($W$25))^($U$33-Q27))*HLOOKUP($U$33,$AV$24:$BF$34,Q27+1))*V33</f>
        <v>5.6541845588377774E-5</v>
      </c>
      <c r="AP27" s="28">
        <v>2</v>
      </c>
      <c r="AQ27" s="176">
        <f>((($W$25)^Q27)*((1-($W$25))^($U$34-Q27))*HLOOKUP($U$34,$AV$24:$BF$34,Q27+1))*V34</f>
        <v>3.1168821291877665E-6</v>
      </c>
      <c r="AR27" s="28">
        <v>2</v>
      </c>
      <c r="AS27" s="176">
        <f>((($W$25)^Q27)*((1-($W$25))^($U$35-Q27))*HLOOKUP($U$35,$AV$24:$BF$34,Q27+1))*V35</f>
        <v>8.0933166244136846E-8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8.6526123387599646E-4</v>
      </c>
      <c r="BQ27" s="31">
        <f>BQ21+1</f>
        <v>7</v>
      </c>
      <c r="BR27" s="31">
        <v>3</v>
      </c>
      <c r="BS27" s="107">
        <f t="shared" si="17"/>
        <v>6.5955238912263157E-3</v>
      </c>
    </row>
    <row r="28" spans="1:71" x14ac:dyDescent="0.25">
      <c r="A28" s="26" t="s">
        <v>111</v>
      </c>
      <c r="B28" s="277">
        <v>0.9</v>
      </c>
      <c r="C28" s="278">
        <v>0.3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0.24291328265791853</v>
      </c>
      <c r="I28" s="138">
        <v>3</v>
      </c>
      <c r="J28" s="86">
        <f t="shared" si="18"/>
        <v>0.25387717130424736</v>
      </c>
      <c r="K28" s="138">
        <v>3</v>
      </c>
      <c r="L28" s="86">
        <f>AE18</f>
        <v>2.586403510053222E-3</v>
      </c>
      <c r="M28" s="85">
        <v>3</v>
      </c>
      <c r="N28" s="173">
        <f>(($B$24)^M28)*((1-($B$24))^($B$21-M28))*HLOOKUP($B$21,$AV$24:$BF$34,M28+1)</f>
        <v>0.27423645008217351</v>
      </c>
      <c r="O28" s="72">
        <v>3</v>
      </c>
      <c r="P28" s="173">
        <f t="shared" si="19"/>
        <v>0.27423645008217351</v>
      </c>
      <c r="Q28" s="28">
        <v>3</v>
      </c>
      <c r="R28" s="174">
        <f>P25*N28+P26*N27+P27*N26+P28*N25</f>
        <v>0.16818332848621942</v>
      </c>
      <c r="S28" s="72">
        <v>3</v>
      </c>
      <c r="T28" s="175">
        <f t="shared" si="20"/>
        <v>1.2500000000000002E-7</v>
      </c>
      <c r="U28" s="138">
        <v>3</v>
      </c>
      <c r="V28" s="86">
        <f>R28*T25+R27*T26+R26*T27+R25*T28</f>
        <v>0.16682732928984753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7.6221129432642823E-2</v>
      </c>
      <c r="AF28" s="28">
        <v>3</v>
      </c>
      <c r="AG28" s="176">
        <f>((($W$25)^M28)*((1-($W$25))^($U$29-M28))*HLOOKUP($U$29,$AV$24:$BF$34,M28+1))*V29</f>
        <v>9.9996374190592319E-2</v>
      </c>
      <c r="AH28" s="28">
        <v>3</v>
      </c>
      <c r="AI28" s="176">
        <f>((($W$25)^M28)*((1-($W$25))^($U$30-M28))*HLOOKUP($U$30,$AV$24:$BF$34,M28+1))*V30</f>
        <v>5.6290729655384231E-2</v>
      </c>
      <c r="AJ28" s="28">
        <v>3</v>
      </c>
      <c r="AK28" s="176">
        <f>((($W$25)^M28)*((1-($W$25))^($U$31-M28))*HLOOKUP($U$31,$AV$24:$BF$34,M28+1))*V31</f>
        <v>1.7637869210405256E-2</v>
      </c>
      <c r="AL28" s="28">
        <v>3</v>
      </c>
      <c r="AM28" s="176">
        <f>((($W$25)^Q28)*((1-($W$25))^($U$32-Q28))*HLOOKUP($U$32,$AV$24:$BF$34,Q28+1))*V32</f>
        <v>3.3269608711746662E-3</v>
      </c>
      <c r="AN28" s="28">
        <v>3</v>
      </c>
      <c r="AO28" s="176">
        <f>((($W$25)^Q28)*((1-($W$25))^($U$33-Q28))*HLOOKUP($U$33,$AV$24:$BF$34,Q28+1))*V33</f>
        <v>3.7900945304295659E-4</v>
      </c>
      <c r="AP28" s="28">
        <v>3</v>
      </c>
      <c r="AQ28" s="176">
        <f>((($W$25)^Q28)*((1-($W$25))^($U$34-Q28))*HLOOKUP($U$34,$AV$24:$BF$34,Q28+1))*V34</f>
        <v>2.437514626211491E-5</v>
      </c>
      <c r="AR28" s="28">
        <v>3</v>
      </c>
      <c r="AS28" s="176">
        <f>((($W$25)^Q28)*((1-($W$25))^($U$35-Q28))*HLOOKUP($U$35,$AV$24:$BF$34,Q28+1))*V35</f>
        <v>7.2334474292505571E-7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1.616290384393236E-4</v>
      </c>
      <c r="BQ28" s="31">
        <f>BQ22+1</f>
        <v>7</v>
      </c>
      <c r="BR28" s="31">
        <v>4</v>
      </c>
      <c r="BS28" s="107">
        <f t="shared" si="17"/>
        <v>4.0092955278540074E-3</v>
      </c>
    </row>
    <row r="29" spans="1:71" x14ac:dyDescent="0.25">
      <c r="A29" s="26" t="s">
        <v>112</v>
      </c>
      <c r="B29" s="169">
        <f>1/(1+EXP(-3.1416*4*((B14/(B14+C13))-(3.1416/6))))</f>
        <v>0.6458925956223811</v>
      </c>
      <c r="C29" s="170">
        <f>1/(1+EXP(-3.1416*4*((C14/(C14+B13))-(3.1416/6))))</f>
        <v>0.15696297364276415</v>
      </c>
      <c r="D29" s="167">
        <v>0.04</v>
      </c>
      <c r="E29" s="167">
        <v>0.04</v>
      </c>
      <c r="G29" s="87">
        <v>4</v>
      </c>
      <c r="H29" s="126">
        <f>J29*L25+J28*L26+J27*L27+J26*L28</f>
        <v>0.23702387623359883</v>
      </c>
      <c r="I29" s="138">
        <v>4</v>
      </c>
      <c r="J29" s="86">
        <f t="shared" si="18"/>
        <v>0.23531942059454034</v>
      </c>
      <c r="K29" s="138">
        <v>4</v>
      </c>
      <c r="L29" s="86"/>
      <c r="M29" s="85">
        <v>4</v>
      </c>
      <c r="N29" s="173">
        <f>(($B$24)^M29)*((1-($B$24))^($B$21-M29))*HLOOKUP($B$21,$AV$24:$BF$34,M29+1)</f>
        <v>0.1114238266269951</v>
      </c>
      <c r="O29" s="72">
        <v>4</v>
      </c>
      <c r="P29" s="173">
        <f t="shared" si="19"/>
        <v>0.1114238266269951</v>
      </c>
      <c r="Q29" s="28">
        <v>4</v>
      </c>
      <c r="R29" s="174">
        <f>P25*N29+P26*N28+P27*N27+P28*N26+P29*N25</f>
        <v>0.23916844424636061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0.23810220529791576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8.3786553776831224E-2</v>
      </c>
      <c r="AH29" s="28">
        <v>4</v>
      </c>
      <c r="AI29" s="176">
        <f>((($W$25)^M29)*((1-($W$25))^($U$30-M29))*HLOOKUP($U$30,$AV$24:$BF$34,M29+1))*V30</f>
        <v>9.4331545230199751E-2</v>
      </c>
      <c r="AJ29" s="28">
        <v>4</v>
      </c>
      <c r="AK29" s="176">
        <f>((($W$25)^M29)*((1-($W$25))^($U$31-M29))*HLOOKUP($U$31,$AV$24:$BF$34,M29+1))*V31</f>
        <v>4.4336095855524608E-2</v>
      </c>
      <c r="AL29" s="28">
        <v>4</v>
      </c>
      <c r="AM29" s="176">
        <f>((($W$25)^Q29)*((1-($W$25))^($U$32-Q29))*HLOOKUP($U$32,$AV$24:$BF$34,Q29+1))*V32</f>
        <v>1.1150587736902756E-2</v>
      </c>
      <c r="AN29" s="28">
        <v>4</v>
      </c>
      <c r="AO29" s="176">
        <f>((($W$25)^Q29)*((1-($W$25))^($U$33-Q29))*HLOOKUP($U$33,$AV$24:$BF$34,Q29+1))*V33</f>
        <v>1.5878523684661097E-3</v>
      </c>
      <c r="AP29" s="28">
        <v>4</v>
      </c>
      <c r="AQ29" s="176">
        <f>((($W$25)^Q29)*((1-($W$25))^($U$34-Q29))*HLOOKUP($U$34,$AV$24:$BF$34,Q29+1))*V34</f>
        <v>1.2254301336263603E-4</v>
      </c>
      <c r="AR29" s="28">
        <v>4</v>
      </c>
      <c r="AS29" s="176">
        <f>((($W$25)^Q29)*((1-($W$25))^($U$35-Q29))*HLOOKUP($U$35,$AV$24:$BF$34,Q29+1))*V35</f>
        <v>4.2426132532299512E-6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2.2511933959359444E-5</v>
      </c>
      <c r="BQ29" s="31">
        <f>BQ23+1</f>
        <v>7</v>
      </c>
      <c r="BR29" s="31">
        <v>5</v>
      </c>
      <c r="BS29" s="107">
        <f t="shared" si="17"/>
        <v>1.7639793879830814E-3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0.16133345015840159</v>
      </c>
      <c r="I30" s="138">
        <v>5</v>
      </c>
      <c r="J30" s="86">
        <f t="shared" si="18"/>
        <v>0.14977897664238488</v>
      </c>
      <c r="K30" s="138">
        <v>5</v>
      </c>
      <c r="L30" s="86"/>
      <c r="M30" s="85">
        <v>5</v>
      </c>
      <c r="N30" s="173">
        <f>(($B$24)^M30)*((1-($B$24))^($B$21-M30))*HLOOKUP($B$21,$AV$24:$BF$34,M30+1)</f>
        <v>1.8108853343868025E-2</v>
      </c>
      <c r="O30" s="72">
        <v>5</v>
      </c>
      <c r="P30" s="173">
        <f t="shared" si="19"/>
        <v>1.8108853343868025E-2</v>
      </c>
      <c r="Q30" s="28">
        <v>5</v>
      </c>
      <c r="R30" s="174">
        <f>P25*N30+P26*N29+P27*N28+P28*N27+P29*N26+P30*N25</f>
        <v>0.23322119222330406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0.23330463824439029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6.3232013370543211E-2</v>
      </c>
      <c r="AJ30" s="28">
        <v>5</v>
      </c>
      <c r="AK30" s="176">
        <f>((($W$25)^M30)*((1-($W$25))^($U$31-M30))*HLOOKUP($U$31,$AV$24:$BF$34,M30+1))*V31</f>
        <v>5.943845399951541E-2</v>
      </c>
      <c r="AL30" s="28">
        <v>5</v>
      </c>
      <c r="AM30" s="176">
        <f>((($W$25)^Q30)*((1-($W$25))^($U$32-Q30))*HLOOKUP($U$32,$AV$24:$BF$34,Q30+1))*V32</f>
        <v>2.2423276682746133E-2</v>
      </c>
      <c r="AN30" s="28">
        <v>5</v>
      </c>
      <c r="AO30" s="176">
        <f>((($W$25)^Q30)*((1-($W$25))^($U$33-Q30))*HLOOKUP($U$33,$AV$24:$BF$34,Q30+1))*V33</f>
        <v>4.2574560587672521E-3</v>
      </c>
      <c r="AP30" s="28">
        <v>5</v>
      </c>
      <c r="AQ30" s="176">
        <f>((($W$25)^Q30)*((1-($W$25))^($U$34-Q30))*HLOOKUP($U$34,$AV$24:$BF$34,Q30+1))*V34</f>
        <v>4.1071316283983493E-4</v>
      </c>
      <c r="AR30" s="28">
        <v>5</v>
      </c>
      <c r="AS30" s="176">
        <f>((($W$25)^Q30)*((1-($W$25))^($U$35-Q30))*HLOOKUP($U$35,$AV$24:$BF$34,Q30+1))*V35</f>
        <v>1.7063367973011547E-5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2.2718714975181581E-6</v>
      </c>
      <c r="BQ30" s="31">
        <f>BM10+1</f>
        <v>7</v>
      </c>
      <c r="BR30" s="31">
        <v>6</v>
      </c>
      <c r="BS30" s="107">
        <f t="shared" si="17"/>
        <v>5.7827560319419116E-4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0.77019860466443446</v>
      </c>
      <c r="C31" s="61">
        <f>(C25*E25)+(C26*E26)+(C27*E27)+(C28*E28)+(C29*E29)+(C30*E30)/(C25+C26+C27+C28+C29+C30)</f>
        <v>0.38021083125799293</v>
      </c>
      <c r="G31" s="87">
        <v>6</v>
      </c>
      <c r="H31" s="126">
        <f>J31*L25+J30*L26+J29*L27+J28*L28</f>
        <v>7.8353021347844207E-2</v>
      </c>
      <c r="I31" s="138">
        <v>6</v>
      </c>
      <c r="J31" s="86">
        <f t="shared" si="18"/>
        <v>6.6353282222073151E-2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0.15793182416271215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0.15905596307613673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3.3202158663273078E-2</v>
      </c>
      <c r="AL31" s="28">
        <v>6</v>
      </c>
      <c r="AM31" s="176">
        <f>((($W$25)^Q31)*((1-($W$25))^($U$32-Q31))*HLOOKUP($U$32,$AV$24:$BF$34,Q31+1))*V32</f>
        <v>2.5051162675835365E-2</v>
      </c>
      <c r="AN31" s="28">
        <v>6</v>
      </c>
      <c r="AO31" s="176">
        <f>((($W$25)^Q31)*((1-($W$25))^($U$33-Q31))*HLOOKUP($U$33,$AV$24:$BF$34,Q31+1))*V33</f>
        <v>7.1346101077724537E-3</v>
      </c>
      <c r="AP31" s="28">
        <v>6</v>
      </c>
      <c r="AQ31" s="176">
        <f>((($W$25)^Q31)*((1-($W$25))^($U$34-Q31))*HLOOKUP($U$34,$AV$24:$BF$34,Q31+1))*V34</f>
        <v>9.1769302060340193E-4</v>
      </c>
      <c r="AR31" s="28">
        <v>6</v>
      </c>
      <c r="AS31" s="176">
        <f>((($W$25)^Q31)*((1-($W$25))^($U$35-Q31))*HLOOKUP($U$35,$AV$24:$BF$34,Q31+1))*V35</f>
        <v>4.7657754588835767E-5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3.5635193243675534E-2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4.1045933327216367E-4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2.7330036662270019E-2</v>
      </c>
      <c r="I32" s="138">
        <v>7</v>
      </c>
      <c r="J32" s="86">
        <f t="shared" si="18"/>
        <v>2.023594913745853E-2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7.333553920502088E-2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7.4603777956219072E-2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1.1994438259533826E-2</v>
      </c>
      <c r="AN32" s="28">
        <v>7</v>
      </c>
      <c r="AO32" s="176">
        <f>((($W$25)^Q32)*((1-($W$25))^($U$33-Q32))*HLOOKUP($U$33,$AV$24:$BF$34,Q32+1))*V33</f>
        <v>6.8320693574889383E-3</v>
      </c>
      <c r="AP32" s="28">
        <v>7</v>
      </c>
      <c r="AQ32" s="176">
        <f>((($W$25)^Q32)*((1-($W$25))^($U$34-Q32))*HLOOKUP($U$34,$AV$24:$BF$34,Q32+1))*V34</f>
        <v>1.3181678334774803E-3</v>
      </c>
      <c r="AR32" s="28">
        <v>7</v>
      </c>
      <c r="AS32" s="176">
        <f>((($W$25)^Q32)*((1-($W$25))^($U$35-Q32))*HLOOKUP($U$35,$AV$24:$BF$34,Q32+1))*V35</f>
        <v>9.1273686958283056E-5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1.5678501605064656E-2</v>
      </c>
      <c r="BQ32" s="31">
        <f t="shared" si="24"/>
        <v>8</v>
      </c>
      <c r="BR32" s="31">
        <v>1</v>
      </c>
      <c r="BS32" s="107">
        <f t="shared" si="25"/>
        <v>1.2831924390930313E-3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6.8290881442715397E-3</v>
      </c>
      <c r="I33" s="138">
        <v>8</v>
      </c>
      <c r="J33" s="86">
        <f t="shared" si="18"/>
        <v>4.0814857359118229E-3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2.2347484452364792E-2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2.3114820526526626E-2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2.8622815140138484E-3</v>
      </c>
      <c r="AP33" s="28">
        <v>8</v>
      </c>
      <c r="AQ33" s="176">
        <f>((($W$25)^Q33)*((1-($W$25))^($U$34-Q33))*HLOOKUP($U$34,$AV$24:$BF$34,Q33+1))*V34</f>
        <v>1.1044874472752703E-3</v>
      </c>
      <c r="AR33" s="28">
        <v>8</v>
      </c>
      <c r="AS33" s="176">
        <f>((($W$25)^Q33)*((1-($W$25))^($U$35-Q33))*HLOOKUP($U$35,$AV$24:$BF$34,Q33+1))*V35</f>
        <v>1.1471677462270412E-4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5.1397964367465828E-3</v>
      </c>
      <c r="BQ33" s="31">
        <f t="shared" si="24"/>
        <v>8</v>
      </c>
      <c r="BR33" s="31">
        <v>2</v>
      </c>
      <c r="BS33" s="107">
        <f t="shared" si="25"/>
        <v>1.8568261045655619E-3</v>
      </c>
    </row>
    <row r="34" spans="1:71" x14ac:dyDescent="0.25">
      <c r="A34" s="40" t="s">
        <v>117</v>
      </c>
      <c r="B34" s="56">
        <f>B23*2</f>
        <v>4.4830975635381511</v>
      </c>
      <c r="C34" s="57">
        <f>C23*2</f>
        <v>5.5169024364618489</v>
      </c>
      <c r="G34" s="87">
        <v>9</v>
      </c>
      <c r="H34" s="126">
        <f>J34*L25+J33*L26+J32*L27+J31*L28</f>
        <v>1.2214267246410961E-3</v>
      </c>
      <c r="I34" s="138">
        <v>9</v>
      </c>
      <c r="J34" s="86">
        <f t="shared" si="18"/>
        <v>4.9674975923961052E-4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4.0355154708016623E-3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4.3126458284759956E-3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4.1130912171578312E-4</v>
      </c>
      <c r="AR34" s="28">
        <v>9</v>
      </c>
      <c r="AS34" s="176">
        <f>((($W$25)^Q34)*((1-($W$25))^($U$35-Q34))*HLOOKUP($U$35,$AV$24:$BF$34,Q34+1))*V35</f>
        <v>8.5440637523827344E-5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1.2717438778802469E-3</v>
      </c>
      <c r="BQ34" s="31">
        <f t="shared" si="24"/>
        <v>8</v>
      </c>
      <c r="BR34" s="31">
        <v>3</v>
      </c>
      <c r="BS34" s="107">
        <f t="shared" si="25"/>
        <v>1.6480553819751887E-3</v>
      </c>
    </row>
    <row r="35" spans="1:71" ht="15.75" thickBot="1" x14ac:dyDescent="0.3">
      <c r="G35" s="88">
        <v>10</v>
      </c>
      <c r="H35" s="127">
        <f>J35*L25+J34*L26+J33*L27+J32*L28</f>
        <v>1.6033148056883347E-4</v>
      </c>
      <c r="I35" s="94">
        <v>10</v>
      </c>
      <c r="J35" s="89">
        <f t="shared" si="18"/>
        <v>2.8636144574491598E-5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3.2793056942972016E-4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3.8984078367598762E-4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2.8636144574491598E-5</v>
      </c>
      <c r="BI35" s="31">
        <f t="shared" si="22"/>
        <v>3</v>
      </c>
      <c r="BJ35" s="31">
        <v>8</v>
      </c>
      <c r="BK35" s="107">
        <f t="shared" si="23"/>
        <v>2.3755916950318271E-4</v>
      </c>
      <c r="BQ35" s="31">
        <f t="shared" si="24"/>
        <v>8</v>
      </c>
      <c r="BR35" s="31">
        <v>4</v>
      </c>
      <c r="BS35" s="107">
        <f t="shared" si="25"/>
        <v>1.0018220207493331E-3</v>
      </c>
    </row>
    <row r="36" spans="1:71" ht="15.75" x14ac:dyDescent="0.25">
      <c r="A36" s="285" t="s">
        <v>118</v>
      </c>
      <c r="B36" s="182">
        <f>SUM(BO4:BO14)</f>
        <v>0.16391806670823461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3.3087596059068074E-5</v>
      </c>
      <c r="BQ36" s="31">
        <f t="shared" si="24"/>
        <v>8</v>
      </c>
      <c r="BR36" s="31">
        <v>5</v>
      </c>
      <c r="BS36" s="107">
        <f t="shared" si="25"/>
        <v>4.4077404191136794E-4</v>
      </c>
    </row>
    <row r="37" spans="1:71" ht="16.5" thickBot="1" x14ac:dyDescent="0.3">
      <c r="A37" s="110" t="s">
        <v>119</v>
      </c>
      <c r="B37" s="182">
        <f>SUM(BK4:BK59)</f>
        <v>0.23098793855564373</v>
      </c>
      <c r="G37" s="157"/>
      <c r="H37" s="229">
        <f>SUM(H39:H49)</f>
        <v>0.99999900734113578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0.99728199897379599</v>
      </c>
      <c r="W37" s="157"/>
      <c r="X37" s="157"/>
      <c r="Y37" s="168">
        <f>SUM(Y39:Y49)</f>
        <v>3.2629091658257158E-4</v>
      </c>
      <c r="Z37" s="81"/>
      <c r="AA37" s="168">
        <f>SUM(AA39:AA49)</f>
        <v>4.0169775462948025E-3</v>
      </c>
      <c r="AB37" s="81"/>
      <c r="AC37" s="168">
        <f>SUM(AC39:AC49)</f>
        <v>2.2255924607456973E-2</v>
      </c>
      <c r="AD37" s="81"/>
      <c r="AE37" s="168">
        <f>SUM(AE39:AE49)</f>
        <v>7.3080598931257595E-2</v>
      </c>
      <c r="AF37" s="81"/>
      <c r="AG37" s="168">
        <f>SUM(AG39:AG49)</f>
        <v>0.1575088427379237</v>
      </c>
      <c r="AH37" s="81"/>
      <c r="AI37" s="168">
        <f>SUM(AI39:AI49)</f>
        <v>0.23284474538300109</v>
      </c>
      <c r="AJ37" s="81"/>
      <c r="AK37" s="168">
        <f>SUM(AK39:AK49)</f>
        <v>0.23913870798624526</v>
      </c>
      <c r="AL37" s="81"/>
      <c r="AM37" s="168">
        <f>SUM(AM39:AM49)</f>
        <v>0.16853825406502007</v>
      </c>
      <c r="AN37" s="81"/>
      <c r="AO37" s="168">
        <f>SUM(AO39:AO49)</f>
        <v>7.8065292189127347E-2</v>
      </c>
      <c r="AP37" s="81"/>
      <c r="AQ37" s="168">
        <f>SUM(AQ39:AQ49)</f>
        <v>2.1506364610886453E-2</v>
      </c>
      <c r="AR37" s="81"/>
      <c r="AS37" s="168">
        <f>SUM(AS39:AS49)</f>
        <v>2.718001026204008E-3</v>
      </c>
      <c r="BI37" s="31">
        <f t="shared" si="22"/>
        <v>3</v>
      </c>
      <c r="BJ37" s="31">
        <v>10</v>
      </c>
      <c r="BK37" s="107">
        <f t="shared" si="23"/>
        <v>3.3391518713450331E-6</v>
      </c>
      <c r="BQ37" s="31">
        <f t="shared" si="24"/>
        <v>8</v>
      </c>
      <c r="BR37" s="31">
        <v>6</v>
      </c>
      <c r="BS37" s="107">
        <f t="shared" si="25"/>
        <v>1.444965154893764E-4</v>
      </c>
    </row>
    <row r="38" spans="1:71" ht="16.5" thickBot="1" x14ac:dyDescent="0.3">
      <c r="A38" s="111" t="s">
        <v>120</v>
      </c>
      <c r="B38" s="182">
        <f>SUM(BS4:BS47)</f>
        <v>0.60491457424726747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1.5298378019123876E-2</v>
      </c>
      <c r="BQ38" s="31">
        <f>BM11+1</f>
        <v>8</v>
      </c>
      <c r="BR38" s="31">
        <v>7</v>
      </c>
      <c r="BS38" s="107">
        <f t="shared" si="25"/>
        <v>3.5752886560807405E-5</v>
      </c>
    </row>
    <row r="39" spans="1:71" x14ac:dyDescent="0.25">
      <c r="G39" s="128">
        <v>0</v>
      </c>
      <c r="H39" s="129">
        <f>L39*J39</f>
        <v>6.0104559291194723E-2</v>
      </c>
      <c r="I39" s="97">
        <v>0</v>
      </c>
      <c r="J39" s="98">
        <f t="shared" ref="J39:J49" si="29">Y39+AA39+AC39+AE39+AG39+AI39+AK39+AM39+AO39+AQ39+AS39</f>
        <v>9.4791967084737513E-2</v>
      </c>
      <c r="K39" s="102">
        <v>0</v>
      </c>
      <c r="L39" s="98">
        <f>AH18</f>
        <v>0.63406806652155845</v>
      </c>
      <c r="M39" s="85">
        <v>0</v>
      </c>
      <c r="N39" s="173">
        <f>(1-$C$24)^$B$21</f>
        <v>1.8108853343868025E-2</v>
      </c>
      <c r="O39" s="72">
        <v>0</v>
      </c>
      <c r="P39" s="173">
        <f t="shared" ref="P39:P44" si="30">N39</f>
        <v>1.8108853343868025E-2</v>
      </c>
      <c r="Q39" s="28">
        <v>0</v>
      </c>
      <c r="R39" s="174">
        <f>P39*N39</f>
        <v>3.2793056942972016E-4</v>
      </c>
      <c r="S39" s="72">
        <v>0</v>
      </c>
      <c r="T39" s="175">
        <f>(1-$C$33)^(INT(B23*2*(1-B31)))</f>
        <v>0.995</v>
      </c>
      <c r="U39" s="138">
        <v>0</v>
      </c>
      <c r="V39" s="86">
        <f>R39*T39</f>
        <v>3.2629091658257158E-4</v>
      </c>
      <c r="W39" s="134">
        <f>C31</f>
        <v>0.38021083125799293</v>
      </c>
      <c r="X39" s="28">
        <v>0</v>
      </c>
      <c r="Y39" s="176">
        <f>V39</f>
        <v>3.2629091658257158E-4</v>
      </c>
      <c r="Z39" s="28">
        <v>0</v>
      </c>
      <c r="AA39" s="176">
        <f>((1-W39)^Z40)*V40</f>
        <v>2.489679174273363E-3</v>
      </c>
      <c r="AB39" s="28">
        <v>0</v>
      </c>
      <c r="AC39" s="176">
        <f>(((1-$W$39)^AB41))*V41</f>
        <v>8.5493600250956345E-3</v>
      </c>
      <c r="AD39" s="28">
        <v>0</v>
      </c>
      <c r="AE39" s="176">
        <f>(((1-$W$39)^AB42))*V42</f>
        <v>1.7399390893106582E-2</v>
      </c>
      <c r="AF39" s="28">
        <v>0</v>
      </c>
      <c r="AG39" s="176">
        <f>(((1-$W$39)^AB43))*V43</f>
        <v>2.324239459438732E-2</v>
      </c>
      <c r="AH39" s="28">
        <v>0</v>
      </c>
      <c r="AI39" s="176">
        <f>(((1-$W$39)^AB44))*V44</f>
        <v>2.1295427039723293E-2</v>
      </c>
      <c r="AJ39" s="28">
        <v>0</v>
      </c>
      <c r="AK39" s="176">
        <f>(((1-$W$39)^AB45))*V45</f>
        <v>1.3555444796180873E-2</v>
      </c>
      <c r="AL39" s="28">
        <v>0</v>
      </c>
      <c r="AM39" s="176">
        <f>(((1-$W$39)^AB46))*V46</f>
        <v>5.9211541448355104E-3</v>
      </c>
      <c r="AN39" s="28">
        <v>0</v>
      </c>
      <c r="AO39" s="176">
        <f>(((1-$W$39)^AB47))*V47</f>
        <v>1.6998470600980229E-3</v>
      </c>
      <c r="AP39" s="28">
        <v>0</v>
      </c>
      <c r="AQ39" s="176">
        <f>(((1-$W$39)^AB48))*V48</f>
        <v>2.9024372934390009E-4</v>
      </c>
      <c r="AR39" s="28">
        <v>0</v>
      </c>
      <c r="AS39" s="176">
        <f>(((1-$W$39)^AB49))*V49</f>
        <v>2.2734711110437546E-5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5.0151826246772812E-3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7.3413314991040531E-5</v>
      </c>
    </row>
    <row r="40" spans="1:71" x14ac:dyDescent="0.25">
      <c r="G40" s="91">
        <v>1</v>
      </c>
      <c r="H40" s="130">
        <f>L39*J40+L40*J39</f>
        <v>0.18790099234103674</v>
      </c>
      <c r="I40" s="138">
        <v>1</v>
      </c>
      <c r="J40" s="86">
        <f t="shared" si="29"/>
        <v>0.25179276634399705</v>
      </c>
      <c r="K40" s="95">
        <v>1</v>
      </c>
      <c r="L40" s="86">
        <f>AI18</f>
        <v>0.2979919152424898</v>
      </c>
      <c r="M40" s="85">
        <v>1</v>
      </c>
      <c r="N40" s="173">
        <f>(($C$24)^M26)*((1-($C$24))^($B$21-M26))*HLOOKUP($B$21,$AV$24:$BF$34,M26+1)</f>
        <v>0.1114238266269951</v>
      </c>
      <c r="O40" s="72">
        <v>1</v>
      </c>
      <c r="P40" s="173">
        <f t="shared" si="30"/>
        <v>0.1114238266269951</v>
      </c>
      <c r="Q40" s="28">
        <v>1</v>
      </c>
      <c r="R40" s="174">
        <f>P40*N39+P39*N40</f>
        <v>4.0355154708016623E-3</v>
      </c>
      <c r="S40" s="72">
        <v>1</v>
      </c>
      <c r="T40" s="175">
        <f t="shared" ref="T40:T49" si="33">(($C$33)^S40)*((1-($C$33))^(INT($B$23*2*(1-$B$31))-S40))*HLOOKUP(INT($B$23*2*(1-$B$31)),$AV$24:$BF$34,S40+1)</f>
        <v>5.0000000000000001E-3</v>
      </c>
      <c r="U40" s="138">
        <v>1</v>
      </c>
      <c r="V40" s="86">
        <f>R40*T39+T40*R39</f>
        <v>4.0169775462948025E-3</v>
      </c>
      <c r="W40" s="177"/>
      <c r="X40" s="28">
        <v>1</v>
      </c>
      <c r="Y40" s="174"/>
      <c r="Z40" s="28">
        <v>1</v>
      </c>
      <c r="AA40" s="176">
        <f>(1-((1-W39)^Z40))*V40</f>
        <v>1.5272983720214395E-3</v>
      </c>
      <c r="AB40" s="28">
        <v>1</v>
      </c>
      <c r="AC40" s="176">
        <f>((($W$39)^M40)*((1-($W$39))^($U$27-M40))*HLOOKUP($U$27,$AV$24:$BF$34,M40+1))*V41</f>
        <v>1.0489241973889807E-2</v>
      </c>
      <c r="AD40" s="28">
        <v>1</v>
      </c>
      <c r="AE40" s="176">
        <f>((($W$39)^M40)*((1-($W$39))^($U$28-M40))*HLOOKUP($U$28,$AV$24:$BF$34,M40+1))*V42</f>
        <v>3.2021067203924669E-2</v>
      </c>
      <c r="AF40" s="28">
        <v>1</v>
      </c>
      <c r="AG40" s="176">
        <f>((($W$39)^M40)*((1-($W$39))^($U$29-M40))*HLOOKUP($U$29,$AV$24:$BF$34,M40+1))*V43</f>
        <v>5.7032362711951626E-2</v>
      </c>
      <c r="AH40" s="28">
        <v>1</v>
      </c>
      <c r="AI40" s="176">
        <f>((($W$39)^M40)*((1-($W$39))^($U$30-M40))*HLOOKUP($U$30,$AV$24:$BF$34,M40+1))*V44</f>
        <v>6.5318598848711731E-2</v>
      </c>
      <c r="AJ40" s="28">
        <v>1</v>
      </c>
      <c r="AK40" s="176">
        <f>((($W$39)^M40)*((1-($W$39))^($U$31-M40))*HLOOKUP($U$31,$AV$24:$BF$34,M40+1))*V45</f>
        <v>4.9893678630964916E-2</v>
      </c>
      <c r="AL40" s="28">
        <v>1</v>
      </c>
      <c r="AM40" s="176">
        <f>((($W$39)^Q40)*((1-($W$39))^($U$32-Q40))*HLOOKUP($U$32,$AV$24:$BF$34,Q40+1))*V46</f>
        <v>2.5426402026173793E-2</v>
      </c>
      <c r="AN40" s="28">
        <v>1</v>
      </c>
      <c r="AO40" s="176">
        <f>((($W$39)^Q40)*((1-($W$39))^($U$33-Q40))*HLOOKUP($U$33,$AV$24:$BF$34,Q40+1))*V47</f>
        <v>8.3421950085785148E-3</v>
      </c>
      <c r="AP40" s="28">
        <v>1</v>
      </c>
      <c r="AQ40" s="176">
        <f>((($W$39)^Q40)*((1-($W$39))^($U$34-Q40))*HLOOKUP($U$34,$AV$24:$BF$34,Q40+1))*V48</f>
        <v>1.6024550548814119E-3</v>
      </c>
      <c r="AR40" s="28">
        <v>1</v>
      </c>
      <c r="AS40" s="176">
        <f>((($W$39)^Q40)*((1-($W$39))^($U$35-Q40))*HLOOKUP($U$35,$AV$24:$BF$34,Q40+1))*V49</f>
        <v>1.3946651289912948E-4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1.2409105842763532E-3</v>
      </c>
      <c r="BQ40" s="31">
        <f t="shared" si="31"/>
        <v>9</v>
      </c>
      <c r="BR40" s="31">
        <v>1</v>
      </c>
      <c r="BS40" s="107">
        <f t="shared" si="32"/>
        <v>2.2950729363192419E-4</v>
      </c>
    </row>
    <row r="41" spans="1:71" x14ac:dyDescent="0.25">
      <c r="G41" s="91">
        <v>2</v>
      </c>
      <c r="H41" s="130">
        <f>L39*J41+J40*L40+J39*L41</f>
        <v>0.27189956628735679</v>
      </c>
      <c r="I41" s="138">
        <v>2</v>
      </c>
      <c r="J41" s="86">
        <f t="shared" si="29"/>
        <v>0.30102079782663965</v>
      </c>
      <c r="K41" s="95">
        <v>2</v>
      </c>
      <c r="L41" s="86">
        <f>AJ18</f>
        <v>6.3293151562375791E-2</v>
      </c>
      <c r="M41" s="85">
        <v>2</v>
      </c>
      <c r="N41" s="173">
        <f>(($C$24)^M27)*((1-($C$24))^($B$21-M27))*HLOOKUP($B$21,$AV$24:$BF$34,M27+1)</f>
        <v>0.27423645008217351</v>
      </c>
      <c r="O41" s="72">
        <v>2</v>
      </c>
      <c r="P41" s="173">
        <f t="shared" si="30"/>
        <v>0.27423645008217351</v>
      </c>
      <c r="Q41" s="28">
        <v>2</v>
      </c>
      <c r="R41" s="174">
        <f>P41*N39+P40*N40+P39*N41</f>
        <v>2.2347484452364792E-2</v>
      </c>
      <c r="S41" s="72">
        <v>2</v>
      </c>
      <c r="T41" s="175">
        <f t="shared" si="33"/>
        <v>0</v>
      </c>
      <c r="U41" s="138">
        <v>2</v>
      </c>
      <c r="V41" s="86">
        <f>R41*T39+T40*R40+R39*T41</f>
        <v>2.2255924607456977E-2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3.217322608471533E-3</v>
      </c>
      <c r="AD41" s="28">
        <v>2</v>
      </c>
      <c r="AE41" s="176">
        <f>((($W$39)^M41)*((1-($W$39))^($U$28-M41))*HLOOKUP($U$28,$AV$24:$BF$34,M41+1))*V42</f>
        <v>1.9643383901147372E-2</v>
      </c>
      <c r="AF41" s="28">
        <v>2</v>
      </c>
      <c r="AG41" s="176">
        <f>((($W$39)^M41)*((1-($W$39))^($U$29-M41))*HLOOKUP($U$29,$AV$24:$BF$34,M41+1))*V43</f>
        <v>5.247991525730774E-2</v>
      </c>
      <c r="AH41" s="28">
        <v>2</v>
      </c>
      <c r="AI41" s="176">
        <f>((($W$39)^M41)*((1-($W$39))^($U$30-M41))*HLOOKUP($U$30,$AV$24:$BF$34,M41+1))*V44</f>
        <v>8.0139634628606432E-2</v>
      </c>
      <c r="AJ41" s="28">
        <v>2</v>
      </c>
      <c r="AK41" s="176">
        <f>((($W$39)^M41)*((1-($W$39))^($U$31-M41))*HLOOKUP($U$31,$AV$24:$BF$34,M41+1))*V45</f>
        <v>7.6518427489230684E-2</v>
      </c>
      <c r="AL41" s="28">
        <v>2</v>
      </c>
      <c r="AM41" s="176">
        <f>((($W$39)^Q41)*((1-($W$39))^($U$32-Q41))*HLOOKUP($U$32,$AV$24:$BF$34,Q41+1))*V46</f>
        <v>4.6793622434029319E-2</v>
      </c>
      <c r="AN41" s="28">
        <v>2</v>
      </c>
      <c r="AO41" s="176">
        <f>((($W$39)^Q41)*((1-($W$39))^($U$33-Q41))*HLOOKUP($U$33,$AV$24:$BF$34,Q41+1))*V47</f>
        <v>1.7911373262750122E-2</v>
      </c>
      <c r="AP41" s="28">
        <v>2</v>
      </c>
      <c r="AQ41" s="176">
        <f>((($W$39)^Q41)*((1-($W$39))^($U$34-Q41))*HLOOKUP($U$34,$AV$24:$BF$34,Q41+1))*V48</f>
        <v>3.9321162691931385E-3</v>
      </c>
      <c r="AR41" s="28">
        <v>2</v>
      </c>
      <c r="AS41" s="176">
        <f>((($W$39)^Q41)*((1-($W$39))^($U$35-Q41))*HLOOKUP($U$35,$AV$24:$BF$34,Q41+1))*V49</f>
        <v>3.8500197590330928E-4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2.3179957297672041E-4</v>
      </c>
      <c r="BQ41" s="31">
        <f t="shared" si="31"/>
        <v>9</v>
      </c>
      <c r="BR41" s="31">
        <v>2</v>
      </c>
      <c r="BS41" s="107">
        <f t="shared" si="32"/>
        <v>3.321053966817008E-4</v>
      </c>
    </row>
    <row r="42" spans="1:71" ht="15" customHeight="1" x14ac:dyDescent="0.25">
      <c r="G42" s="91">
        <v>3</v>
      </c>
      <c r="H42" s="130">
        <f>J42*L39+J41*L40+L42*J39+L41*J40</f>
        <v>0.24132876119890631</v>
      </c>
      <c r="I42" s="138">
        <v>3</v>
      </c>
      <c r="J42" s="86">
        <f t="shared" si="29"/>
        <v>0.21330478684000384</v>
      </c>
      <c r="K42" s="95">
        <v>3</v>
      </c>
      <c r="L42" s="86">
        <f>AK18</f>
        <v>4.6468666735759584E-3</v>
      </c>
      <c r="M42" s="85">
        <v>3</v>
      </c>
      <c r="N42" s="173">
        <f>(($C$24)^M28)*((1-($C$24))^($B$21-M28))*HLOOKUP($B$21,$AV$24:$BF$34,M28+1)</f>
        <v>0.33747553297299915</v>
      </c>
      <c r="O42" s="72">
        <v>3</v>
      </c>
      <c r="P42" s="173">
        <f t="shared" si="30"/>
        <v>0.33747553297299915</v>
      </c>
      <c r="Q42" s="28">
        <v>3</v>
      </c>
      <c r="R42" s="174">
        <f>P42*N39+P41*N40+P40*N41+P39*N42</f>
        <v>7.333553920502088E-2</v>
      </c>
      <c r="S42" s="72">
        <v>3</v>
      </c>
      <c r="T42" s="175">
        <f t="shared" si="33"/>
        <v>0</v>
      </c>
      <c r="U42" s="138">
        <v>3</v>
      </c>
      <c r="V42" s="86">
        <f>R42*T39+R41*T40+R40*T41+R39*T42</f>
        <v>7.3080598931257595E-2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4.0167569330789663E-3</v>
      </c>
      <c r="AF42" s="28">
        <v>3</v>
      </c>
      <c r="AG42" s="176">
        <f>((($W$39)^M42)*((1-($W$39))^($U$29-M42))*HLOOKUP($U$29,$AV$24:$BF$34,M42+1))*V43</f>
        <v>2.1462601812193331E-2</v>
      </c>
      <c r="AH42" s="28">
        <v>3</v>
      </c>
      <c r="AI42" s="176">
        <f>((($W$39)^M42)*((1-($W$39))^($U$30-M42))*HLOOKUP($U$30,$AV$24:$BF$34,M42+1))*V44</f>
        <v>4.9161809588734007E-2</v>
      </c>
      <c r="AJ42" s="28">
        <v>3</v>
      </c>
      <c r="AK42" s="176">
        <f>((($W$39)^M42)*((1-($W$39))^($U$31-M42))*HLOOKUP($U$31,$AV$24:$BF$34,M42+1))*V45</f>
        <v>6.2587164344472201E-2</v>
      </c>
      <c r="AL42" s="28">
        <v>3</v>
      </c>
      <c r="AM42" s="176">
        <f>((($W$39)^Q42)*((1-($W$39))^($U$32-Q42))*HLOOKUP($U$32,$AV$24:$BF$34,Q42+1))*V46</f>
        <v>4.7842726151879567E-2</v>
      </c>
      <c r="AN42" s="28">
        <v>3</v>
      </c>
      <c r="AO42" s="176">
        <f>((($W$39)^Q42)*((1-($W$39))^($U$33-Q42))*HLOOKUP($U$33,$AV$24:$BF$34,Q42+1))*V47</f>
        <v>2.1975531231127981E-2</v>
      </c>
      <c r="AP42" s="28">
        <v>3</v>
      </c>
      <c r="AQ42" s="176">
        <f>((($W$39)^Q42)*((1-($W$39))^($U$34-Q42))*HLOOKUP($U$34,$AV$24:$BF$34,Q42+1))*V48</f>
        <v>5.6283829485825566E-3</v>
      </c>
      <c r="AR42" s="28">
        <v>3</v>
      </c>
      <c r="AS42" s="176">
        <f>((($W$39)^Q42)*((1-($W$39))^($U$35-Q42))*HLOOKUP($U$35,$AV$24:$BF$34,Q42+1))*V49</f>
        <v>6.2981382993523415E-4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3.2285390849606593E-5</v>
      </c>
      <c r="BQ42" s="31">
        <f t="shared" si="31"/>
        <v>9</v>
      </c>
      <c r="BR42" s="31">
        <v>3</v>
      </c>
      <c r="BS42" s="107">
        <f t="shared" si="32"/>
        <v>2.9476539835287337E-4</v>
      </c>
    </row>
    <row r="43" spans="1:71" ht="15" customHeight="1" x14ac:dyDescent="0.25">
      <c r="G43" s="91">
        <v>4</v>
      </c>
      <c r="H43" s="130">
        <f>J43*L39+J42*L40+J41*L41+J40*L42</f>
        <v>0.14669923708477739</v>
      </c>
      <c r="I43" s="138">
        <v>4</v>
      </c>
      <c r="J43" s="86">
        <f t="shared" si="29"/>
        <v>9.9222048942208221E-2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0.20764879234923611</v>
      </c>
      <c r="O43" s="72">
        <v>4</v>
      </c>
      <c r="P43" s="173">
        <f t="shared" si="30"/>
        <v>0.20764879234923611</v>
      </c>
      <c r="Q43" s="28">
        <v>4</v>
      </c>
      <c r="R43" s="174">
        <f>P43*N39+P42*N40+P41*N41+P40*N42+P39*N43</f>
        <v>0.15793182416271215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0.1575088427379237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3.2915683620836794E-3</v>
      </c>
      <c r="AH43" s="28">
        <v>4</v>
      </c>
      <c r="AI43" s="176">
        <f>((($W$39)^M43)*((1-($W$39))^($U$30-M43))*HLOOKUP($U$30,$AV$24:$BF$34,M43+1))*V44</f>
        <v>1.5079202277621915E-2</v>
      </c>
      <c r="AJ43" s="28">
        <v>4</v>
      </c>
      <c r="AK43" s="176">
        <f>((($W$39)^M43)*((1-($W$39))^($U$31-M43))*HLOOKUP($U$31,$AV$24:$BF$34,M43+1))*V45</f>
        <v>2.8795660260317282E-2</v>
      </c>
      <c r="AL43" s="28">
        <v>4</v>
      </c>
      <c r="AM43" s="176">
        <f>((($W$39)^Q43)*((1-($W$39))^($U$32-Q43))*HLOOKUP($U$32,$AV$24:$BF$34,Q43+1))*V46</f>
        <v>2.9349210339986664E-2</v>
      </c>
      <c r="AN43" s="28">
        <v>4</v>
      </c>
      <c r="AO43" s="176">
        <f>((($W$39)^Q43)*((1-($W$39))^($U$33-Q43))*HLOOKUP($U$33,$AV$24:$BF$34,Q43+1))*V47</f>
        <v>1.6851163706365812E-2</v>
      </c>
      <c r="AP43" s="28">
        <v>4</v>
      </c>
      <c r="AQ43" s="176">
        <f>((($W$39)^Q43)*((1-($W$39))^($U$34-Q43))*HLOOKUP($U$34,$AV$24:$BF$34,Q43+1))*V48</f>
        <v>5.1791131584206585E-3</v>
      </c>
      <c r="AR43" s="28">
        <v>4</v>
      </c>
      <c r="AS43" s="176">
        <f>((($W$39)^Q43)*((1-($W$39))^($U$35-Q43))*HLOOKUP($U$35,$AV$24:$BF$34,Q43+1))*V49</f>
        <v>6.7613083741220451E-4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3.2581944931905721E-6</v>
      </c>
      <c r="BQ43" s="31">
        <f t="shared" si="31"/>
        <v>9</v>
      </c>
      <c r="BR43" s="31">
        <v>4</v>
      </c>
      <c r="BS43" s="107">
        <f t="shared" si="32"/>
        <v>1.7918236865980728E-4</v>
      </c>
    </row>
    <row r="44" spans="1:71" ht="15" customHeight="1" thickBot="1" x14ac:dyDescent="0.3">
      <c r="G44" s="91">
        <v>5</v>
      </c>
      <c r="H44" s="130">
        <f>J44*L39+J43*L40+J42*L41+J41*L42</f>
        <v>6.4543615867823215E-2</v>
      </c>
      <c r="I44" s="138">
        <v>5</v>
      </c>
      <c r="J44" s="86">
        <f t="shared" si="29"/>
        <v>3.1663338391209508E-2</v>
      </c>
      <c r="K44" s="95">
        <v>5</v>
      </c>
      <c r="L44" s="86"/>
      <c r="M44" s="85">
        <v>5</v>
      </c>
      <c r="N44" s="173">
        <f>(($C$24)^M30)*((1-($C$24))^($B$21-M30))*HLOOKUP($B$21,$AV$24:$BF$34,M30+1)</f>
        <v>5.1106544624728086E-2</v>
      </c>
      <c r="O44" s="72">
        <v>5</v>
      </c>
      <c r="P44" s="173">
        <f t="shared" si="30"/>
        <v>5.1106544624728086E-2</v>
      </c>
      <c r="Q44" s="28">
        <v>5</v>
      </c>
      <c r="R44" s="174">
        <f>P44*N39+P43*N40+P42*N41+P41*N42+P40*N43+P39*N44</f>
        <v>0.23322119222330406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0.23284474538300109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1.8500729996037009E-3</v>
      </c>
      <c r="AJ44" s="28">
        <v>5</v>
      </c>
      <c r="AK44" s="176">
        <f>((($W$39)^M44)*((1-($W$39))^($U$31-M44))*HLOOKUP($U$31,$AV$24:$BF$34,M44+1))*V45</f>
        <v>7.0659007781114476E-3</v>
      </c>
      <c r="AL44" s="28">
        <v>5</v>
      </c>
      <c r="AM44" s="176">
        <f>((($W$39)^Q44)*((1-($W$39))^($U$32-Q44))*HLOOKUP($U$32,$AV$24:$BF$34,Q44+1))*V46</f>
        <v>1.0802596969657919E-2</v>
      </c>
      <c r="AN44" s="28">
        <v>5</v>
      </c>
      <c r="AO44" s="176">
        <f>((($W$39)^Q44)*((1-($W$39))^($U$33-Q44))*HLOOKUP($U$33,$AV$24:$BF$34,Q44+1))*V47</f>
        <v>8.2699024553348887E-3</v>
      </c>
      <c r="AP44" s="28">
        <v>5</v>
      </c>
      <c r="AQ44" s="176">
        <f>((($W$39)^Q44)*((1-($W$39))^($U$34-Q44))*HLOOKUP($U$34,$AV$24:$BF$34,Q44+1))*V48</f>
        <v>3.1771367078568722E-3</v>
      </c>
      <c r="AR44" s="28">
        <v>5</v>
      </c>
      <c r="AS44" s="176">
        <f>((($W$39)^Q44)*((1-($W$39))^($U$35-Q44))*HLOOKUP($U$35,$AV$24:$BF$34,Q44+1))*V49</f>
        <v>4.9772848064468032E-4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3.4136506788718154E-3</v>
      </c>
      <c r="BQ44" s="31">
        <f t="shared" si="31"/>
        <v>9</v>
      </c>
      <c r="BR44" s="31">
        <v>5</v>
      </c>
      <c r="BS44" s="107">
        <f t="shared" si="32"/>
        <v>7.8835297325928391E-5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2.1158976489501713E-2</v>
      </c>
      <c r="I45" s="138">
        <v>6</v>
      </c>
      <c r="J45" s="86">
        <f t="shared" si="29"/>
        <v>7.0217738238250579E-3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0.23916844424636061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0.23913870798624531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7.2243168696788096E-4</v>
      </c>
      <c r="AL45" s="28">
        <v>6</v>
      </c>
      <c r="AM45" s="176">
        <f>((($W$39)^Q45)*((1-($W$39))^($U$32-Q45))*HLOOKUP($U$32,$AV$24:$BF$34,Q45+1))*V46</f>
        <v>2.2089578094839752E-3</v>
      </c>
      <c r="AN45" s="28">
        <v>6</v>
      </c>
      <c r="AO45" s="176">
        <f>((($W$39)^Q45)*((1-($W$39))^($U$33-Q45))*HLOOKUP($U$33,$AV$24:$BF$34,Q45+1))*V47</f>
        <v>2.5365936075870997E-3</v>
      </c>
      <c r="AP45" s="28">
        <v>6</v>
      </c>
      <c r="AQ45" s="176">
        <f>((($W$39)^Q45)*((1-($W$39))^($U$34-Q45))*HLOOKUP($U$34,$AV$24:$BF$34,Q45+1))*V48</f>
        <v>1.2993469926409532E-3</v>
      </c>
      <c r="AR45" s="28">
        <v>6</v>
      </c>
      <c r="AS45" s="176">
        <f>((($W$39)^Q45)*((1-($W$39))^($U$35-Q45))*HLOOKUP($U$35,$AV$24:$BF$34,Q45+1))*V49</f>
        <v>2.5444372714514876E-4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8.4464227435920673E-4</v>
      </c>
      <c r="BQ45" s="31">
        <f t="shared" si="31"/>
        <v>9</v>
      </c>
      <c r="BR45" s="31">
        <v>6</v>
      </c>
      <c r="BS45" s="107">
        <f t="shared" si="32"/>
        <v>2.5844139350330034E-5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5.2353822070371264E-3</v>
      </c>
      <c r="I46" s="138">
        <v>7</v>
      </c>
      <c r="J46" s="86">
        <f t="shared" si="29"/>
        <v>1.068980294679112E-3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0.16818332848621942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0.16853825406502013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1.9358418897335461E-4</v>
      </c>
      <c r="AN46" s="28">
        <v>7</v>
      </c>
      <c r="AO46" s="176">
        <f>((($W$39)^Q46)*((1-($W$39))^($U$33-Q46))*HLOOKUP($U$33,$AV$24:$BF$34,Q46+1))*V47</f>
        <v>4.4459374839255541E-4</v>
      </c>
      <c r="AP46" s="28">
        <v>7</v>
      </c>
      <c r="AQ46" s="176">
        <f>((($W$39)^Q46)*((1-($W$39))^($U$34-Q46))*HLOOKUP($U$34,$AV$24:$BF$34,Q46+1))*V48</f>
        <v>3.416086527575542E-4</v>
      </c>
      <c r="AR46" s="28">
        <v>7</v>
      </c>
      <c r="AS46" s="176">
        <f>((($W$39)^Q46)*((1-($W$39))^($U$35-Q46))*HLOOKUP($U$35,$AV$24:$BF$34,Q46+1))*V49</f>
        <v>8.9193704555647803E-5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1.5777745874310934E-4</v>
      </c>
      <c r="BQ46" s="31">
        <f t="shared" si="31"/>
        <v>9</v>
      </c>
      <c r="BR46" s="31">
        <v>7</v>
      </c>
      <c r="BS46" s="107">
        <f t="shared" si="32"/>
        <v>6.3946357413856301E-6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9.7795874685751238E-4</v>
      </c>
      <c r="I47" s="138">
        <v>8</v>
      </c>
      <c r="J47" s="86">
        <f t="shared" si="29"/>
        <v>1.0700074370476728E-4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7.761243773537313E-2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7.8065292189127361E-2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3.4092108892355587E-5</v>
      </c>
      <c r="AP47" s="28">
        <v>8</v>
      </c>
      <c r="AQ47" s="176">
        <f>((($W$39)^Q47)*((1-($W$39))^($U$34-Q47))*HLOOKUP($U$34,$AV$24:$BF$34,Q47+1))*V48</f>
        <v>5.2390117632056376E-5</v>
      </c>
      <c r="AR47" s="28">
        <v>8</v>
      </c>
      <c r="AS47" s="176">
        <f>((($W$39)^Q47)*((1-($W$39))^($U$35-Q47))*HLOOKUP($U$35,$AV$24:$BF$34,Q47+1))*V49</f>
        <v>2.0518517180355307E-5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2.1975480184730729E-5</v>
      </c>
      <c r="BQ47" s="31">
        <f>BM12+1</f>
        <v>9</v>
      </c>
      <c r="BR47" s="31">
        <v>8</v>
      </c>
      <c r="BS47" s="107">
        <f t="shared" si="32"/>
        <v>1.1945049490082821E-6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1.3621155540375913E-4</v>
      </c>
      <c r="I48" s="138">
        <v>9</v>
      </c>
      <c r="J48" s="86">
        <f t="shared" si="29"/>
        <v>6.3681180118674179E-6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2.1224424544934263E-2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2.150636461088646E-2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3.5709795773543424E-6</v>
      </c>
      <c r="AR48" s="28">
        <v>9</v>
      </c>
      <c r="AS48" s="176">
        <f>((($W$39)^Q48)*((1-($W$39))^($U$35-Q48))*HLOOKUP($U$35,$AV$24:$BF$34,Q48+1))*V49</f>
        <v>2.7971384345130751E-6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2.2177333660490801E-6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1.3746271240537216E-5</v>
      </c>
      <c r="I49" s="94">
        <v>10</v>
      </c>
      <c r="J49" s="89">
        <f t="shared" si="29"/>
        <v>1.7159098334817626E-7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2.6118789034793232E-3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2.7180010262040089E-3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1.7159098334817626E-7</v>
      </c>
      <c r="BI49" s="31">
        <f>BQ14+1</f>
        <v>6</v>
      </c>
      <c r="BJ49" s="31">
        <v>0</v>
      </c>
      <c r="BK49" s="107">
        <f>$H$31*H39</f>
        <v>4.7093738172457478E-3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70"/>
      <c r="J50" s="270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70"/>
      <c r="X50" s="157"/>
      <c r="Y50" s="157"/>
      <c r="BI50" s="31">
        <f>BI45+1</f>
        <v>6</v>
      </c>
      <c r="BJ50" s="31">
        <v>7</v>
      </c>
      <c r="BK50" s="107">
        <f>$H$31*H46</f>
        <v>4.1020801383210366E-4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7.6626022569837636E-5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1.0672586908373803E-5</v>
      </c>
    </row>
    <row r="53" spans="1:63" x14ac:dyDescent="0.25">
      <c r="BI53" s="31">
        <f>BI48+1</f>
        <v>6</v>
      </c>
      <c r="BJ53" s="31">
        <v>10</v>
      </c>
      <c r="BK53" s="107">
        <f>$H$31*H49</f>
        <v>1.0770618839630694E-6</v>
      </c>
    </row>
    <row r="54" spans="1:63" x14ac:dyDescent="0.25">
      <c r="BI54" s="31">
        <f>BI51+1</f>
        <v>7</v>
      </c>
      <c r="BJ54" s="31">
        <v>8</v>
      </c>
      <c r="BK54" s="107">
        <f>$H$32*H47</f>
        <v>2.6727648405803459E-5</v>
      </c>
    </row>
    <row r="55" spans="1:63" x14ac:dyDescent="0.25">
      <c r="BI55" s="31">
        <f>BI52+1</f>
        <v>7</v>
      </c>
      <c r="BJ55" s="31">
        <v>9</v>
      </c>
      <c r="BK55" s="107">
        <f>$H$32*H48</f>
        <v>3.7226668030095608E-6</v>
      </c>
    </row>
    <row r="56" spans="1:63" x14ac:dyDescent="0.25">
      <c r="BI56" s="31">
        <f>BI53+1</f>
        <v>7</v>
      </c>
      <c r="BJ56" s="31">
        <v>10</v>
      </c>
      <c r="BK56" s="107">
        <f>$H$32*H49</f>
        <v>3.7568609697339006E-7</v>
      </c>
    </row>
    <row r="57" spans="1:63" x14ac:dyDescent="0.25">
      <c r="BI57" s="31">
        <f>BI55+1</f>
        <v>8</v>
      </c>
      <c r="BJ57" s="31">
        <v>9</v>
      </c>
      <c r="BK57" s="107">
        <f>$H$33*H48</f>
        <v>9.3020071812059744E-7</v>
      </c>
    </row>
    <row r="58" spans="1:63" x14ac:dyDescent="0.25">
      <c r="BI58" s="31">
        <f>BI56+1</f>
        <v>8</v>
      </c>
      <c r="BJ58" s="31">
        <v>10</v>
      </c>
      <c r="BK58" s="107">
        <f>$H$33*H49</f>
        <v>9.3874497956693539E-8</v>
      </c>
    </row>
    <row r="59" spans="1:63" x14ac:dyDescent="0.25">
      <c r="BI59" s="31">
        <f>BI58+1</f>
        <v>9</v>
      </c>
      <c r="BJ59" s="31">
        <v>10</v>
      </c>
      <c r="BK59" s="107">
        <f>$H$34*H49</f>
        <v>1.6790063057357468E-8</v>
      </c>
    </row>
  </sheetData>
  <mergeCells count="1">
    <mergeCell ref="B3:C3"/>
  </mergeCells>
  <conditionalFormatting sqref="H49">
    <cfRule type="cellIs" dxfId="167" priority="1" operator="greaterThan">
      <formula>0.15</formula>
    </cfRule>
  </conditionalFormatting>
  <conditionalFormatting sqref="H39:H49">
    <cfRule type="cellIs" dxfId="166" priority="2" operator="greaterThan">
      <formula>0.15</formula>
    </cfRule>
  </conditionalFormatting>
  <conditionalFormatting sqref="H49">
    <cfRule type="cellIs" dxfId="165" priority="3" operator="greaterThan">
      <formula>0.15</formula>
    </cfRule>
  </conditionalFormatting>
  <conditionalFormatting sqref="H39:H49">
    <cfRule type="cellIs" dxfId="164" priority="4" operator="greaterThan">
      <formula>0.15</formula>
    </cfRule>
  </conditionalFormatting>
  <conditionalFormatting sqref="H35">
    <cfRule type="cellIs" dxfId="163" priority="5" operator="greaterThan">
      <formula>0.15</formula>
    </cfRule>
  </conditionalFormatting>
  <conditionalFormatting sqref="H25:H35">
    <cfRule type="cellIs" dxfId="162" priority="6" operator="greaterThan">
      <formula>0.15</formula>
    </cfRule>
  </conditionalFormatting>
  <conditionalFormatting sqref="H35">
    <cfRule type="cellIs" dxfId="161" priority="7" operator="greaterThan">
      <formula>0.15</formula>
    </cfRule>
  </conditionalFormatting>
  <conditionalFormatting sqref="H25:H35">
    <cfRule type="cellIs" dxfId="160" priority="8" operator="greaterThan">
      <formula>0.15</formula>
    </cfRule>
  </conditionalFormatting>
  <conditionalFormatting sqref="V49">
    <cfRule type="cellIs" dxfId="159" priority="9" operator="greaterThan">
      <formula>0.15</formula>
    </cfRule>
  </conditionalFormatting>
  <conditionalFormatting sqref="V35">
    <cfRule type="cellIs" dxfId="158" priority="10" operator="greaterThan">
      <formula>0.15</formula>
    </cfRule>
  </conditionalFormatting>
  <conditionalFormatting sqref="V25:V35 V39:V49">
    <cfRule type="cellIs" dxfId="157" priority="11" operator="greaterThan">
      <formula>0.15</formula>
    </cfRule>
  </conditionalFormatting>
  <conditionalFormatting sqref="V49">
    <cfRule type="cellIs" dxfId="156" priority="12" operator="greaterThan">
      <formula>0.15</formula>
    </cfRule>
  </conditionalFormatting>
  <conditionalFormatting sqref="V35">
    <cfRule type="cellIs" dxfId="155" priority="13" operator="greaterThan">
      <formula>0.15</formula>
    </cfRule>
  </conditionalFormatting>
  <conditionalFormatting sqref="V25:V35 V39:V49">
    <cfRule type="cellIs" dxfId="15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E4B-9FF8-42E7-9FD7-FA9368502228}">
  <sheetPr>
    <tabColor rgb="FFFFFF00"/>
  </sheetPr>
  <dimension ref="A1:BS59"/>
  <sheetViews>
    <sheetView tabSelected="1" zoomScale="90" zoomScaleNormal="90" workbookViewId="0">
      <selection activeCell="D3" sqref="D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58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58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1.7399999999999998</v>
      </c>
      <c r="S2" s="166">
        <f>SUM(S4:S15)</f>
        <v>3.6700000000000008</v>
      </c>
      <c r="T2" s="219">
        <f>SUM(T4:T16)</f>
        <v>0.96336663017697521</v>
      </c>
      <c r="U2" s="219">
        <f>SUM(U4:U16)</f>
        <v>2.4993965517241388</v>
      </c>
      <c r="V2" s="157"/>
      <c r="W2" s="157"/>
      <c r="X2" s="253">
        <f>SUM(X4:X16)</f>
        <v>0.73591334154351407</v>
      </c>
      <c r="Y2" s="254">
        <f>SUM(Y4:Y16)</f>
        <v>1.4006112068965519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57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151</v>
      </c>
      <c r="F4" s="283" t="s">
        <v>151</v>
      </c>
      <c r="G4" s="283" t="s">
        <v>151</v>
      </c>
      <c r="H4" s="283" t="s">
        <v>151</v>
      </c>
      <c r="I4" s="283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4" si="0">IF(P4+Q4=0,0,N4)</f>
        <v>0</v>
      </c>
      <c r="S4" s="221">
        <f t="shared" ref="S4:S16" si="1">R4*$N$2/$R$2</f>
        <v>0</v>
      </c>
      <c r="T4" s="226">
        <f>IF(S4=0,0,S4*(P4^2.7/(P4^2.7+Q4^2.7))*P4/L4)</f>
        <v>0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1.6566769973117212E-3</v>
      </c>
      <c r="BM4" s="31">
        <v>0</v>
      </c>
      <c r="BN4" s="31">
        <v>0</v>
      </c>
      <c r="BO4" s="107">
        <f>H25*H39</f>
        <v>1.992766372486233E-4</v>
      </c>
      <c r="BQ4" s="31">
        <v>1</v>
      </c>
      <c r="BR4" s="31">
        <v>0</v>
      </c>
      <c r="BS4" s="107">
        <f>$H$26*H39</f>
        <v>5.2094492430575256E-4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138</v>
      </c>
      <c r="F5" s="283" t="s">
        <v>138</v>
      </c>
      <c r="G5" s="283" t="s">
        <v>138</v>
      </c>
      <c r="H5" s="283" t="s">
        <v>138</v>
      </c>
      <c r="I5" s="283" t="s">
        <v>138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0"/>
        <v>0</v>
      </c>
      <c r="S5" s="221">
        <f t="shared" si="1"/>
        <v>0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5" si="7">V5*T5</f>
        <v>0</v>
      </c>
      <c r="Y5" s="252">
        <f t="shared" si="7"/>
        <v>0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6.1753205974399254E-3</v>
      </c>
      <c r="BM5" s="31">
        <v>1</v>
      </c>
      <c r="BN5" s="31">
        <v>1</v>
      </c>
      <c r="BO5" s="107">
        <f>$H$26*H40</f>
        <v>4.3308512471880254E-3</v>
      </c>
      <c r="BQ5" s="31">
        <f>BQ4+1</f>
        <v>2</v>
      </c>
      <c r="BR5" s="31">
        <v>0</v>
      </c>
      <c r="BS5" s="107">
        <f>$H$27*H39</f>
        <v>6.2173160705998067E-4</v>
      </c>
    </row>
    <row r="6" spans="1:71" ht="15.75" x14ac:dyDescent="0.25">
      <c r="A6" s="2" t="s">
        <v>31</v>
      </c>
      <c r="B6" s="271">
        <v>10</v>
      </c>
      <c r="C6" s="272">
        <v>10</v>
      </c>
      <c r="E6" s="211"/>
      <c r="F6" s="283" t="s">
        <v>138</v>
      </c>
      <c r="G6" s="283" t="s">
        <v>138</v>
      </c>
      <c r="H6" s="283" t="s">
        <v>138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0"/>
        <v>0</v>
      </c>
      <c r="S6" s="221">
        <f t="shared" si="1"/>
        <v>0</v>
      </c>
      <c r="T6" s="226">
        <f t="shared" si="5"/>
        <v>0</v>
      </c>
      <c r="U6" s="228">
        <f t="shared" si="6"/>
        <v>0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0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0</v>
      </c>
      <c r="AH6" s="247">
        <f t="shared" si="2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1.3718823575291415E-2</v>
      </c>
      <c r="BM6" s="31">
        <f>BI14+1</f>
        <v>2</v>
      </c>
      <c r="BN6" s="31">
        <v>2</v>
      </c>
      <c r="BO6" s="107">
        <f>$H$27*H41</f>
        <v>1.9266643858340444E-2</v>
      </c>
      <c r="BQ6" s="31">
        <f>BM5+1</f>
        <v>2</v>
      </c>
      <c r="BR6" s="31">
        <v>1</v>
      </c>
      <c r="BS6" s="107">
        <f>$H$27*H40</f>
        <v>5.1687366172927301E-3</v>
      </c>
    </row>
    <row r="7" spans="1:71" ht="15.75" x14ac:dyDescent="0.25">
      <c r="A7" s="5" t="s">
        <v>36</v>
      </c>
      <c r="B7" s="271">
        <v>10</v>
      </c>
      <c r="C7" s="272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0"/>
        <v>0</v>
      </c>
      <c r="S7" s="221">
        <f t="shared" si="1"/>
        <v>0</v>
      </c>
      <c r="T7" s="226">
        <f t="shared" si="5"/>
        <v>0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0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2.0335404035905388E-2</v>
      </c>
      <c r="BM7" s="31">
        <f>BI23+1</f>
        <v>3</v>
      </c>
      <c r="BN7" s="31">
        <v>3</v>
      </c>
      <c r="BO7" s="107">
        <f>$H$28*H42</f>
        <v>3.1010643646889293E-2</v>
      </c>
      <c r="BQ7" s="31">
        <f>BQ5+1</f>
        <v>3</v>
      </c>
      <c r="BR7" s="31">
        <v>0</v>
      </c>
      <c r="BS7" s="107">
        <f>$H$28*H39</f>
        <v>4.5045384182923378E-4</v>
      </c>
    </row>
    <row r="8" spans="1:71" ht="15.75" x14ac:dyDescent="0.25">
      <c r="A8" s="5" t="s">
        <v>39</v>
      </c>
      <c r="B8" s="271">
        <v>10</v>
      </c>
      <c r="C8" s="272">
        <v>12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0</v>
      </c>
      <c r="Q8" s="214">
        <f>COUNTIF(E10:I11,"RAP")</f>
        <v>8</v>
      </c>
      <c r="R8" s="221">
        <f t="shared" si="0"/>
        <v>0.5</v>
      </c>
      <c r="S8" s="221">
        <f t="shared" si="1"/>
        <v>1.0545977011494256</v>
      </c>
      <c r="T8" s="226">
        <f t="shared" si="5"/>
        <v>0</v>
      </c>
      <c r="U8" s="228">
        <f t="shared" si="6"/>
        <v>1.0545977011494256</v>
      </c>
      <c r="V8" s="218">
        <f>$G$17</f>
        <v>0.56999999999999995</v>
      </c>
      <c r="W8" s="216">
        <f>$H$17</f>
        <v>0.56999999999999995</v>
      </c>
      <c r="X8" s="251">
        <f t="shared" si="7"/>
        <v>0</v>
      </c>
      <c r="Y8" s="252">
        <f t="shared" si="7"/>
        <v>0.60112068965517251</v>
      </c>
      <c r="Z8" s="199"/>
      <c r="AA8" s="244">
        <f t="shared" si="8"/>
        <v>0</v>
      </c>
      <c r="AB8" s="245">
        <f t="shared" si="9"/>
        <v>1</v>
      </c>
      <c r="AC8" s="245">
        <f>PRODUCT(AB9:AB$16)*AA8*PRODUCT(AB$4:AB7)</f>
        <v>0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183"/>
      <c r="AF8" s="197"/>
      <c r="AG8" s="246">
        <f t="shared" si="10"/>
        <v>0.60112068965517251</v>
      </c>
      <c r="AH8" s="247">
        <f t="shared" si="2"/>
        <v>0.39887931034482749</v>
      </c>
      <c r="AI8" s="247">
        <f>AG8*PRODUCT(AH3:AH7)*PRODUCT(AH9:AH17)</f>
        <v>0.1945498824483943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0.33607674010290395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2.1300334411523313E-2</v>
      </c>
      <c r="BM8" s="31">
        <f>BI31+1</f>
        <v>4</v>
      </c>
      <c r="BN8" s="31">
        <v>4</v>
      </c>
      <c r="BO8" s="107">
        <f>$H$29*H43</f>
        <v>2.2603744107301923E-2</v>
      </c>
      <c r="BQ8" s="31">
        <f>BQ6+1</f>
        <v>3</v>
      </c>
      <c r="BR8" s="31">
        <v>1</v>
      </c>
      <c r="BS8" s="107">
        <f>$H$28*H40</f>
        <v>3.7448269321111276E-3</v>
      </c>
    </row>
    <row r="9" spans="1:71" ht="15.75" x14ac:dyDescent="0.25">
      <c r="A9" s="5" t="s">
        <v>42</v>
      </c>
      <c r="B9" s="271">
        <v>10</v>
      </c>
      <c r="C9" s="272">
        <v>12</v>
      </c>
      <c r="E9" s="284" t="s">
        <v>151</v>
      </c>
      <c r="F9" s="284" t="s">
        <v>151</v>
      </c>
      <c r="G9" s="284" t="s">
        <v>151</v>
      </c>
      <c r="H9" s="284" t="s">
        <v>151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0</v>
      </c>
      <c r="Q9" s="214">
        <f>COUNTIF(E10:I11,"RAP")</f>
        <v>8</v>
      </c>
      <c r="R9" s="221">
        <f t="shared" si="0"/>
        <v>0.5</v>
      </c>
      <c r="S9" s="221">
        <f t="shared" si="1"/>
        <v>1.0545977011494256</v>
      </c>
      <c r="T9" s="226">
        <f t="shared" si="5"/>
        <v>0</v>
      </c>
      <c r="U9" s="228">
        <f t="shared" si="6"/>
        <v>1.0545977011494256</v>
      </c>
      <c r="V9" s="218">
        <f>$G$17</f>
        <v>0.56999999999999995</v>
      </c>
      <c r="W9" s="216">
        <f>$H$17</f>
        <v>0.56999999999999995</v>
      </c>
      <c r="X9" s="251">
        <f t="shared" si="7"/>
        <v>0</v>
      </c>
      <c r="Y9" s="252">
        <f t="shared" si="7"/>
        <v>0.60112068965517251</v>
      </c>
      <c r="Z9" s="199"/>
      <c r="AA9" s="244">
        <f t="shared" si="8"/>
        <v>0</v>
      </c>
      <c r="AB9" s="245">
        <f t="shared" si="9"/>
        <v>1</v>
      </c>
      <c r="AC9" s="245">
        <f>PRODUCT(AB10:AB$16)*AA9*PRODUCT(AB$4:AB8)</f>
        <v>0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E9" s="183"/>
      <c r="AF9" s="197"/>
      <c r="AG9" s="246">
        <f t="shared" si="10"/>
        <v>0.60112068965517251</v>
      </c>
      <c r="AH9" s="247">
        <f t="shared" si="2"/>
        <v>0.39887931034482749</v>
      </c>
      <c r="AI9" s="247">
        <f>AG9*PRODUCT(AH3:AH8)*PRODUCT(AH10:AH17)</f>
        <v>0.1945498824483943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4.2885400074234387E-2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1.6259055841564268E-2</v>
      </c>
      <c r="BM9" s="31">
        <f>BI38+1</f>
        <v>5</v>
      </c>
      <c r="BN9" s="31">
        <v>5</v>
      </c>
      <c r="BO9" s="107">
        <f>$H$30*H44</f>
        <v>8.3518775979923698E-3</v>
      </c>
      <c r="BQ9" s="31">
        <f>BM6+1</f>
        <v>3</v>
      </c>
      <c r="BR9" s="31">
        <v>2</v>
      </c>
      <c r="BS9" s="107">
        <f>$H$28*H41</f>
        <v>1.395897143814951E-2</v>
      </c>
    </row>
    <row r="10" spans="1:71" ht="15.75" x14ac:dyDescent="0.25">
      <c r="A10" s="6" t="s">
        <v>45</v>
      </c>
      <c r="B10" s="271">
        <v>9</v>
      </c>
      <c r="C10" s="272">
        <v>14</v>
      </c>
      <c r="E10" s="284" t="s">
        <v>1</v>
      </c>
      <c r="F10" s="284" t="s">
        <v>1</v>
      </c>
      <c r="G10" s="284" t="s">
        <v>1</v>
      </c>
      <c r="H10" s="284" t="s">
        <v>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0.40074712643678168</v>
      </c>
      <c r="T10" s="226">
        <f>S10*G13</f>
        <v>0.20037356321839084</v>
      </c>
      <c r="U10" s="228">
        <f>S10*G14</f>
        <v>0.20037356321839084</v>
      </c>
      <c r="V10" s="218">
        <f>$G$18</f>
        <v>0.45</v>
      </c>
      <c r="W10" s="216">
        <f>$H$18</f>
        <v>0.45</v>
      </c>
      <c r="X10" s="251">
        <f t="shared" si="7"/>
        <v>9.0168103448275874E-2</v>
      </c>
      <c r="Y10" s="252">
        <f t="shared" si="7"/>
        <v>9.0168103448275874E-2</v>
      </c>
      <c r="Z10" s="199"/>
      <c r="AA10" s="244">
        <f t="shared" si="8"/>
        <v>9.0168103448275874E-2</v>
      </c>
      <c r="AB10" s="245">
        <f t="shared" si="9"/>
        <v>0.90983189655172414</v>
      </c>
      <c r="AC10" s="245">
        <f>PRODUCT(AB11:AB$16)*AA10*PRODUCT(AB$4:AB9)</f>
        <v>4.2779764712484909E-2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3.7229630505900425E-2</v>
      </c>
      <c r="AE10" s="183"/>
      <c r="AF10" s="197"/>
      <c r="AG10" s="246">
        <f t="shared" si="10"/>
        <v>9.0168103448275874E-2</v>
      </c>
      <c r="AH10" s="247">
        <f t="shared" si="2"/>
        <v>0.90983189655172414</v>
      </c>
      <c r="AI10" s="247">
        <f>AG10*PRODUCT(AH3:AH9)*PRODUCT(AH11:AH17)</f>
        <v>1.279388916229391E-2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1.5522802670274495E-3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9.1761730403213861E-3</v>
      </c>
      <c r="BM10" s="31">
        <f>BI44+1</f>
        <v>6</v>
      </c>
      <c r="BN10" s="31">
        <v>6</v>
      </c>
      <c r="BO10" s="107">
        <f>$H$31*H45</f>
        <v>1.6601793173262353E-3</v>
      </c>
      <c r="BQ10" s="31">
        <f>BQ7+1</f>
        <v>4</v>
      </c>
      <c r="BR10" s="31">
        <v>0</v>
      </c>
      <c r="BS10" s="107">
        <f>$H$29*H39</f>
        <v>2.2150521853307078E-4</v>
      </c>
    </row>
    <row r="11" spans="1:71" ht="15.75" x14ac:dyDescent="0.25">
      <c r="A11" s="6" t="s">
        <v>48</v>
      </c>
      <c r="B11" s="271">
        <v>9</v>
      </c>
      <c r="C11" s="272">
        <v>14</v>
      </c>
      <c r="E11" s="213"/>
      <c r="F11" s="284" t="s">
        <v>1</v>
      </c>
      <c r="G11" s="284" t="s">
        <v>1</v>
      </c>
      <c r="H11" s="284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8</v>
      </c>
      <c r="Q11" s="214">
        <f>COUNTIF(E9:I11,"CAB")</f>
        <v>0</v>
      </c>
      <c r="R11" s="221">
        <f t="shared" si="0"/>
        <v>0.19</v>
      </c>
      <c r="S11" s="221">
        <f t="shared" si="1"/>
        <v>0.40074712643678168</v>
      </c>
      <c r="T11" s="226">
        <f>IF(P11&gt;0,IF(Q11&gt;0,G13^2.7/(G14^2.7+G13^2.7),1),0)*P11/L11*S11</f>
        <v>0.35621966794380594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0.9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0.32059770114942537</v>
      </c>
      <c r="Y11" s="252">
        <f t="shared" si="7"/>
        <v>0</v>
      </c>
      <c r="Z11" s="199"/>
      <c r="AA11" s="244">
        <f t="shared" si="8"/>
        <v>0.32059770114942537</v>
      </c>
      <c r="AB11" s="245">
        <f t="shared" si="9"/>
        <v>0.67940229885057457</v>
      </c>
      <c r="AC11" s="245">
        <f>PRODUCT(AB12:AB$16)*AA11*PRODUCT(AB$4:AB10)</f>
        <v>0.20369483014766263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8.1148078882881378E-2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3.8360801090983132E-3</v>
      </c>
      <c r="BM11" s="31">
        <f>BI50+1</f>
        <v>7</v>
      </c>
      <c r="BN11" s="31">
        <v>7</v>
      </c>
      <c r="BO11" s="107">
        <f>$H$32*H46</f>
        <v>1.823804592860626E-4</v>
      </c>
      <c r="BQ11" s="31">
        <f>BQ8+1</f>
        <v>4</v>
      </c>
      <c r="BR11" s="31">
        <v>1</v>
      </c>
      <c r="BS11" s="107">
        <f>$H$29*H40</f>
        <v>1.8414732674880054E-3</v>
      </c>
    </row>
    <row r="12" spans="1:71" ht="15.75" x14ac:dyDescent="0.25">
      <c r="A12" s="6" t="s">
        <v>52</v>
      </c>
      <c r="B12" s="271">
        <v>9</v>
      </c>
      <c r="C12" s="272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1.1754409591755051E-3</v>
      </c>
      <c r="BM12" s="31">
        <f>BI54+1</f>
        <v>8</v>
      </c>
      <c r="BN12" s="31">
        <v>8</v>
      </c>
      <c r="BO12" s="107">
        <f>$H$33*H47</f>
        <v>1.1092886018369055E-5</v>
      </c>
      <c r="BQ12" s="31">
        <f>BQ9+1</f>
        <v>4</v>
      </c>
      <c r="BR12" s="31">
        <v>2</v>
      </c>
      <c r="BS12" s="107">
        <f>$H$29*H41</f>
        <v>6.8641550626986694E-3</v>
      </c>
    </row>
    <row r="13" spans="1:71" ht="15.75" x14ac:dyDescent="0.25">
      <c r="A13" s="7" t="s">
        <v>55</v>
      </c>
      <c r="B13" s="271">
        <v>9</v>
      </c>
      <c r="C13" s="272">
        <v>9</v>
      </c>
      <c r="E13" s="210"/>
      <c r="F13" s="210" t="s">
        <v>152</v>
      </c>
      <c r="G13" s="217">
        <f>B22</f>
        <v>0.5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8</v>
      </c>
      <c r="Q13" s="214">
        <f>COUNTIF(E10:I11,"CAB")</f>
        <v>0</v>
      </c>
      <c r="R13" s="221">
        <f t="shared" si="0"/>
        <v>0.18</v>
      </c>
      <c r="S13" s="221">
        <f t="shared" si="1"/>
        <v>0.37965517241379321</v>
      </c>
      <c r="T13" s="226">
        <f>IF((Q13+P13)=0,0,S13*P14/4*P13/L13)</f>
        <v>0.21694581280788183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0.21694581280788183</v>
      </c>
      <c r="Y13" s="252">
        <f t="shared" si="7"/>
        <v>0</v>
      </c>
      <c r="Z13" s="199"/>
      <c r="AA13" s="244">
        <f t="shared" si="8"/>
        <v>0.21694581280788183</v>
      </c>
      <c r="AB13" s="245">
        <f t="shared" si="9"/>
        <v>0.78305418719211817</v>
      </c>
      <c r="AC13" s="245">
        <f>PRODUCT(AB14:AB$16)*AA13*PRODUCT(AB$4:AB12)</f>
        <v>0.11959308552003856</v>
      </c>
      <c r="AD13" s="245">
        <f>AA13*AA14*PRODUCT(AB3:AB12)*PRODUCT(AB15:AB17)+AA13*AA15*PRODUCT(AB3:AB12)*AB14*PRODUCT(AB16:AB17)+AA13*AA16*PRODUCT(AB3:AB12)*AB14*AB15*AB17+AA13*AA17*PRODUCT(AB3:AB12)*AB14*AB15*AB16</f>
        <v>1.4510207519446488E-2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2.5720764265494718E-4</v>
      </c>
      <c r="BM13" s="31">
        <f>BI57+1</f>
        <v>9</v>
      </c>
      <c r="BN13" s="31">
        <v>9</v>
      </c>
      <c r="BO13" s="107">
        <f>$H$34*H48</f>
        <v>3.6510447233224219E-7</v>
      </c>
      <c r="BQ13" s="31">
        <f>BM7+1</f>
        <v>4</v>
      </c>
      <c r="BR13" s="31">
        <v>3</v>
      </c>
      <c r="BS13" s="107">
        <f>$H$29*H42</f>
        <v>1.5249108254824093E-2</v>
      </c>
    </row>
    <row r="14" spans="1:71" ht="15.75" x14ac:dyDescent="0.25">
      <c r="A14" s="7" t="s">
        <v>58</v>
      </c>
      <c r="B14" s="271">
        <v>4</v>
      </c>
      <c r="C14" s="272">
        <v>4</v>
      </c>
      <c r="E14" s="210"/>
      <c r="F14" s="210" t="s">
        <v>153</v>
      </c>
      <c r="G14" s="215">
        <f>C22</f>
        <v>0.5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0.37965517241379321</v>
      </c>
      <c r="T14" s="226">
        <f>S14*P14^2.7/(Q14^2.7+P14^2.7)</f>
        <v>0.1898275862068966</v>
      </c>
      <c r="U14" s="228">
        <f>S14*Q14^2.7/(Q14^2.7+P14^2.7)</f>
        <v>0.1898275862068966</v>
      </c>
      <c r="V14" s="218">
        <f>$G$17</f>
        <v>0.56999999999999995</v>
      </c>
      <c r="W14" s="216">
        <f>$H$17</f>
        <v>0.56999999999999995</v>
      </c>
      <c r="X14" s="251">
        <f t="shared" si="7"/>
        <v>0.10820172413793105</v>
      </c>
      <c r="Y14" s="252">
        <f t="shared" si="7"/>
        <v>0.10820172413793105</v>
      </c>
      <c r="Z14" s="199"/>
      <c r="AA14" s="244">
        <f t="shared" si="8"/>
        <v>0.10820172413793105</v>
      </c>
      <c r="AB14" s="245">
        <f t="shared" si="9"/>
        <v>0.89179827586206895</v>
      </c>
      <c r="AC14" s="245">
        <f>PRODUCT(AB15:AB$16)*AA14*PRODUCT(AB$4:AB13)</f>
        <v>5.2373809883996661E-2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0.10820172413793105</v>
      </c>
      <c r="AH14" s="247">
        <f t="shared" si="2"/>
        <v>0.89179827586206895</v>
      </c>
      <c r="AI14" s="247">
        <f>AG14*PRODUCT(AH3:AH13)*PRODUCT(AH15:AH17)</f>
        <v>1.5663123048158183E-2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1.6143397267304706E-2</v>
      </c>
      <c r="BM14" s="31">
        <f>BQ39+1</f>
        <v>10</v>
      </c>
      <c r="BN14" s="31">
        <v>10</v>
      </c>
      <c r="BO14" s="107">
        <f>$H$35*H49</f>
        <v>6.1599123512448485E-9</v>
      </c>
      <c r="BQ14" s="31">
        <f>BQ10+1</f>
        <v>5</v>
      </c>
      <c r="BR14" s="31">
        <v>0</v>
      </c>
      <c r="BS14" s="107">
        <f>$H$30*H39</f>
        <v>7.8136523600288505E-5</v>
      </c>
    </row>
    <row r="15" spans="1:71" ht="15.75" x14ac:dyDescent="0.25">
      <c r="A15" s="162" t="s">
        <v>62</v>
      </c>
      <c r="B15" s="273">
        <v>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3.5863469033139417E-2</v>
      </c>
      <c r="BQ15" s="31">
        <f>BQ11+1</f>
        <v>5</v>
      </c>
      <c r="BR15" s="31">
        <v>1</v>
      </c>
      <c r="BS15" s="107">
        <f>$H$30*H40</f>
        <v>6.4958433204089351E-4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ref="X16" si="14">V16*T16</f>
        <v>0</v>
      </c>
      <c r="Y16" s="252">
        <f t="shared" ref="Y16" si="15">W16*U16</f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6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5.3160398842914597E-2</v>
      </c>
      <c r="BQ16" s="31">
        <f>BQ12+1</f>
        <v>5</v>
      </c>
      <c r="BR16" s="31">
        <v>2</v>
      </c>
      <c r="BS16" s="107">
        <f>$H$30*H41</f>
        <v>2.421347982700094E-3</v>
      </c>
    </row>
    <row r="17" spans="1:71" x14ac:dyDescent="0.25">
      <c r="A17" s="161" t="s">
        <v>69</v>
      </c>
      <c r="B17" s="275" t="s">
        <v>70</v>
      </c>
      <c r="C17" s="276" t="s">
        <v>70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5.5682900167841359E-2</v>
      </c>
      <c r="BQ17" s="31">
        <f>BQ13+1</f>
        <v>5</v>
      </c>
      <c r="BR17" s="31">
        <v>3</v>
      </c>
      <c r="BS17" s="107">
        <f>$H$30*H42</f>
        <v>5.3791613350117262E-3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0.43166477916133789</v>
      </c>
      <c r="AC18" s="159">
        <f>SUM(AC4:AC16)</f>
        <v>0.41844149026418276</v>
      </c>
      <c r="AD18" s="159">
        <f>SUM(AD3:AD17)</f>
        <v>0.13288791690822829</v>
      </c>
      <c r="AE18" s="159">
        <f>IF((1-AB18-AC18-AD18)&lt;0,(1-AB18-AC18-AD18)-1,1-AB18-AC18-AD18)</f>
        <v>1.7005813666251007E-2</v>
      </c>
      <c r="AF18" s="197"/>
      <c r="AG18" s="157"/>
      <c r="AH18" s="160">
        <f>PRODUCT(AH3:AH17)</f>
        <v>0.12909541174368569</v>
      </c>
      <c r="AI18" s="159">
        <f>SUM(AI3:AI17)</f>
        <v>0.41755677710724071</v>
      </c>
      <c r="AJ18" s="159">
        <f>SUM(AJ3:AJ17)</f>
        <v>0.38051442044416584</v>
      </c>
      <c r="AK18" s="159">
        <f>IF((1-AH18-AI18-AJ18)&lt;0,(1-AH18-AI18-AJ18)-1,(1-AH18-AI18-AJ18))</f>
        <v>7.2833390704907797E-2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4.2504092459665466E-2</v>
      </c>
      <c r="BQ18" s="31">
        <f>BM8+1</f>
        <v>5</v>
      </c>
      <c r="BR18" s="31">
        <v>4</v>
      </c>
      <c r="BS18" s="107">
        <f>$H$30*H43</f>
        <v>7.9735276513649648E-3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2.3988164573164161E-2</v>
      </c>
      <c r="BQ19" s="31">
        <f>BQ15+1</f>
        <v>6</v>
      </c>
      <c r="BR19" s="31">
        <v>1</v>
      </c>
      <c r="BS19" s="107">
        <f>$H$31*H40</f>
        <v>1.691599385122992E-4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1.0028202450906369E-2</v>
      </c>
      <c r="BQ20" s="31">
        <f>BQ16+1</f>
        <v>6</v>
      </c>
      <c r="BR20" s="31">
        <v>2</v>
      </c>
      <c r="BS20" s="107">
        <f>$H$31*H41</f>
        <v>6.3054950014502858E-4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3.0728138027519584E-3</v>
      </c>
      <c r="BQ21" s="31">
        <f>BQ17+1</f>
        <v>6</v>
      </c>
      <c r="BR21" s="31">
        <v>3</v>
      </c>
      <c r="BS21" s="107">
        <f>$H$31*H42</f>
        <v>1.4008013367863023E-3</v>
      </c>
    </row>
    <row r="22" spans="1:71" x14ac:dyDescent="0.25">
      <c r="A22" s="26" t="s">
        <v>81</v>
      </c>
      <c r="B22" s="169">
        <f>(B6)/((B6)+(C6))</f>
        <v>0.5</v>
      </c>
      <c r="C22" s="170">
        <f>1-B22</f>
        <v>0.5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2"/>
        <v>6.7238697814120299E-4</v>
      </c>
      <c r="BQ22" s="31">
        <f>BQ18+1</f>
        <v>6</v>
      </c>
      <c r="BR22" s="31">
        <v>4</v>
      </c>
      <c r="BS22" s="107">
        <f>$H$31*H43</f>
        <v>2.0764069893639361E-3</v>
      </c>
    </row>
    <row r="23" spans="1:71" ht="15.75" thickBot="1" x14ac:dyDescent="0.3">
      <c r="A23" s="40" t="s">
        <v>82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29">
        <f>SUM(H25:H35)</f>
        <v>0.99999987792235334</v>
      </c>
      <c r="I23" s="81"/>
      <c r="J23" s="229">
        <f>SUM(J25:J35)</f>
        <v>0.99999999999999967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</v>
      </c>
      <c r="V23" s="171">
        <f>SUM(V25:V34)</f>
        <v>0.99897460937500004</v>
      </c>
      <c r="Y23" s="168">
        <f>SUM(Y25:Y35)</f>
        <v>9.716796875E-4</v>
      </c>
      <c r="Z23" s="81"/>
      <c r="AA23" s="168">
        <f>SUM(AA25:AA35)</f>
        <v>9.7216796875000001E-3</v>
      </c>
      <c r="AB23" s="81"/>
      <c r="AC23" s="168">
        <f>SUM(AC25:AC35)</f>
        <v>4.3774414062500003E-2</v>
      </c>
      <c r="AD23" s="81"/>
      <c r="AE23" s="168">
        <f>SUM(AE25:AE35)</f>
        <v>0.11682128906250001</v>
      </c>
      <c r="AF23" s="81"/>
      <c r="AG23" s="168">
        <f>SUM(AG25:AG35)</f>
        <v>0.20463867187499998</v>
      </c>
      <c r="AH23" s="81"/>
      <c r="AI23" s="168">
        <f>SUM(AI25:AI35)</f>
        <v>0.24588867187499996</v>
      </c>
      <c r="AJ23" s="81"/>
      <c r="AK23" s="168">
        <f>SUM(AK25:AK35)</f>
        <v>0.20528320312499998</v>
      </c>
      <c r="AL23" s="81"/>
      <c r="AM23" s="168">
        <f>SUM(AM25:AM35)</f>
        <v>0.11762695312499996</v>
      </c>
      <c r="AN23" s="81"/>
      <c r="AO23" s="168">
        <f>SUM(AO25:AO35)</f>
        <v>4.4311523437499993E-2</v>
      </c>
      <c r="AP23" s="81"/>
      <c r="AQ23" s="168">
        <f>SUM(AQ25:AQ35)</f>
        <v>9.9365234374999972E-3</v>
      </c>
      <c r="AR23" s="81"/>
      <c r="AS23" s="168">
        <f>SUM(AS25:AS35)</f>
        <v>1.0253906249999556E-3</v>
      </c>
      <c r="BI23" s="31">
        <f t="shared" ref="BI23:BI30" si="17">BI15+1</f>
        <v>2</v>
      </c>
      <c r="BJ23" s="31">
        <v>3</v>
      </c>
      <c r="BK23" s="107">
        <f t="shared" ref="BK23:BK30" si="18">$H$27*H42</f>
        <v>4.2801937779573834E-2</v>
      </c>
      <c r="BQ23" s="31">
        <f>BM9+1</f>
        <v>6</v>
      </c>
      <c r="BR23" s="31">
        <v>5</v>
      </c>
      <c r="BS23" s="107">
        <f>$H$31*H44</f>
        <v>2.17493407899761E-3</v>
      </c>
    </row>
    <row r="24" spans="1:71" ht="15.75" thickBot="1" x14ac:dyDescent="0.3">
      <c r="A24" s="26" t="s">
        <v>83</v>
      </c>
      <c r="B24" s="64">
        <f>B23/B21</f>
        <v>0.5</v>
      </c>
      <c r="C24" s="65">
        <f>C23/B21</f>
        <v>0.5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7"/>
        <v>2</v>
      </c>
      <c r="BJ24" s="31">
        <v>4</v>
      </c>
      <c r="BK24" s="107">
        <f t="shared" si="18"/>
        <v>6.3445286943915533E-2</v>
      </c>
      <c r="BQ24" s="31">
        <f>BI49+1</f>
        <v>7</v>
      </c>
      <c r="BR24" s="31">
        <v>0</v>
      </c>
      <c r="BS24" s="107">
        <f t="shared" ref="BS24:BS30" si="19">$H$32*H39</f>
        <v>3.9607104690250144E-6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9.4131602063800252E-2</v>
      </c>
      <c r="I25" s="97">
        <v>0</v>
      </c>
      <c r="J25" s="98">
        <f t="shared" ref="J25:J35" si="20">Y25+AA25+AC25+AE25+AG25+AI25+AK25+AM25+AO25+AQ25+AS25</f>
        <v>0.21806644092363597</v>
      </c>
      <c r="K25" s="97">
        <v>0</v>
      </c>
      <c r="L25" s="98">
        <f>AB18</f>
        <v>0.43166477916133789</v>
      </c>
      <c r="M25" s="85">
        <v>0</v>
      </c>
      <c r="N25" s="173">
        <f>(1-$B$24)^$B$21</f>
        <v>3.125E-2</v>
      </c>
      <c r="O25" s="72">
        <v>0</v>
      </c>
      <c r="P25" s="173">
        <f t="shared" ref="P25:P30" si="21">N25</f>
        <v>3.125E-2</v>
      </c>
      <c r="Q25" s="28">
        <v>0</v>
      </c>
      <c r="R25" s="174">
        <f>P25*N25</f>
        <v>9.765625E-4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0.28228854946744131</v>
      </c>
      <c r="X25" s="28">
        <v>0</v>
      </c>
      <c r="Y25" s="176">
        <f>V25</f>
        <v>9.716796875E-4</v>
      </c>
      <c r="Z25" s="28">
        <v>0</v>
      </c>
      <c r="AA25" s="176">
        <f>((1-W25)^Z26)*V26</f>
        <v>6.9773608301285373E-3</v>
      </c>
      <c r="AB25" s="28">
        <v>0</v>
      </c>
      <c r="AC25" s="176">
        <f>(((1-$W$25)^AB27))*V27</f>
        <v>2.2548626443418214E-2</v>
      </c>
      <c r="AD25" s="28">
        <v>0</v>
      </c>
      <c r="AE25" s="176">
        <f>(((1-$W$25)^AB28))*V28</f>
        <v>4.3188847948569239E-2</v>
      </c>
      <c r="AF25" s="28">
        <v>0</v>
      </c>
      <c r="AG25" s="176">
        <f>(((1-$W$25)^AB29))*V29</f>
        <v>5.4298422067802943E-2</v>
      </c>
      <c r="AH25" s="28">
        <v>0</v>
      </c>
      <c r="AI25" s="176">
        <f>(((1-$W$25)^AB30))*V30</f>
        <v>4.68260901391572E-2</v>
      </c>
      <c r="AJ25" s="28">
        <v>0</v>
      </c>
      <c r="AK25" s="176">
        <f>(((1-$W$25)^AB31))*V31</f>
        <v>2.8057738696930269E-2</v>
      </c>
      <c r="AL25" s="28">
        <v>0</v>
      </c>
      <c r="AM25" s="176">
        <f>(((1-$W$25)^AB32))*V32</f>
        <v>1.153867586134321E-2</v>
      </c>
      <c r="AN25" s="28">
        <v>0</v>
      </c>
      <c r="AO25" s="176">
        <f>(((1-$W$25)^AB33))*V33</f>
        <v>3.1197204687111713E-3</v>
      </c>
      <c r="AP25" s="28">
        <v>0</v>
      </c>
      <c r="AQ25" s="176">
        <f>(((1-$W$25)^AB34))*V34</f>
        <v>5.0209204124622984E-4</v>
      </c>
      <c r="AR25" s="28">
        <v>0</v>
      </c>
      <c r="AS25" s="176">
        <f>(((1-$W$25)^AB35))*V35</f>
        <v>3.7186738828978154E-5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7"/>
        <v>2</v>
      </c>
      <c r="BJ25" s="31">
        <v>5</v>
      </c>
      <c r="BK25" s="107">
        <f t="shared" si="18"/>
        <v>6.6455814025348753E-2</v>
      </c>
      <c r="BQ25" s="31">
        <f>BQ19+1</f>
        <v>7</v>
      </c>
      <c r="BR25" s="31">
        <v>1</v>
      </c>
      <c r="BS25" s="107">
        <f t="shared" si="19"/>
        <v>3.2927181116866173E-5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0.24607691593433095</v>
      </c>
      <c r="I26" s="138">
        <v>1</v>
      </c>
      <c r="J26" s="86">
        <f t="shared" si="20"/>
        <v>0.3586784859270854</v>
      </c>
      <c r="K26" s="138">
        <v>1</v>
      </c>
      <c r="L26" s="86">
        <f>AC18</f>
        <v>0.41844149026418276</v>
      </c>
      <c r="M26" s="85">
        <v>1</v>
      </c>
      <c r="N26" s="173">
        <f>(($B$24)^M26)*((1-($B$24))^($B$21-M26))*HLOOKUP($B$21,$AV$24:$BF$34,M26+1)</f>
        <v>0.15625</v>
      </c>
      <c r="O26" s="72">
        <v>1</v>
      </c>
      <c r="P26" s="173">
        <f t="shared" si="21"/>
        <v>0.15625</v>
      </c>
      <c r="Q26" s="28">
        <v>1</v>
      </c>
      <c r="R26" s="174">
        <f>N26*P25+P26*N25</f>
        <v>9.765625E-3</v>
      </c>
      <c r="S26" s="72">
        <v>1</v>
      </c>
      <c r="T26" s="175">
        <f t="shared" ref="T26:T35" si="22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9.7216796875000001E-3</v>
      </c>
      <c r="W26" s="177"/>
      <c r="X26" s="28">
        <v>1</v>
      </c>
      <c r="Y26" s="174"/>
      <c r="Z26" s="28">
        <v>1</v>
      </c>
      <c r="AA26" s="176">
        <f>(1-((1-W25)^Z26))*V26</f>
        <v>2.7443188573714633E-3</v>
      </c>
      <c r="AB26" s="28">
        <v>1</v>
      </c>
      <c r="AC26" s="176">
        <f>((($W$25)^M26)*((1-($W$25))^($U$27-M26))*HLOOKUP($U$27,$AV$24:$BF$34,M26+1))*V27</f>
        <v>1.7737543539182988E-2</v>
      </c>
      <c r="AD26" s="28">
        <v>1</v>
      </c>
      <c r="AE26" s="176">
        <f>((($W$25)^M26)*((1-($W$25))^($U$28-M26))*HLOOKUP($U$28,$AV$24:$BF$34,M26+1))*V28</f>
        <v>5.0960802833192716E-2</v>
      </c>
      <c r="AF26" s="28">
        <v>1</v>
      </c>
      <c r="AG26" s="176">
        <f>((($W$25)^M26)*((1-($W$25))^($U$29-M26))*HLOOKUP($U$29,$AV$24:$BF$34,M26+1))*V29</f>
        <v>8.5426101492556084E-2</v>
      </c>
      <c r="AH26" s="28">
        <v>1</v>
      </c>
      <c r="AI26" s="176">
        <f>((($W$25)^M26)*((1-($W$25))^($U$30-M26))*HLOOKUP($U$30,$AV$24:$BF$34,M26+1))*V30</f>
        <v>9.2087628341486871E-2</v>
      </c>
      <c r="AJ26" s="28">
        <v>1</v>
      </c>
      <c r="AK26" s="176">
        <f>((($W$25)^M26)*((1-($W$25))^($U$31-M26))*HLOOKUP($U$31,$AV$24:$BF$34,M26+1))*V31</f>
        <v>6.6213615671444306E-2</v>
      </c>
      <c r="AL26" s="28">
        <v>1</v>
      </c>
      <c r="AM26" s="176">
        <f>((($W$25)^Q26)*((1-($W$25))^($U$32-Q26))*HLOOKUP($U$32,$AV$24:$BF$34,Q26+1))*V32</f>
        <v>3.1768550557185977E-2</v>
      </c>
      <c r="AN26" s="28">
        <v>1</v>
      </c>
      <c r="AO26" s="176">
        <f>((($W$25)^Q26)*((1-($W$25))^($U$33-Q26))*HLOOKUP($U$33,$AV$24:$BF$34,Q26+1))*V33</f>
        <v>9.8163278872353665E-3</v>
      </c>
      <c r="AP26" s="28">
        <v>1</v>
      </c>
      <c r="AQ26" s="176">
        <f>((($W$25)^Q26)*((1-($W$25))^($U$34-Q26))*HLOOKUP($U$34,$AV$24:$BF$34,Q26+1))*V34</f>
        <v>1.7773347565464774E-3</v>
      </c>
      <c r="AR26" s="28">
        <v>1</v>
      </c>
      <c r="AS26" s="176">
        <f>((($W$25)^Q26)*((1-($W$25))^($U$35-Q26))*HLOOKUP($U$35,$AV$24:$BF$34,Q26+1))*V35</f>
        <v>1.4626199088320959E-4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7"/>
        <v>2</v>
      </c>
      <c r="BJ26" s="31">
        <v>6</v>
      </c>
      <c r="BK26" s="107">
        <f t="shared" si="18"/>
        <v>5.0727315842055913E-2</v>
      </c>
      <c r="BQ26" s="31">
        <f>BQ20+1</f>
        <v>7</v>
      </c>
      <c r="BR26" s="31">
        <v>2</v>
      </c>
      <c r="BS26" s="107">
        <f t="shared" si="19"/>
        <v>1.2273720230109459E-4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0.29368516567870495</v>
      </c>
      <c r="I27" s="138">
        <v>2</v>
      </c>
      <c r="J27" s="86">
        <f t="shared" si="20"/>
        <v>0.26553199601420585</v>
      </c>
      <c r="K27" s="138">
        <v>2</v>
      </c>
      <c r="L27" s="86">
        <f>AD18</f>
        <v>0.13288791690822829</v>
      </c>
      <c r="M27" s="85">
        <v>2</v>
      </c>
      <c r="N27" s="173">
        <f>(($B$24)^M27)*((1-($B$24))^($B$21-M27))*HLOOKUP($B$21,$AV$24:$BF$34,M27+1)</f>
        <v>0.3125</v>
      </c>
      <c r="O27" s="72">
        <v>2</v>
      </c>
      <c r="P27" s="173">
        <f t="shared" si="21"/>
        <v>0.3125</v>
      </c>
      <c r="Q27" s="28">
        <v>2</v>
      </c>
      <c r="R27" s="174">
        <f>P25*N27+P26*N26+P27*N25</f>
        <v>4.39453125E-2</v>
      </c>
      <c r="S27" s="72">
        <v>2</v>
      </c>
      <c r="T27" s="175">
        <f t="shared" si="22"/>
        <v>0</v>
      </c>
      <c r="U27" s="138">
        <v>2</v>
      </c>
      <c r="V27" s="86">
        <f>R27*T25+T26*R26+R25*T27</f>
        <v>4.3774414062499996E-2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3.4882440798987956E-3</v>
      </c>
      <c r="AD27" s="28">
        <v>2</v>
      </c>
      <c r="AE27" s="176">
        <f>((($W$25)^M27)*((1-($W$25))^($U$28-M27))*HLOOKUP($U$28,$AV$24:$BF$34,M27+1))*V28</f>
        <v>2.0043780966297466E-2</v>
      </c>
      <c r="AF27" s="28">
        <v>2</v>
      </c>
      <c r="AG27" s="176">
        <f>((($W$25)^M27)*((1-($W$25))^($U$29-M27))*HLOOKUP($U$29,$AV$24:$BF$34,M27+1))*V29</f>
        <v>5.0399384583661708E-2</v>
      </c>
      <c r="AH27" s="28">
        <v>2</v>
      </c>
      <c r="AI27" s="176">
        <f>((($W$25)^M27)*((1-($W$25))^($U$30-M27))*HLOOKUP($U$30,$AV$24:$BF$34,M27+1))*V30</f>
        <v>7.2439371028917163E-2</v>
      </c>
      <c r="AJ27" s="28">
        <v>2</v>
      </c>
      <c r="AK27" s="176">
        <f>((($W$25)^M27)*((1-($W$25))^($U$31-M27))*HLOOKUP($U$31,$AV$24:$BF$34,M27+1))*V31</f>
        <v>6.5107451988599449E-2</v>
      </c>
      <c r="AL27" s="28">
        <v>2</v>
      </c>
      <c r="AM27" s="176">
        <f>((($W$25)^Q27)*((1-($W$25))^($U$32-Q27))*HLOOKUP($U$32,$AV$24:$BF$34,Q27+1))*V32</f>
        <v>3.7485390746448508E-2</v>
      </c>
      <c r="AN27" s="28">
        <v>2</v>
      </c>
      <c r="AO27" s="176">
        <f>((($W$25)^Q27)*((1-($W$25))^($U$33-Q27))*HLOOKUP($U$33,$AV$24:$BF$34,Q27+1))*V33</f>
        <v>1.3513271042490706E-2</v>
      </c>
      <c r="AP27" s="28">
        <v>2</v>
      </c>
      <c r="AQ27" s="176">
        <f>((($W$25)^Q27)*((1-($W$25))^($U$34-Q27))*HLOOKUP($U$34,$AV$24:$BF$34,Q27+1))*V34</f>
        <v>2.7962282054788687E-3</v>
      </c>
      <c r="AR27" s="28">
        <v>2</v>
      </c>
      <c r="AS27" s="176">
        <f>((($W$25)^Q27)*((1-($W$25))^($U$35-Q27))*HLOOKUP($U$35,$AV$24:$BF$34,Q27+1))*V35</f>
        <v>2.5887337241313463E-4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7"/>
        <v>2</v>
      </c>
      <c r="BJ27" s="31">
        <v>7</v>
      </c>
      <c r="BK27" s="107">
        <f t="shared" si="18"/>
        <v>2.8629130287368382E-2</v>
      </c>
      <c r="BQ27" s="31">
        <f>BQ21+1</f>
        <v>7</v>
      </c>
      <c r="BR27" s="31">
        <v>3</v>
      </c>
      <c r="BS27" s="107">
        <f t="shared" si="19"/>
        <v>2.7266762881778439E-4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0.21277929200640597</v>
      </c>
      <c r="I28" s="138">
        <v>3</v>
      </c>
      <c r="J28" s="86">
        <f t="shared" si="20"/>
        <v>0.11651924413027481</v>
      </c>
      <c r="K28" s="138">
        <v>3</v>
      </c>
      <c r="L28" s="86">
        <f>AE18</f>
        <v>1.7005813666251007E-2</v>
      </c>
      <c r="M28" s="85">
        <v>3</v>
      </c>
      <c r="N28" s="173">
        <f>(($B$24)^M28)*((1-($B$24))^($B$21-M28))*HLOOKUP($B$21,$AV$24:$BF$34,M28+1)</f>
        <v>0.3125</v>
      </c>
      <c r="O28" s="72">
        <v>3</v>
      </c>
      <c r="P28" s="173">
        <f t="shared" si="21"/>
        <v>0.3125</v>
      </c>
      <c r="Q28" s="28">
        <v>3</v>
      </c>
      <c r="R28" s="174">
        <f>P25*N28+P26*N27+P27*N26+P28*N25</f>
        <v>0.1171875</v>
      </c>
      <c r="S28" s="72">
        <v>3</v>
      </c>
      <c r="T28" s="175">
        <f t="shared" si="22"/>
        <v>0</v>
      </c>
      <c r="U28" s="138">
        <v>3</v>
      </c>
      <c r="V28" s="86">
        <f>R28*T25+R27*T26+R26*T27+R25*T28</f>
        <v>0.1168212890625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2.6278573144405764E-3</v>
      </c>
      <c r="AF28" s="28">
        <v>3</v>
      </c>
      <c r="AG28" s="176">
        <f>((($W$25)^M28)*((1-($W$25))^($U$29-M28))*HLOOKUP($U$29,$AV$24:$BF$34,M28+1))*V29</f>
        <v>1.3215310189646728E-2</v>
      </c>
      <c r="AH28" s="28">
        <v>3</v>
      </c>
      <c r="AI28" s="176">
        <f>((($W$25)^M28)*((1-($W$25))^($U$30-M28))*HLOOKUP($U$30,$AV$24:$BF$34,M28+1))*V30</f>
        <v>2.8491679987707214E-2</v>
      </c>
      <c r="AJ28" s="28">
        <v>3</v>
      </c>
      <c r="AK28" s="176">
        <f>((($W$25)^M28)*((1-($W$25))^($U$31-M28))*HLOOKUP($U$31,$AV$24:$BF$34,M28+1))*V31</f>
        <v>3.4143876191924771E-2</v>
      </c>
      <c r="AL28" s="28">
        <v>3</v>
      </c>
      <c r="AM28" s="176">
        <f>((($W$25)^Q28)*((1-($W$25))^($U$32-Q28))*HLOOKUP($U$32,$AV$24:$BF$34,Q28+1))*V32</f>
        <v>2.4572773575841499E-2</v>
      </c>
      <c r="AN28" s="28">
        <v>3</v>
      </c>
      <c r="AO28" s="176">
        <f>((($W$25)^Q28)*((1-($W$25))^($U$33-Q28))*HLOOKUP($U$33,$AV$24:$BF$34,Q28+1))*V33</f>
        <v>1.0630014829259102E-2</v>
      </c>
      <c r="AP28" s="28">
        <v>3</v>
      </c>
      <c r="AQ28" s="176">
        <f>((($W$25)^Q28)*((1-($W$25))^($U$34-Q28))*HLOOKUP($U$34,$AV$24:$BF$34,Q28+1))*V34</f>
        <v>2.5662134945885081E-3</v>
      </c>
      <c r="AR28" s="28">
        <v>3</v>
      </c>
      <c r="AS28" s="176">
        <f>((($W$25)^Q28)*((1-($W$25))^($U$35-Q28))*HLOOKUP($U$35,$AV$24:$BF$34,Q28+1))*V35</f>
        <v>2.7151854686642725E-4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3">BE27+BE28</f>
        <v>210</v>
      </c>
      <c r="BI28" s="31">
        <f t="shared" si="17"/>
        <v>2</v>
      </c>
      <c r="BJ28" s="31">
        <v>8</v>
      </c>
      <c r="BK28" s="107">
        <f t="shared" si="18"/>
        <v>1.1968348542859591E-2</v>
      </c>
      <c r="BQ28" s="31">
        <f>BQ22+1</f>
        <v>7</v>
      </c>
      <c r="BR28" s="31">
        <v>4</v>
      </c>
      <c r="BS28" s="107">
        <f t="shared" si="19"/>
        <v>4.0417506421676846E-4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0.10463163857987159</v>
      </c>
      <c r="I29" s="138">
        <v>4</v>
      </c>
      <c r="J29" s="86">
        <f t="shared" si="20"/>
        <v>3.3566646621282149E-2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0.15625</v>
      </c>
      <c r="O29" s="72">
        <v>4</v>
      </c>
      <c r="P29" s="173">
        <f t="shared" si="21"/>
        <v>0.15625</v>
      </c>
      <c r="Q29" s="28">
        <v>4</v>
      </c>
      <c r="R29" s="174">
        <f>P25*N29+P26*N28+P27*N27+P28*N26+P29*N25</f>
        <v>0.205078125</v>
      </c>
      <c r="S29" s="72">
        <v>4</v>
      </c>
      <c r="T29" s="175">
        <f t="shared" si="22"/>
        <v>0</v>
      </c>
      <c r="U29" s="138">
        <v>4</v>
      </c>
      <c r="V29" s="86">
        <f>T29*R25+T28*R26+T27*R27+T26*R28+T25*R29</f>
        <v>0.20463867187499998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1.2994535413324991E-3</v>
      </c>
      <c r="AH29" s="28">
        <v>4</v>
      </c>
      <c r="AI29" s="176">
        <f>((($W$25)^M29)*((1-($W$25))^($U$30-M29))*HLOOKUP($U$30,$AV$24:$BF$34,M29+1))*V30</f>
        <v>5.6031396807535916E-3</v>
      </c>
      <c r="AJ29" s="28">
        <v>4</v>
      </c>
      <c r="AK29" s="176">
        <f>((($W$25)^M29)*((1-($W$25))^($U$31-M29))*HLOOKUP($U$31,$AV$24:$BF$34,M29+1))*V31</f>
        <v>1.0072040730570494E-2</v>
      </c>
      <c r="AL29" s="28">
        <v>4</v>
      </c>
      <c r="AM29" s="176">
        <f>((($W$25)^Q29)*((1-($W$25))^($U$32-Q29))*HLOOKUP($U$32,$AV$24:$BF$34,Q29+1))*V32</f>
        <v>9.6649044737533978E-3</v>
      </c>
      <c r="AN29" s="28">
        <v>4</v>
      </c>
      <c r="AO29" s="176">
        <f>((($W$25)^Q29)*((1-($W$25))^($U$33-Q29))*HLOOKUP($U$33,$AV$24:$BF$34,Q29+1))*V33</f>
        <v>5.2262149794710857E-3</v>
      </c>
      <c r="AP29" s="28">
        <v>4</v>
      </c>
      <c r="AQ29" s="176">
        <f>((($W$25)^Q29)*((1-($W$25))^($U$34-Q29))*HLOOKUP($U$34,$AV$24:$BF$34,Q29+1))*V34</f>
        <v>1.5140054219706935E-3</v>
      </c>
      <c r="AR29" s="28">
        <v>4</v>
      </c>
      <c r="AS29" s="176">
        <f>((($W$25)^Q29)*((1-($W$25))^($U$35-Q29))*HLOOKUP($U$35,$AV$24:$BF$34,Q29+1))*V35</f>
        <v>1.8688779343039037E-4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3"/>
        <v>252</v>
      </c>
      <c r="BI29" s="31">
        <f t="shared" si="17"/>
        <v>2</v>
      </c>
      <c r="BJ29" s="31">
        <v>9</v>
      </c>
      <c r="BK29" s="107">
        <f t="shared" si="18"/>
        <v>3.6673079526153068E-3</v>
      </c>
      <c r="BQ29" s="31">
        <f>BQ23+1</f>
        <v>7</v>
      </c>
      <c r="BR29" s="31">
        <v>5</v>
      </c>
      <c r="BS29" s="107">
        <f t="shared" si="19"/>
        <v>4.2335347817114462E-4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3.6909073977471021E-2</v>
      </c>
      <c r="I30" s="138">
        <v>5</v>
      </c>
      <c r="J30" s="86">
        <f t="shared" si="20"/>
        <v>6.6343357195268009E-3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3.125E-2</v>
      </c>
      <c r="O30" s="72">
        <v>5</v>
      </c>
      <c r="P30" s="173">
        <f t="shared" si="21"/>
        <v>3.125E-2</v>
      </c>
      <c r="Q30" s="28">
        <v>5</v>
      </c>
      <c r="R30" s="174">
        <f>P25*N30+P26*N29+P27*N28+P28*N27+P29*N26+P30*N25</f>
        <v>0.24609375</v>
      </c>
      <c r="S30" s="72">
        <v>5</v>
      </c>
      <c r="T30" s="175">
        <f t="shared" si="22"/>
        <v>0</v>
      </c>
      <c r="U30" s="138">
        <v>5</v>
      </c>
      <c r="V30" s="86">
        <f>T30*R25+T29*R26+T28*R27+T27*R28+T26*R29+T25*R30</f>
        <v>0.24588867187500002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4.4076269697793829E-4</v>
      </c>
      <c r="AJ30" s="28">
        <v>5</v>
      </c>
      <c r="AK30" s="176">
        <f>((($W$25)^M30)*((1-($W$25))^($U$31-M30))*HLOOKUP($U$31,$AV$24:$BF$34,M30+1))*V31</f>
        <v>1.5846043787653078E-3</v>
      </c>
      <c r="AL30" s="28">
        <v>5</v>
      </c>
      <c r="AM30" s="176">
        <f>((($W$25)^Q30)*((1-($W$25))^($U$32-Q30))*HLOOKUP($U$32,$AV$24:$BF$34,Q30+1))*V32</f>
        <v>2.2808262534583569E-3</v>
      </c>
      <c r="AN30" s="28">
        <v>5</v>
      </c>
      <c r="AO30" s="176">
        <f>((($W$25)^Q30)*((1-($W$25))^($U$33-Q30))*HLOOKUP($U$33,$AV$24:$BF$34,Q30+1))*V33</f>
        <v>1.6444498910142215E-3</v>
      </c>
      <c r="AP30" s="28">
        <v>5</v>
      </c>
      <c r="AQ30" s="176">
        <f>((($W$25)^Q30)*((1-($W$25))^($U$34-Q30))*HLOOKUP($U$34,$AV$24:$BF$34,Q30+1))*V34</f>
        <v>5.9548498792490743E-4</v>
      </c>
      <c r="AR30" s="28">
        <v>5</v>
      </c>
      <c r="AS30" s="176">
        <f>((($W$25)^Q30)*((1-($W$25))^($U$35-Q30))*HLOOKUP($U$35,$AV$24:$BF$34,Q30+1))*V35</f>
        <v>8.8207511386069115E-5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3"/>
        <v>210</v>
      </c>
      <c r="BI30" s="31">
        <f t="shared" si="17"/>
        <v>2</v>
      </c>
      <c r="BJ30" s="31">
        <v>10</v>
      </c>
      <c r="BK30" s="107">
        <f t="shared" si="18"/>
        <v>8.0247300046746596E-4</v>
      </c>
      <c r="BQ30" s="31">
        <f>BM10+1</f>
        <v>7</v>
      </c>
      <c r="BR30" s="31">
        <v>6</v>
      </c>
      <c r="BS30" s="107">
        <f t="shared" si="19"/>
        <v>3.2315585799353803E-4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9.6115875593222426E-3</v>
      </c>
      <c r="I31" s="138">
        <v>6</v>
      </c>
      <c r="J31" s="86">
        <f t="shared" si="20"/>
        <v>9.1135518025398804E-4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0.205078125</v>
      </c>
      <c r="S31" s="72">
        <v>6</v>
      </c>
      <c r="T31" s="175">
        <f t="shared" si="22"/>
        <v>0</v>
      </c>
      <c r="U31" s="138">
        <v>6</v>
      </c>
      <c r="V31" s="86">
        <f>T31*R25+T30*R26+T29*R27+T28*R28+T27*R29+T26*R30+T25*R31</f>
        <v>0.20528320312499998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1.0387546676534513E-4</v>
      </c>
      <c r="AL31" s="28">
        <v>6</v>
      </c>
      <c r="AM31" s="176">
        <f>((($W$25)^Q31)*((1-($W$25))^($U$32-Q31))*HLOOKUP($U$32,$AV$24:$BF$34,Q31+1))*V32</f>
        <v>2.99029707179334E-4</v>
      </c>
      <c r="AN31" s="28">
        <v>6</v>
      </c>
      <c r="AO31" s="176">
        <f>((($W$25)^Q31)*((1-($W$25))^($U$33-Q31))*HLOOKUP($U$33,$AV$24:$BF$34,Q31+1))*V33</f>
        <v>3.2339554709754341E-4</v>
      </c>
      <c r="AP31" s="28">
        <v>6</v>
      </c>
      <c r="AQ31" s="176">
        <f>((($W$25)^Q31)*((1-($W$25))^($U$34-Q31))*HLOOKUP($U$34,$AV$24:$BF$34,Q31+1))*V34</f>
        <v>1.5614315320939062E-4</v>
      </c>
      <c r="AR31" s="28">
        <v>6</v>
      </c>
      <c r="AS31" s="176">
        <f>((($W$25)^Q31)*((1-($W$25))^($U$35-Q31))*HLOOKUP($U$35,$AV$24:$BF$34,Q31+1))*V35</f>
        <v>2.8911306002374981E-5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3"/>
        <v>120</v>
      </c>
      <c r="BI31" s="31">
        <f t="shared" ref="BI31:BI37" si="24">BI24+1</f>
        <v>3</v>
      </c>
      <c r="BJ31" s="31">
        <v>4</v>
      </c>
      <c r="BK31" s="107">
        <f t="shared" ref="BK31:BK37" si="25">$H$28*H43</f>
        <v>4.5967058655725937E-2</v>
      </c>
      <c r="BQ31" s="31">
        <f t="shared" ref="BQ31:BQ37" si="26">BQ24+1</f>
        <v>8</v>
      </c>
      <c r="BR31" s="31">
        <v>0</v>
      </c>
      <c r="BS31" s="107">
        <f t="shared" ref="BS31:BS38" si="27">$H$33*H39</f>
        <v>5.7625309176414863E-7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1.8709068303628552E-3</v>
      </c>
      <c r="I32" s="138">
        <v>7</v>
      </c>
      <c r="J32" s="86">
        <f t="shared" si="20"/>
        <v>8.596211849690371E-5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0.1171875</v>
      </c>
      <c r="S32" s="72">
        <v>7</v>
      </c>
      <c r="T32" s="175">
        <f t="shared" si="22"/>
        <v>0</v>
      </c>
      <c r="U32" s="138">
        <v>7</v>
      </c>
      <c r="V32" s="86">
        <f>T32*R25+T31*R26+T30*R27+T29*R28+T28*R29+T27*R30+T26*R31+T25*R32</f>
        <v>0.117626953125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1.6801949789688508E-5</v>
      </c>
      <c r="AN32" s="28">
        <v>7</v>
      </c>
      <c r="AO32" s="176">
        <f>((($W$25)^Q32)*((1-($W$25))^($U$33-Q32))*HLOOKUP($U$33,$AV$24:$BF$34,Q32+1))*V33</f>
        <v>3.6342046385933742E-5</v>
      </c>
      <c r="AP32" s="28">
        <v>7</v>
      </c>
      <c r="AQ32" s="176">
        <f>((($W$25)^Q32)*((1-($W$25))^($U$34-Q32))*HLOOKUP($U$34,$AV$24:$BF$34,Q32+1))*V34</f>
        <v>2.632022194357885E-5</v>
      </c>
      <c r="AR32" s="28">
        <v>7</v>
      </c>
      <c r="AS32" s="176">
        <f>((($W$25)^Q32)*((1-($W$25))^($U$35-Q32))*HLOOKUP($U$35,$AV$24:$BF$34,Q32+1))*V35</f>
        <v>6.497900377702619E-6</v>
      </c>
      <c r="AV32" s="14">
        <v>8</v>
      </c>
      <c r="BD32" s="31">
        <v>1</v>
      </c>
      <c r="BE32" s="31">
        <v>9</v>
      </c>
      <c r="BF32" s="31">
        <f t="shared" si="23"/>
        <v>45</v>
      </c>
      <c r="BI32" s="31">
        <f t="shared" si="24"/>
        <v>3</v>
      </c>
      <c r="BJ32" s="31">
        <v>5</v>
      </c>
      <c r="BK32" s="107">
        <f t="shared" si="25"/>
        <v>4.8148230522112513E-2</v>
      </c>
      <c r="BQ32" s="31">
        <f t="shared" si="26"/>
        <v>8</v>
      </c>
      <c r="BR32" s="31">
        <v>1</v>
      </c>
      <c r="BS32" s="107">
        <f t="shared" si="27"/>
        <v>4.7906531088456568E-6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2.7220263986240138E-4</v>
      </c>
      <c r="I33" s="138">
        <v>8</v>
      </c>
      <c r="J33" s="86">
        <f t="shared" si="20"/>
        <v>5.3331994879499605E-6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4.39453125E-2</v>
      </c>
      <c r="S33" s="72">
        <v>8</v>
      </c>
      <c r="T33" s="175">
        <f t="shared" si="22"/>
        <v>0</v>
      </c>
      <c r="U33" s="138">
        <v>8</v>
      </c>
      <c r="V33" s="86">
        <f>T33*R25+T32*R26+T31*R27+T30*R28+T29*R29+T28*R30+T27*R31+T26*R32+T25*R33</f>
        <v>4.43115234375E-2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1.7867458348601181E-6</v>
      </c>
      <c r="AP33" s="28">
        <v>8</v>
      </c>
      <c r="AQ33" s="176">
        <f>((($W$25)^Q33)*((1-($W$25))^($U$34-Q33))*HLOOKUP($U$34,$AV$24:$BF$34,Q33+1))*V34</f>
        <v>2.5880516705567523E-6</v>
      </c>
      <c r="AR33" s="28">
        <v>8</v>
      </c>
      <c r="AS33" s="176">
        <f>((($W$25)^Q33)*((1-($W$25))^($U$35-Q33))*HLOOKUP($U$35,$AV$24:$BF$34,Q33+1))*V35</f>
        <v>9.5840198253309035E-7</v>
      </c>
      <c r="AV33" s="29">
        <v>9</v>
      </c>
      <c r="BE33" s="31">
        <v>1</v>
      </c>
      <c r="BF33" s="31">
        <f t="shared" si="23"/>
        <v>10</v>
      </c>
      <c r="BI33" s="31">
        <f t="shared" si="24"/>
        <v>3</v>
      </c>
      <c r="BJ33" s="31">
        <v>6</v>
      </c>
      <c r="BK33" s="107">
        <f t="shared" si="25"/>
        <v>3.6752698507307169E-2</v>
      </c>
      <c r="BQ33" s="31">
        <f t="shared" si="26"/>
        <v>8</v>
      </c>
      <c r="BR33" s="31">
        <v>2</v>
      </c>
      <c r="BS33" s="107">
        <f t="shared" si="27"/>
        <v>1.7857324551647464E-5</v>
      </c>
    </row>
    <row r="34" spans="1:71" x14ac:dyDescent="0.25">
      <c r="A34" s="40" t="s">
        <v>117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2.923827745920918E-5</v>
      </c>
      <c r="I34" s="138">
        <v>9</v>
      </c>
      <c r="J34" s="86">
        <f t="shared" si="20"/>
        <v>1.9687100373719795E-7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9.765625E-3</v>
      </c>
      <c r="S34" s="72">
        <v>9</v>
      </c>
      <c r="T34" s="175">
        <f t="shared" si="22"/>
        <v>0</v>
      </c>
      <c r="U34" s="138">
        <v>9</v>
      </c>
      <c r="V34" s="86">
        <f>T34*R25+T33*R26+T32*R27+T31*R28+T30*R29+T29*R30+T28*R31+T27*R32+T26*R33+T25*R34</f>
        <v>9.936523437499999E-3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1.1310292078555903E-7</v>
      </c>
      <c r="AR34" s="28">
        <v>9</v>
      </c>
      <c r="AS34" s="176">
        <f>((($W$25)^Q34)*((1-($W$25))^($U$35-Q34))*HLOOKUP($U$35,$AV$24:$BF$34,Q34+1))*V35</f>
        <v>8.3768082951638928E-8</v>
      </c>
      <c r="AV34" s="14">
        <v>10</v>
      </c>
      <c r="BF34" s="31">
        <f t="shared" si="23"/>
        <v>1</v>
      </c>
      <c r="BI34" s="31">
        <f t="shared" si="24"/>
        <v>3</v>
      </c>
      <c r="BJ34" s="31">
        <v>7</v>
      </c>
      <c r="BK34" s="107">
        <f t="shared" si="25"/>
        <v>2.0742232789414276E-2</v>
      </c>
      <c r="BQ34" s="31">
        <f t="shared" si="26"/>
        <v>8</v>
      </c>
      <c r="BR34" s="31">
        <v>3</v>
      </c>
      <c r="BS34" s="107">
        <f t="shared" si="27"/>
        <v>3.9671055321780746E-5</v>
      </c>
    </row>
    <row r="35" spans="1:71" ht="15.75" thickBot="1" x14ac:dyDescent="0.3">
      <c r="G35" s="88">
        <v>10</v>
      </c>
      <c r="H35" s="127">
        <f>J35*L25+J34*L26+J33*L27+J32*L28</f>
        <v>2.2543747620017132E-6</v>
      </c>
      <c r="I35" s="94">
        <v>10</v>
      </c>
      <c r="J35" s="89">
        <f t="shared" si="20"/>
        <v>3.2947461839350611E-9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9.765625E-4</v>
      </c>
      <c r="S35" s="72">
        <v>10</v>
      </c>
      <c r="T35" s="175">
        <f t="shared" si="22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3.2947461839350611E-9</v>
      </c>
      <c r="BI35" s="31">
        <f t="shared" si="24"/>
        <v>3</v>
      </c>
      <c r="BJ35" s="31">
        <v>8</v>
      </c>
      <c r="BK35" s="107">
        <f t="shared" si="25"/>
        <v>8.6712474004274134E-3</v>
      </c>
      <c r="BQ35" s="31">
        <f t="shared" si="26"/>
        <v>8</v>
      </c>
      <c r="BR35" s="31">
        <v>4</v>
      </c>
      <c r="BS35" s="107">
        <f t="shared" si="27"/>
        <v>5.8804381736648261E-5</v>
      </c>
    </row>
    <row r="36" spans="1:71" ht="15.75" x14ac:dyDescent="0.25">
      <c r="A36" s="285" t="s">
        <v>118</v>
      </c>
      <c r="B36" s="182">
        <f>SUM(BO4:BO14)</f>
        <v>8.7617061021976042E-2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4"/>
        <v>3</v>
      </c>
      <c r="BJ36" s="31">
        <v>9</v>
      </c>
      <c r="BK36" s="107">
        <f t="shared" si="25"/>
        <v>2.6570194239249876E-3</v>
      </c>
      <c r="BQ36" s="31">
        <f t="shared" si="26"/>
        <v>8</v>
      </c>
      <c r="BR36" s="31">
        <v>5</v>
      </c>
      <c r="BS36" s="107">
        <f t="shared" si="27"/>
        <v>6.1594694339089635E-5</v>
      </c>
    </row>
    <row r="37" spans="1:71" ht="16.5" thickBot="1" x14ac:dyDescent="0.3">
      <c r="A37" s="110" t="s">
        <v>119</v>
      </c>
      <c r="B37" s="182">
        <f>SUM(BK4:BK59)</f>
        <v>0.83847230301501652</v>
      </c>
      <c r="G37" s="157"/>
      <c r="H37" s="229">
        <f>SUM(H39:H49)</f>
        <v>0.99955585355662901</v>
      </c>
      <c r="I37" s="230"/>
      <c r="J37" s="229">
        <f>SUM(J39:J49)</f>
        <v>1.0000000000000002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0.99887438476562496</v>
      </c>
      <c r="W37" s="157"/>
      <c r="X37" s="157"/>
      <c r="Y37" s="168">
        <f>SUM(Y39:Y49)</f>
        <v>9.6198718261718752E-4</v>
      </c>
      <c r="Z37" s="81"/>
      <c r="AA37" s="168">
        <f>SUM(AA39:AA49)</f>
        <v>9.6343741455078135E-3</v>
      </c>
      <c r="AB37" s="81"/>
      <c r="AC37" s="168">
        <f>SUM(AC39:AC49)</f>
        <v>4.3434519287109383E-2</v>
      </c>
      <c r="AD37" s="81"/>
      <c r="AE37" s="168">
        <f>SUM(AE39:AE49)</f>
        <v>0.11609179516601563</v>
      </c>
      <c r="AF37" s="81"/>
      <c r="AG37" s="168">
        <f>SUM(AG39:AG49)</f>
        <v>0.20376086730957033</v>
      </c>
      <c r="AH37" s="81"/>
      <c r="AI37" s="168">
        <f>SUM(AI39:AI49)</f>
        <v>0.24547500769042968</v>
      </c>
      <c r="AJ37" s="81"/>
      <c r="AK37" s="168">
        <f>SUM(AK39:AK49)</f>
        <v>0.20568721142578125</v>
      </c>
      <c r="AL37" s="81"/>
      <c r="AM37" s="168">
        <f>SUM(AM39:AM49)</f>
        <v>0.11850233935546876</v>
      </c>
      <c r="AN37" s="81"/>
      <c r="AO37" s="168">
        <f>SUM(AO39:AO49)</f>
        <v>4.504503625488282E-2</v>
      </c>
      <c r="AP37" s="81"/>
      <c r="AQ37" s="168">
        <f>SUM(AQ39:AQ49)</f>
        <v>1.0281246948242189E-2</v>
      </c>
      <c r="AR37" s="81"/>
      <c r="AS37" s="168">
        <f>SUM(AS39:AS49)</f>
        <v>1.1256152343750436E-3</v>
      </c>
      <c r="BI37" s="31">
        <f t="shared" si="24"/>
        <v>3</v>
      </c>
      <c r="BJ37" s="31">
        <v>10</v>
      </c>
      <c r="BK37" s="107">
        <f t="shared" si="25"/>
        <v>5.8140368274686987E-4</v>
      </c>
      <c r="BQ37" s="31">
        <f t="shared" si="26"/>
        <v>8</v>
      </c>
      <c r="BR37" s="31">
        <v>6</v>
      </c>
      <c r="BS37" s="107">
        <f t="shared" si="27"/>
        <v>4.7016706660790856E-5</v>
      </c>
    </row>
    <row r="38" spans="1:71" ht="16.5" thickBot="1" x14ac:dyDescent="0.3">
      <c r="A38" s="111" t="s">
        <v>120</v>
      </c>
      <c r="B38" s="182">
        <f>SUM(BS4:BS47)</f>
        <v>7.3464120282633147E-2</v>
      </c>
      <c r="G38" s="103" t="str">
        <f t="shared" ref="G38:AS38" si="28">G24</f>
        <v>G</v>
      </c>
      <c r="H38" s="104" t="str">
        <f t="shared" si="28"/>
        <v>p</v>
      </c>
      <c r="I38" s="103" t="str">
        <f t="shared" si="28"/>
        <v>GT</v>
      </c>
      <c r="J38" s="105" t="str">
        <f t="shared" si="28"/>
        <v>p(x)</v>
      </c>
      <c r="K38" s="106" t="str">
        <f t="shared" si="28"/>
        <v>EE(x)</v>
      </c>
      <c r="L38" s="105" t="str">
        <f t="shared" si="28"/>
        <v>p</v>
      </c>
      <c r="M38" s="90" t="str">
        <f t="shared" si="28"/>
        <v>OcaS</v>
      </c>
      <c r="N38" s="30" t="str">
        <f t="shared" si="28"/>
        <v>P</v>
      </c>
      <c r="O38" s="30" t="str">
        <f t="shared" si="28"/>
        <v>O_CA</v>
      </c>
      <c r="P38" s="30" t="str">
        <f t="shared" si="28"/>
        <v>p</v>
      </c>
      <c r="Q38" s="30" t="str">
        <f t="shared" si="28"/>
        <v>TotalN</v>
      </c>
      <c r="R38" s="30" t="str">
        <f t="shared" si="28"/>
        <v>p</v>
      </c>
      <c r="S38" s="30" t="str">
        <f t="shared" si="28"/>
        <v>OcaCA</v>
      </c>
      <c r="T38" s="139" t="str">
        <f t="shared" si="28"/>
        <v>p</v>
      </c>
      <c r="U38" s="140" t="str">
        <f t="shared" si="28"/>
        <v>Total</v>
      </c>
      <c r="V38" s="141" t="str">
        <f t="shared" si="28"/>
        <v>P</v>
      </c>
      <c r="W38" s="90" t="str">
        <f t="shared" si="28"/>
        <v>E(x)</v>
      </c>
      <c r="X38" s="30" t="str">
        <f t="shared" si="28"/>
        <v>G0</v>
      </c>
      <c r="Y38" s="30" t="str">
        <f t="shared" si="28"/>
        <v>p</v>
      </c>
      <c r="Z38" s="30" t="str">
        <f t="shared" si="28"/>
        <v>G1</v>
      </c>
      <c r="AA38" s="30" t="str">
        <f t="shared" si="28"/>
        <v>p</v>
      </c>
      <c r="AB38" s="30" t="str">
        <f t="shared" si="28"/>
        <v>G2</v>
      </c>
      <c r="AC38" s="30" t="str">
        <f t="shared" si="28"/>
        <v>p</v>
      </c>
      <c r="AD38" s="30" t="str">
        <f t="shared" si="28"/>
        <v>G3</v>
      </c>
      <c r="AE38" s="30" t="str">
        <f t="shared" si="28"/>
        <v>p</v>
      </c>
      <c r="AF38" s="30" t="str">
        <f t="shared" si="28"/>
        <v>G4</v>
      </c>
      <c r="AG38" s="30" t="str">
        <f t="shared" si="28"/>
        <v>p</v>
      </c>
      <c r="AH38" s="30" t="str">
        <f t="shared" si="28"/>
        <v>G5</v>
      </c>
      <c r="AI38" s="30" t="str">
        <f t="shared" si="28"/>
        <v>p</v>
      </c>
      <c r="AJ38" s="30" t="str">
        <f t="shared" si="28"/>
        <v>G6</v>
      </c>
      <c r="AK38" s="30" t="str">
        <f t="shared" si="28"/>
        <v>p</v>
      </c>
      <c r="AL38" s="30" t="str">
        <f t="shared" si="28"/>
        <v>G7</v>
      </c>
      <c r="AM38" s="30" t="str">
        <f t="shared" si="28"/>
        <v>p</v>
      </c>
      <c r="AN38" s="30" t="str">
        <f t="shared" si="28"/>
        <v>G8</v>
      </c>
      <c r="AO38" s="30" t="str">
        <f t="shared" si="28"/>
        <v>p</v>
      </c>
      <c r="AP38" s="30" t="str">
        <f t="shared" si="28"/>
        <v>G9</v>
      </c>
      <c r="AQ38" s="30" t="str">
        <f t="shared" si="28"/>
        <v>p</v>
      </c>
      <c r="AR38" s="30" t="str">
        <f t="shared" si="28"/>
        <v>G10</v>
      </c>
      <c r="AS38" s="30" t="str">
        <f t="shared" si="28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9">BI32+1</f>
        <v>4</v>
      </c>
      <c r="BJ38" s="31">
        <v>5</v>
      </c>
      <c r="BK38" s="107">
        <f t="shared" ref="BK38:BK43" si="30">$H$29*H44</f>
        <v>2.3676308943157628E-2</v>
      </c>
      <c r="BQ38" s="31">
        <f>BM11+1</f>
        <v>8</v>
      </c>
      <c r="BR38" s="31">
        <v>7</v>
      </c>
      <c r="BS38" s="107">
        <f t="shared" si="27"/>
        <v>2.6534962442440337E-5</v>
      </c>
    </row>
    <row r="39" spans="1:71" x14ac:dyDescent="0.25">
      <c r="G39" s="128">
        <v>0</v>
      </c>
      <c r="H39" s="129">
        <f>L39*J39</f>
        <v>2.1170003790391047E-3</v>
      </c>
      <c r="I39" s="97">
        <v>0</v>
      </c>
      <c r="J39" s="98">
        <f t="shared" ref="J39:J49" si="31">Y39+AA39+AC39+AE39+AG39+AI39+AK39+AM39+AO39+AQ39+AS39</f>
        <v>1.6398726728122089E-2</v>
      </c>
      <c r="K39" s="102">
        <v>0</v>
      </c>
      <c r="L39" s="98">
        <f>AH18</f>
        <v>0.12909541174368569</v>
      </c>
      <c r="M39" s="85">
        <v>0</v>
      </c>
      <c r="N39" s="173">
        <f>(1-$C$24)^$B$21</f>
        <v>3.125E-2</v>
      </c>
      <c r="O39" s="72">
        <v>0</v>
      </c>
      <c r="P39" s="173">
        <f t="shared" ref="P39:P44" si="32">N39</f>
        <v>3.125E-2</v>
      </c>
      <c r="Q39" s="28">
        <v>0</v>
      </c>
      <c r="R39" s="174">
        <f>P39*N39</f>
        <v>9.765625E-4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9.6198718261718752E-4</v>
      </c>
      <c r="W39" s="134">
        <f>C31</f>
        <v>0.67275832555955561</v>
      </c>
      <c r="X39" s="28">
        <v>0</v>
      </c>
      <c r="Y39" s="176">
        <f>V39</f>
        <v>9.6198718261718752E-4</v>
      </c>
      <c r="Z39" s="28">
        <v>0</v>
      </c>
      <c r="AA39" s="176">
        <f>((1-W39)^Z40)*V40</f>
        <v>3.1527687275617025E-3</v>
      </c>
      <c r="AB39" s="28">
        <v>0</v>
      </c>
      <c r="AC39" s="176">
        <f>(((1-$W$39)^AB41))*V41</f>
        <v>4.6512772963077202E-3</v>
      </c>
      <c r="AD39" s="28">
        <v>0</v>
      </c>
      <c r="AE39" s="176">
        <f>(((1-$W$39)^AB42))*V42</f>
        <v>4.0682473058697476E-3</v>
      </c>
      <c r="AF39" s="28">
        <v>0</v>
      </c>
      <c r="AG39" s="176">
        <f>(((1-$W$39)^AB43))*V43</f>
        <v>2.3366582846844099E-3</v>
      </c>
      <c r="AH39" s="28">
        <v>0</v>
      </c>
      <c r="AI39" s="176">
        <f>(((1-$W$39)^AB44))*V44</f>
        <v>9.2119233008251561E-4</v>
      </c>
      <c r="AJ39" s="28">
        <v>0</v>
      </c>
      <c r="AK39" s="176">
        <f>(((1-$W$39)^AB45))*V45</f>
        <v>2.5259161377901013E-4</v>
      </c>
      <c r="AL39" s="28">
        <v>0</v>
      </c>
      <c r="AM39" s="176">
        <f>(((1-$W$39)^AB46))*V46</f>
        <v>4.7621949186226034E-5</v>
      </c>
      <c r="AN39" s="28">
        <v>0</v>
      </c>
      <c r="AO39" s="176">
        <f>(((1-$W$39)^AB47))*V47</f>
        <v>5.9237372977568796E-6</v>
      </c>
      <c r="AP39" s="28">
        <v>0</v>
      </c>
      <c r="AQ39" s="176">
        <f>(((1-$W$39)^AB48))*V48</f>
        <v>4.4244902924754704E-7</v>
      </c>
      <c r="AR39" s="28">
        <v>0</v>
      </c>
      <c r="AS39" s="176">
        <f>(((1-$W$39)^AB49))*V49</f>
        <v>1.5851706564575541E-8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9"/>
        <v>4</v>
      </c>
      <c r="BJ39" s="31">
        <v>6</v>
      </c>
      <c r="BK39" s="107">
        <f t="shared" si="30"/>
        <v>1.8072694155480962E-2</v>
      </c>
      <c r="BQ39" s="31">
        <f t="shared" ref="BQ39:BQ46" si="33">BQ31+1</f>
        <v>9</v>
      </c>
      <c r="BR39" s="31">
        <v>0</v>
      </c>
      <c r="BS39" s="107">
        <f t="shared" ref="BS39:BS47" si="34">$H$34*H39</f>
        <v>6.189744446359635E-8</v>
      </c>
    </row>
    <row r="40" spans="1:71" x14ac:dyDescent="0.25">
      <c r="G40" s="91">
        <v>1</v>
      </c>
      <c r="H40" s="130">
        <f>L39*J40+L40*J39</f>
        <v>1.7599583572250936E-2</v>
      </c>
      <c r="I40" s="138">
        <v>1</v>
      </c>
      <c r="J40" s="86">
        <f t="shared" si="31"/>
        <v>8.3288661818144122E-2</v>
      </c>
      <c r="K40" s="95">
        <v>1</v>
      </c>
      <c r="L40" s="86">
        <f>AI18</f>
        <v>0.41755677710724071</v>
      </c>
      <c r="M40" s="85">
        <v>1</v>
      </c>
      <c r="N40" s="173">
        <f>(($C$24)^M26)*((1-($C$24))^($B$21-M26))*HLOOKUP($B$21,$AV$24:$BF$34,M26+1)</f>
        <v>0.15625</v>
      </c>
      <c r="O40" s="72">
        <v>1</v>
      </c>
      <c r="P40" s="173">
        <f t="shared" si="32"/>
        <v>0.15625</v>
      </c>
      <c r="Q40" s="28">
        <v>1</v>
      </c>
      <c r="R40" s="174">
        <f>P40*N39+P39*N40</f>
        <v>9.765625E-3</v>
      </c>
      <c r="S40" s="72">
        <v>1</v>
      </c>
      <c r="T40" s="175">
        <f t="shared" ref="T40:T49" si="35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9.6343741455078135E-3</v>
      </c>
      <c r="W40" s="177"/>
      <c r="X40" s="28">
        <v>1</v>
      </c>
      <c r="Y40" s="174"/>
      <c r="Z40" s="28">
        <v>1</v>
      </c>
      <c r="AA40" s="176">
        <f>(1-((1-W39)^Z40))*V40</f>
        <v>6.4816054179461114E-3</v>
      </c>
      <c r="AB40" s="28">
        <v>1</v>
      </c>
      <c r="AC40" s="176">
        <f>((($W$39)^M40)*((1-($W$39))^($U$27-M40))*HLOOKUP($U$27,$AV$24:$BF$34,M40+1))*V41</f>
        <v>1.912461504744346E-2</v>
      </c>
      <c r="AD40" s="28">
        <v>1</v>
      </c>
      <c r="AE40" s="176">
        <f>((($W$39)^M40)*((1-($W$39))^($U$28-M40))*HLOOKUP($U$28,$AV$24:$BF$34,M40+1))*V42</f>
        <v>2.5091063815197618E-2</v>
      </c>
      <c r="AF40" s="28">
        <v>1</v>
      </c>
      <c r="AG40" s="176">
        <f>((($W$39)^M40)*((1-($W$39))^($U$29-M40))*HLOOKUP($U$29,$AV$24:$BF$34,M40+1))*V43</f>
        <v>1.9215233728370876E-2</v>
      </c>
      <c r="AH40" s="28">
        <v>1</v>
      </c>
      <c r="AI40" s="176">
        <f>((($W$39)^M40)*((1-($W$39))^($U$30-M40))*HLOOKUP($U$30,$AV$24:$BF$34,M40+1))*V44</f>
        <v>9.4691455567864537E-3</v>
      </c>
      <c r="AJ40" s="28">
        <v>1</v>
      </c>
      <c r="AK40" s="176">
        <f>((($W$39)^M40)*((1-($W$39))^($U$31-M40))*HLOOKUP($U$31,$AV$24:$BF$34,M40+1))*V45</f>
        <v>3.1157360032506394E-3</v>
      </c>
      <c r="AL40" s="28">
        <v>1</v>
      </c>
      <c r="AM40" s="176">
        <f>((($W$39)^Q40)*((1-($W$39))^($U$32-Q40))*HLOOKUP($U$32,$AV$24:$BF$34,Q40+1))*V46</f>
        <v>6.8532359133148416E-4</v>
      </c>
      <c r="AN40" s="28">
        <v>1</v>
      </c>
      <c r="AO40" s="176">
        <f>((($W$39)^Q40)*((1-($W$39))^($U$33-Q40))*HLOOKUP($U$33,$AV$24:$BF$34,Q40+1))*V47</f>
        <v>9.7426309587445657E-5</v>
      </c>
      <c r="AP40" s="28">
        <v>1</v>
      </c>
      <c r="AQ40" s="176">
        <f>((($W$39)^Q40)*((1-($W$39))^($U$34-Q40))*HLOOKUP($U$34,$AV$24:$BF$34,Q40+1))*V48</f>
        <v>8.1864616331005381E-6</v>
      </c>
      <c r="AR40" s="28">
        <v>1</v>
      </c>
      <c r="AS40" s="176">
        <f>((($W$39)^Q40)*((1-($W$39))^($U$35-Q40))*HLOOKUP($U$35,$AV$24:$BF$34,Q40+1))*V49</f>
        <v>3.2588659692810904E-7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9"/>
        <v>4</v>
      </c>
      <c r="BJ40" s="31">
        <v>7</v>
      </c>
      <c r="BK40" s="107">
        <f t="shared" si="30"/>
        <v>1.0199741638844335E-2</v>
      </c>
      <c r="BQ40" s="31">
        <f t="shared" si="33"/>
        <v>9</v>
      </c>
      <c r="BR40" s="31">
        <v>1</v>
      </c>
      <c r="BS40" s="107">
        <f t="shared" si="34"/>
        <v>5.1458150765201267E-7</v>
      </c>
    </row>
    <row r="41" spans="1:71" x14ac:dyDescent="0.25">
      <c r="G41" s="91">
        <v>2</v>
      </c>
      <c r="H41" s="130">
        <f>L39*J41+J40*L40+J39*L41</f>
        <v>6.5603054256469936E-2</v>
      </c>
      <c r="I41" s="138">
        <v>2</v>
      </c>
      <c r="J41" s="86">
        <f t="shared" si="31"/>
        <v>0.19044330645887322</v>
      </c>
      <c r="K41" s="95">
        <v>2</v>
      </c>
      <c r="L41" s="86">
        <f>AJ18</f>
        <v>0.38051442044416584</v>
      </c>
      <c r="M41" s="85">
        <v>2</v>
      </c>
      <c r="N41" s="173">
        <f>(($C$24)^M27)*((1-($C$24))^($B$21-M27))*HLOOKUP($B$21,$AV$24:$BF$34,M27+1)</f>
        <v>0.3125</v>
      </c>
      <c r="O41" s="72">
        <v>2</v>
      </c>
      <c r="P41" s="173">
        <f t="shared" si="32"/>
        <v>0.3125</v>
      </c>
      <c r="Q41" s="28">
        <v>2</v>
      </c>
      <c r="R41" s="174">
        <f>P41*N39+P40*N40+P39*N41</f>
        <v>4.39453125E-2</v>
      </c>
      <c r="S41" s="72">
        <v>2</v>
      </c>
      <c r="T41" s="175">
        <f t="shared" si="35"/>
        <v>7.4625000000000011E-5</v>
      </c>
      <c r="U41" s="138">
        <v>2</v>
      </c>
      <c r="V41" s="86">
        <f>R41*T39+T40*R40+R39*T41</f>
        <v>4.3434519287109383E-2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1.9658626943358203E-2</v>
      </c>
      <c r="AD41" s="28">
        <v>2</v>
      </c>
      <c r="AE41" s="176">
        <f>((($W$39)^M41)*((1-($W$39))^($U$28-M41))*HLOOKUP($U$28,$AV$24:$BF$34,M41+1))*V42</f>
        <v>5.158335076876764E-2</v>
      </c>
      <c r="AF41" s="28">
        <v>2</v>
      </c>
      <c r="AG41" s="176">
        <f>((($W$39)^M41)*((1-($W$39))^($U$29-M41))*HLOOKUP($U$29,$AV$24:$BF$34,M41+1))*V43</f>
        <v>5.9255327841901816E-2</v>
      </c>
      <c r="AH41" s="28">
        <v>2</v>
      </c>
      <c r="AI41" s="176">
        <f>((($W$39)^M41)*((1-($W$39))^($U$30-M41))*HLOOKUP($U$30,$AV$24:$BF$34,M41+1))*V44</f>
        <v>3.8934200664730655E-2</v>
      </c>
      <c r="AJ41" s="28">
        <v>2</v>
      </c>
      <c r="AK41" s="176">
        <f>((($W$39)^M41)*((1-($W$39))^($U$31-M41))*HLOOKUP($U$31,$AV$24:$BF$34,M41+1))*V45</f>
        <v>1.6013679645301444E-2</v>
      </c>
      <c r="AL41" s="28">
        <v>2</v>
      </c>
      <c r="AM41" s="176">
        <f>((($W$39)^Q41)*((1-($W$39))^($U$32-Q41))*HLOOKUP($U$32,$AV$24:$BF$34,Q41+1))*V46</f>
        <v>4.2267582748346392E-3</v>
      </c>
      <c r="AN41" s="28">
        <v>2</v>
      </c>
      <c r="AO41" s="176">
        <f>((($W$39)^Q41)*((1-($W$39))^($U$33-Q41))*HLOOKUP($U$33,$AV$24:$BF$34,Q41+1))*V47</f>
        <v>7.0102704233653153E-4</v>
      </c>
      <c r="AP41" s="28">
        <v>2</v>
      </c>
      <c r="AQ41" s="176">
        <f>((($W$39)^Q41)*((1-($W$39))^($U$34-Q41))*HLOOKUP($U$34,$AV$24:$BF$34,Q41+1))*V48</f>
        <v>6.732040141231574E-5</v>
      </c>
      <c r="AR41" s="28">
        <v>2</v>
      </c>
      <c r="AS41" s="176">
        <f>((($W$39)^Q41)*((1-($W$39))^($U$35-Q41))*HLOOKUP($U$35,$AV$24:$BF$34,Q41+1))*V49</f>
        <v>3.0148762299589279E-6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9"/>
        <v>4</v>
      </c>
      <c r="BJ41" s="31">
        <v>8</v>
      </c>
      <c r="BK41" s="107">
        <f t="shared" si="30"/>
        <v>4.2639808389382987E-3</v>
      </c>
      <c r="BQ41" s="31">
        <f t="shared" si="33"/>
        <v>9</v>
      </c>
      <c r="BR41" s="31">
        <v>2</v>
      </c>
      <c r="BS41" s="107">
        <f t="shared" si="34"/>
        <v>1.9181203025222217E-6</v>
      </c>
    </row>
    <row r="42" spans="1:71" ht="15" customHeight="1" x14ac:dyDescent="0.25">
      <c r="G42" s="91">
        <v>3</v>
      </c>
      <c r="H42" s="130">
        <f>J42*L39+J41*L40+L42*J39+L41*J40</f>
        <v>0.14574089120456177</v>
      </c>
      <c r="I42" s="138">
        <v>3</v>
      </c>
      <c r="J42" s="86">
        <f t="shared" si="31"/>
        <v>0.2582050418025405</v>
      </c>
      <c r="K42" s="95">
        <v>3</v>
      </c>
      <c r="L42" s="86">
        <f>AK18</f>
        <v>7.2833390704907797E-2</v>
      </c>
      <c r="M42" s="85">
        <v>3</v>
      </c>
      <c r="N42" s="173">
        <f>(($C$24)^M28)*((1-($C$24))^($B$21-M28))*HLOOKUP($B$21,$AV$24:$BF$34,M28+1)</f>
        <v>0.3125</v>
      </c>
      <c r="O42" s="72">
        <v>3</v>
      </c>
      <c r="P42" s="173">
        <f t="shared" si="32"/>
        <v>0.3125</v>
      </c>
      <c r="Q42" s="28">
        <v>3</v>
      </c>
      <c r="R42" s="174">
        <f>P42*N39+P41*N40+P40*N41+P39*N42</f>
        <v>0.1171875</v>
      </c>
      <c r="S42" s="72">
        <v>3</v>
      </c>
      <c r="T42" s="175">
        <f t="shared" si="35"/>
        <v>1.2500000000000002E-7</v>
      </c>
      <c r="U42" s="138">
        <v>3</v>
      </c>
      <c r="V42" s="86">
        <f>R42*T39+R41*T40+R40*T41+R39*T42</f>
        <v>0.11609179516601563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3.5349133276180625E-2</v>
      </c>
      <c r="AF42" s="28">
        <v>3</v>
      </c>
      <c r="AG42" s="176">
        <f>((($W$39)^M42)*((1-($W$39))^($U$29-M42))*HLOOKUP($U$29,$AV$24:$BF$34,M42+1))*V43</f>
        <v>8.1213199607630113E-2</v>
      </c>
      <c r="AH42" s="28">
        <v>3</v>
      </c>
      <c r="AI42" s="176">
        <f>((($W$39)^M42)*((1-($W$39))^($U$30-M42))*HLOOKUP($U$30,$AV$24:$BF$34,M42+1))*V44</f>
        <v>8.00427014407388E-2</v>
      </c>
      <c r="AJ42" s="28">
        <v>3</v>
      </c>
      <c r="AK42" s="176">
        <f>((($W$39)^M42)*((1-($W$39))^($U$31-M42))*HLOOKUP($U$31,$AV$24:$BF$34,M42+1))*V45</f>
        <v>4.3895535097077241E-2</v>
      </c>
      <c r="AL42" s="28">
        <v>3</v>
      </c>
      <c r="AM42" s="176">
        <f>((($W$39)^Q42)*((1-($W$39))^($U$32-Q42))*HLOOKUP($U$32,$AV$24:$BF$34,Q42+1))*V46</f>
        <v>1.4482603335822276E-2</v>
      </c>
      <c r="AN42" s="28">
        <v>3</v>
      </c>
      <c r="AO42" s="176">
        <f>((($W$39)^Q42)*((1-($W$39))^($U$33-Q42))*HLOOKUP($U$33,$AV$24:$BF$34,Q42+1))*V47</f>
        <v>2.8824065882239857E-3</v>
      </c>
      <c r="AP42" s="28">
        <v>3</v>
      </c>
      <c r="AQ42" s="176">
        <f>((($W$39)^Q42)*((1-($W$39))^($U$34-Q42))*HLOOKUP($U$34,$AV$24:$BF$34,Q42+1))*V48</f>
        <v>3.2293413754337739E-4</v>
      </c>
      <c r="AR42" s="28">
        <v>3</v>
      </c>
      <c r="AS42" s="176">
        <f>((($W$39)^Q42)*((1-($W$39))^($U$35-Q42))*HLOOKUP($U$35,$AV$24:$BF$34,Q42+1))*V49</f>
        <v>1.652831932407686E-5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6">BE41+BE42</f>
        <v>210</v>
      </c>
      <c r="BI42" s="31">
        <f t="shared" si="29"/>
        <v>4</v>
      </c>
      <c r="BJ42" s="31">
        <v>9</v>
      </c>
      <c r="BK42" s="107">
        <f t="shared" si="30"/>
        <v>1.306557106391012E-3</v>
      </c>
      <c r="BQ42" s="31">
        <f t="shared" si="33"/>
        <v>9</v>
      </c>
      <c r="BR42" s="31">
        <v>3</v>
      </c>
      <c r="BS42" s="107">
        <f t="shared" si="34"/>
        <v>4.2612126141913958E-6</v>
      </c>
    </row>
    <row r="43" spans="1:71" ht="15" customHeight="1" x14ac:dyDescent="0.25">
      <c r="G43" s="91">
        <v>4</v>
      </c>
      <c r="H43" s="130">
        <f>J43*L39+J42*L40+J41*L41+J40*L42</f>
        <v>0.21603163645427509</v>
      </c>
      <c r="I43" s="138">
        <v>4</v>
      </c>
      <c r="J43" s="86">
        <f t="shared" si="31"/>
        <v>0.22993653247059839</v>
      </c>
      <c r="K43" s="95">
        <v>4</v>
      </c>
      <c r="L43" s="86"/>
      <c r="M43" s="85">
        <v>4</v>
      </c>
      <c r="N43" s="173">
        <f>(($C$24)^M29)*((1-($C$24))^($B$21-M29))*HLOOKUP($B$21,$AV$24:$BF$34,M29+1)</f>
        <v>0.15625</v>
      </c>
      <c r="O43" s="72">
        <v>4</v>
      </c>
      <c r="P43" s="173">
        <f t="shared" si="32"/>
        <v>0.15625</v>
      </c>
      <c r="Q43" s="28">
        <v>4</v>
      </c>
      <c r="R43" s="174">
        <f>P43*N39+P42*N40+P41*N41+P40*N42+P39*N43</f>
        <v>0.205078125</v>
      </c>
      <c r="S43" s="72">
        <v>4</v>
      </c>
      <c r="T43" s="175">
        <f t="shared" si="35"/>
        <v>0</v>
      </c>
      <c r="U43" s="138">
        <v>4</v>
      </c>
      <c r="V43" s="86">
        <f>T43*R39+T42*R40+T41*R41+T40*R42+T39*R43</f>
        <v>0.20376086730957033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4.1740447846983122E-2</v>
      </c>
      <c r="AH43" s="28">
        <v>4</v>
      </c>
      <c r="AI43" s="176">
        <f>((($W$39)^M43)*((1-($W$39))^($U$30-M43))*HLOOKUP($U$30,$AV$24:$BF$34,M43+1))*V44</f>
        <v>8.2277713996257926E-2</v>
      </c>
      <c r="AJ43" s="28">
        <v>4</v>
      </c>
      <c r="AK43" s="176">
        <f>((($W$39)^M43)*((1-($W$39))^($U$31-M43))*HLOOKUP($U$31,$AV$24:$BF$34,M43+1))*V45</f>
        <v>6.7681828900489349E-2</v>
      </c>
      <c r="AL43" s="28">
        <v>4</v>
      </c>
      <c r="AM43" s="176">
        <f>((($W$39)^Q43)*((1-($W$39))^($U$32-Q43))*HLOOKUP($U$32,$AV$24:$BF$34,Q43+1))*V46</f>
        <v>2.9773994973626861E-2</v>
      </c>
      <c r="AN43" s="28">
        <v>4</v>
      </c>
      <c r="AO43" s="176">
        <f>((($W$39)^Q43)*((1-($W$39))^($U$33-Q43))*HLOOKUP($U$33,$AV$24:$BF$34,Q43+1))*V47</f>
        <v>7.407228286216927E-3</v>
      </c>
      <c r="AP43" s="28">
        <v>4</v>
      </c>
      <c r="AQ43" s="176">
        <f>((($W$39)^Q43)*((1-($W$39))^($U$34-Q43))*HLOOKUP($U$34,$AV$24:$BF$34,Q43+1))*V48</f>
        <v>9.9585404278592694E-4</v>
      </c>
      <c r="AR43" s="28">
        <v>4</v>
      </c>
      <c r="AS43" s="176">
        <f>((($W$39)^Q43)*((1-($W$39))^($U$35-Q43))*HLOOKUP($U$35,$AV$24:$BF$34,Q43+1))*V49</f>
        <v>5.9464424238257363E-5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6"/>
        <v>252</v>
      </c>
      <c r="BI43" s="31">
        <f t="shared" si="29"/>
        <v>4</v>
      </c>
      <c r="BJ43" s="31">
        <v>10</v>
      </c>
      <c r="BK43" s="107">
        <f t="shared" si="30"/>
        <v>2.858982160742661E-4</v>
      </c>
      <c r="BQ43" s="31">
        <f t="shared" si="33"/>
        <v>9</v>
      </c>
      <c r="BR43" s="31">
        <v>4</v>
      </c>
      <c r="BS43" s="107">
        <f t="shared" si="34"/>
        <v>6.3163929266171035E-6</v>
      </c>
    </row>
    <row r="44" spans="1:71" ht="15" customHeight="1" thickBot="1" x14ac:dyDescent="0.3">
      <c r="G44" s="91">
        <v>5</v>
      </c>
      <c r="H44" s="130">
        <f>J44*L39+J43*L40+J42*L41+J41*L42</f>
        <v>0.22628250177965134</v>
      </c>
      <c r="I44" s="138">
        <v>5</v>
      </c>
      <c r="J44" s="86">
        <f t="shared" si="31"/>
        <v>0.14059036268725228</v>
      </c>
      <c r="K44" s="95">
        <v>5</v>
      </c>
      <c r="L44" s="86"/>
      <c r="M44" s="85">
        <v>5</v>
      </c>
      <c r="N44" s="173">
        <f>(($C$24)^M30)*((1-($C$24))^($B$21-M30))*HLOOKUP($B$21,$AV$24:$BF$34,M30+1)</f>
        <v>3.125E-2</v>
      </c>
      <c r="O44" s="72">
        <v>5</v>
      </c>
      <c r="P44" s="173">
        <f t="shared" si="32"/>
        <v>3.125E-2</v>
      </c>
      <c r="Q44" s="28">
        <v>5</v>
      </c>
      <c r="R44" s="174">
        <f>P44*N39+P43*N40+P42*N41+P41*N42+P40*N43+P39*N44</f>
        <v>0.24609375</v>
      </c>
      <c r="S44" s="72">
        <v>5</v>
      </c>
      <c r="T44" s="175">
        <f t="shared" si="35"/>
        <v>0</v>
      </c>
      <c r="U44" s="138">
        <v>5</v>
      </c>
      <c r="V44" s="86">
        <f>T44*R39+T43*R40+T42*R41+T41*R42+T40*R43+T39*R44</f>
        <v>0.24547500769042968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3.3830053701833347E-2</v>
      </c>
      <c r="AJ44" s="28">
        <v>5</v>
      </c>
      <c r="AK44" s="176">
        <f>((($W$39)^M44)*((1-($W$39))^($U$31-M44))*HLOOKUP($U$31,$AV$24:$BF$34,M44+1))*V45</f>
        <v>5.5657353495406743E-2</v>
      </c>
      <c r="AL44" s="28">
        <v>5</v>
      </c>
      <c r="AM44" s="176">
        <f>((($W$39)^Q44)*((1-($W$39))^($U$32-Q44))*HLOOKUP($U$32,$AV$24:$BF$34,Q44+1))*V46</f>
        <v>3.672644024559521E-2</v>
      </c>
      <c r="AN44" s="28">
        <v>5</v>
      </c>
      <c r="AO44" s="176">
        <f>((($W$39)^Q44)*((1-($W$39))^($U$33-Q44))*HLOOKUP($U$33,$AV$24:$BF$34,Q44+1))*V47</f>
        <v>1.2182493583419421E-2</v>
      </c>
      <c r="AP44" s="28">
        <v>5</v>
      </c>
      <c r="AQ44" s="176">
        <f>((($W$39)^Q44)*((1-($W$39))^($U$34-Q44))*HLOOKUP($U$34,$AV$24:$BF$34,Q44+1))*V48</f>
        <v>2.0473220578398669E-3</v>
      </c>
      <c r="AR44" s="28">
        <v>5</v>
      </c>
      <c r="AS44" s="176">
        <f>((($W$39)^Q44)*((1-($W$39))^($U$35-Q44))*HLOOKUP($U$35,$AV$24:$BF$34,Q44+1))*V49</f>
        <v>1.466996031576916E-4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6"/>
        <v>210</v>
      </c>
      <c r="BI44" s="31">
        <f>BI39+1</f>
        <v>5</v>
      </c>
      <c r="BJ44" s="31">
        <v>6</v>
      </c>
      <c r="BK44" s="107">
        <f>$H$30*H45</f>
        <v>6.375188371418445E-3</v>
      </c>
      <c r="BQ44" s="31">
        <f t="shared" si="33"/>
        <v>9</v>
      </c>
      <c r="BR44" s="31">
        <v>5</v>
      </c>
      <c r="BS44" s="107">
        <f t="shared" si="34"/>
        <v>6.6161105711974412E-6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0.17272685777242217</v>
      </c>
      <c r="I45" s="138">
        <v>6</v>
      </c>
      <c r="J45" s="86">
        <f t="shared" si="31"/>
        <v>5.9818423044771037E-2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0.205078125</v>
      </c>
      <c r="S45" s="72">
        <v>6</v>
      </c>
      <c r="T45" s="175">
        <f t="shared" si="35"/>
        <v>0</v>
      </c>
      <c r="U45" s="138">
        <v>6</v>
      </c>
      <c r="V45" s="86">
        <f>T45*R39+T44*R40+T43*R41+T42*R42+T41*R43+T40*R44+T39*R45</f>
        <v>0.20568721142578125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1.9070486670476849E-2</v>
      </c>
      <c r="AL45" s="28">
        <v>6</v>
      </c>
      <c r="AM45" s="176">
        <f>((($W$39)^Q45)*((1-($W$39))^($U$32-Q45))*HLOOKUP($U$32,$AV$24:$BF$34,Q45+1))*V46</f>
        <v>2.5167962368727769E-2</v>
      </c>
      <c r="AN45" s="28">
        <v>6</v>
      </c>
      <c r="AO45" s="176">
        <f>((($W$39)^Q45)*((1-($W$39))^($U$33-Q45))*HLOOKUP($U$33,$AV$24:$BF$34,Q45+1))*V47</f>
        <v>1.2522662338676046E-2</v>
      </c>
      <c r="AP45" s="28">
        <v>6</v>
      </c>
      <c r="AQ45" s="176">
        <f>((($W$39)^Q45)*((1-($W$39))^($U$34-Q45))*HLOOKUP($U$34,$AV$24:$BF$34,Q45+1))*V48</f>
        <v>2.8059852337341601E-3</v>
      </c>
      <c r="AR45" s="28">
        <v>6</v>
      </c>
      <c r="AS45" s="176">
        <f>((($W$39)^Q45)*((1-($W$39))^($U$35-Q45))*HLOOKUP($U$35,$AV$24:$BF$34,Q45+1))*V49</f>
        <v>2.5132643315621203E-4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6"/>
        <v>120</v>
      </c>
      <c r="BI45" s="31">
        <f>BI40+1</f>
        <v>5</v>
      </c>
      <c r="BJ45" s="31">
        <v>7</v>
      </c>
      <c r="BK45" s="107">
        <f>$H$30*H46</f>
        <v>3.5979845466323295E-3</v>
      </c>
      <c r="BQ45" s="31">
        <f t="shared" si="33"/>
        <v>9</v>
      </c>
      <c r="BR45" s="31">
        <v>6</v>
      </c>
      <c r="BS45" s="107">
        <f t="shared" si="34"/>
        <v>5.0502357922074407E-6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9.7482384652308213E-2</v>
      </c>
      <c r="I46" s="138">
        <v>7</v>
      </c>
      <c r="J46" s="86">
        <f t="shared" si="31"/>
        <v>1.7514790020947545E-2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0.1171875</v>
      </c>
      <c r="S46" s="72">
        <v>7</v>
      </c>
      <c r="T46" s="175">
        <f t="shared" si="35"/>
        <v>0</v>
      </c>
      <c r="U46" s="138">
        <v>7</v>
      </c>
      <c r="V46" s="86">
        <f>T46*R39+T45*R40+T44*R41+T43*R42+T42*R43+T41*R44+T40*R45+T39*R46</f>
        <v>0.11850233935546875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7.3916346163442909E-3</v>
      </c>
      <c r="AN46" s="28">
        <v>7</v>
      </c>
      <c r="AO46" s="176">
        <f>((($W$39)^Q46)*((1-($W$39))^($U$33-Q46))*HLOOKUP($U$33,$AV$24:$BF$34,Q46+1))*V47</f>
        <v>7.3556168811156585E-3</v>
      </c>
      <c r="AP46" s="28">
        <v>7</v>
      </c>
      <c r="AQ46" s="176">
        <f>((($W$39)^Q46)*((1-($W$39))^($U$34-Q46))*HLOOKUP($U$34,$AV$24:$BF$34,Q46+1))*V48</f>
        <v>2.4722880560714361E-3</v>
      </c>
      <c r="AR46" s="28">
        <v>7</v>
      </c>
      <c r="AS46" s="176">
        <f>((($W$39)^Q46)*((1-($W$39))^($U$35-Q46))*HLOOKUP($U$35,$AV$24:$BF$34,Q46+1))*V49</f>
        <v>2.9525046741615943E-4</v>
      </c>
      <c r="AV46" s="14">
        <v>8</v>
      </c>
      <c r="BD46" s="31">
        <v>1</v>
      </c>
      <c r="BE46" s="31">
        <v>9</v>
      </c>
      <c r="BF46" s="31">
        <f t="shared" si="36"/>
        <v>45</v>
      </c>
      <c r="BI46" s="31">
        <f>BI41+1</f>
        <v>5</v>
      </c>
      <c r="BJ46" s="31">
        <v>8</v>
      </c>
      <c r="BK46" s="107">
        <f>$H$30*H47</f>
        <v>1.5041299778819324E-3</v>
      </c>
      <c r="BQ46" s="31">
        <f t="shared" si="33"/>
        <v>9</v>
      </c>
      <c r="BR46" s="31">
        <v>7</v>
      </c>
      <c r="BS46" s="107">
        <f t="shared" si="34"/>
        <v>2.8502170098495423E-6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4.0752308735787855E-2</v>
      </c>
      <c r="I47" s="138">
        <v>8</v>
      </c>
      <c r="J47" s="86">
        <f t="shared" si="31"/>
        <v>3.3885330649019887E-3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4.39453125E-2</v>
      </c>
      <c r="S47" s="72">
        <v>8</v>
      </c>
      <c r="T47" s="175">
        <f t="shared" si="35"/>
        <v>0</v>
      </c>
      <c r="U47" s="138">
        <v>8</v>
      </c>
      <c r="V47" s="86">
        <f>T47*R39+T46*R40+T45*R41+T44*R42+T43*R43+T42*R44+T41*R45+T40*R46+T39*R47</f>
        <v>4.5045036254882813E-2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1.890251488009045E-3</v>
      </c>
      <c r="AP47" s="28">
        <v>8</v>
      </c>
      <c r="AQ47" s="176">
        <f>((($W$39)^Q47)*((1-($W$39))^($U$34-Q47))*HLOOKUP($U$34,$AV$24:$BF$34,Q47+1))*V48</f>
        <v>1.2706605719973848E-3</v>
      </c>
      <c r="AR47" s="28">
        <v>8</v>
      </c>
      <c r="AS47" s="176">
        <f>((($W$39)^Q47)*((1-($W$39))^($U$35-Q47))*HLOOKUP($U$35,$AV$24:$BF$34,Q47+1))*V49</f>
        <v>2.2762100489555909E-4</v>
      </c>
      <c r="AV47" s="29">
        <v>9</v>
      </c>
      <c r="BE47" s="31">
        <v>1</v>
      </c>
      <c r="BF47" s="31">
        <f t="shared" si="36"/>
        <v>10</v>
      </c>
      <c r="BI47" s="31">
        <f>BI42+1</f>
        <v>5</v>
      </c>
      <c r="BJ47" s="31">
        <v>9</v>
      </c>
      <c r="BK47" s="107">
        <f>$H$30*H48</f>
        <v>4.6089130926458931E-4</v>
      </c>
      <c r="BQ47" s="31">
        <f>BM12+1</f>
        <v>9</v>
      </c>
      <c r="BR47" s="31">
        <v>8</v>
      </c>
      <c r="BS47" s="107">
        <f t="shared" si="34"/>
        <v>1.1915273099203193E-6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1.2487208688733653E-2</v>
      </c>
      <c r="I48" s="138">
        <v>9</v>
      </c>
      <c r="J48" s="86">
        <f t="shared" si="31"/>
        <v>3.9424322949234403E-4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9.765625E-3</v>
      </c>
      <c r="S48" s="72">
        <v>9</v>
      </c>
      <c r="T48" s="175">
        <f t="shared" si="35"/>
        <v>0</v>
      </c>
      <c r="U48" s="138">
        <v>9</v>
      </c>
      <c r="V48" s="86">
        <f>T48*R39+T47*R40+T46*R41+T45*R42+T44*R43+T43*R44+T42*R45+T41*R46+T40*R47+T39*R48</f>
        <v>1.0281246948242189E-2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2.9025353619537367E-4</v>
      </c>
      <c r="AR48" s="28">
        <v>9</v>
      </c>
      <c r="AS48" s="176">
        <f>((($W$39)^Q48)*((1-($W$39))^($U$35-Q48))*HLOOKUP($U$35,$AV$24:$BF$34,Q48+1))*V49</f>
        <v>1.0398969329697035E-4</v>
      </c>
      <c r="AV48" s="14">
        <v>10</v>
      </c>
      <c r="BF48" s="31">
        <f t="shared" si="36"/>
        <v>1</v>
      </c>
      <c r="BI48" s="31">
        <f>BI43+1</f>
        <v>5</v>
      </c>
      <c r="BJ48" s="31">
        <v>10</v>
      </c>
      <c r="BK48" s="107">
        <f>$H$30*H49</f>
        <v>1.0085131562817805E-4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2.732426061128947E-3</v>
      </c>
      <c r="I49" s="94">
        <v>10</v>
      </c>
      <c r="J49" s="89">
        <f t="shared" si="31"/>
        <v>2.1378674356665328E-5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9.765625E-4</v>
      </c>
      <c r="S49" s="72">
        <v>10</v>
      </c>
      <c r="T49" s="175">
        <f t="shared" si="35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2.1378674356665328E-5</v>
      </c>
      <c r="BI49" s="31">
        <f>BQ14+1</f>
        <v>6</v>
      </c>
      <c r="BJ49" s="31">
        <v>0</v>
      </c>
      <c r="BK49" s="107">
        <f>$H$31*H39</f>
        <v>2.0347734506252732E-5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58"/>
      <c r="J50" s="258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58"/>
      <c r="X50" s="157"/>
      <c r="Y50" s="157"/>
      <c r="BI50" s="31">
        <f>BI45+1</f>
        <v>6</v>
      </c>
      <c r="BJ50" s="31">
        <v>7</v>
      </c>
      <c r="BK50" s="107">
        <f>$H$31*H46</f>
        <v>9.3696047557719115E-4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3.9169438365855772E-4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1.2002189968329299E-4</v>
      </c>
    </row>
    <row r="53" spans="1:63" x14ac:dyDescent="0.25">
      <c r="BI53" s="31">
        <f>BI48+1</f>
        <v>6</v>
      </c>
      <c r="BJ53" s="31">
        <v>10</v>
      </c>
      <c r="BK53" s="107">
        <f>$H$31*H49</f>
        <v>2.6262952335914864E-5</v>
      </c>
    </row>
    <row r="54" spans="1:63" x14ac:dyDescent="0.25">
      <c r="BI54" s="31">
        <f>BI51+1</f>
        <v>7</v>
      </c>
      <c r="BJ54" s="31">
        <v>8</v>
      </c>
      <c r="BK54" s="107">
        <f>$H$32*H47</f>
        <v>7.6243772766841343E-5</v>
      </c>
    </row>
    <row r="55" spans="1:63" x14ac:dyDescent="0.25">
      <c r="BI55" s="31">
        <f>BI52+1</f>
        <v>7</v>
      </c>
      <c r="BJ55" s="31">
        <v>9</v>
      </c>
      <c r="BK55" s="107">
        <f>$H$32*H48</f>
        <v>2.3362404027918185E-5</v>
      </c>
    </row>
    <row r="56" spans="1:63" x14ac:dyDescent="0.25">
      <c r="BI56" s="31">
        <f>BI53+1</f>
        <v>7</v>
      </c>
      <c r="BJ56" s="31">
        <v>10</v>
      </c>
      <c r="BK56" s="107">
        <f>$H$32*H49</f>
        <v>5.1121145812276198E-6</v>
      </c>
    </row>
    <row r="57" spans="1:63" x14ac:dyDescent="0.25">
      <c r="BI57" s="31">
        <f>BI55+1</f>
        <v>8</v>
      </c>
      <c r="BJ57" s="31">
        <v>9</v>
      </c>
      <c r="BK57" s="107">
        <f>$H$33*H48</f>
        <v>3.3990511695860159E-6</v>
      </c>
    </row>
    <row r="58" spans="1:63" x14ac:dyDescent="0.25">
      <c r="BI58" s="31">
        <f>BI56+1</f>
        <v>8</v>
      </c>
      <c r="BJ58" s="31">
        <v>10</v>
      </c>
      <c r="BK58" s="107">
        <f>$H$33*H49</f>
        <v>7.4377358706812271E-7</v>
      </c>
    </row>
    <row r="59" spans="1:63" x14ac:dyDescent="0.25">
      <c r="BI59" s="31">
        <f>BI58+1</f>
        <v>9</v>
      </c>
      <c r="BJ59" s="31">
        <v>10</v>
      </c>
      <c r="BK59" s="107">
        <f>$H$34*H49</f>
        <v>7.989143131206221E-8</v>
      </c>
    </row>
  </sheetData>
  <mergeCells count="1"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AJ4" sqref="AJ4:AJ1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181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3"/>
      <c r="Q1" s="297"/>
      <c r="R1" s="297"/>
      <c r="S1" s="186"/>
      <c r="T1" s="186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7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181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3.5750000000000002</v>
      </c>
      <c r="O2" s="208"/>
      <c r="P2" s="210"/>
      <c r="Q2" s="210"/>
      <c r="R2" s="166">
        <f>SUM(R4:R15)</f>
        <v>1.6799999999999997</v>
      </c>
      <c r="S2" s="166">
        <f>SUM(S4:S15)</f>
        <v>3.5750000000000006</v>
      </c>
      <c r="T2" s="219">
        <f t="shared" ref="T2:U2" si="0">SUM(T4:T15)</f>
        <v>1.6724879535147399</v>
      </c>
      <c r="U2" s="219">
        <f t="shared" si="0"/>
        <v>0.83852395124716561</v>
      </c>
      <c r="V2" s="157"/>
      <c r="W2" s="157"/>
      <c r="X2" s="253">
        <f t="shared" ref="X2:Y2" si="1">SUM(X4:X15)</f>
        <v>0.83719143282312936</v>
      </c>
      <c r="Y2" s="254">
        <f t="shared" si="1"/>
        <v>0.50404156037414971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191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42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42" t="s">
        <v>151</v>
      </c>
      <c r="F4" s="242" t="s">
        <v>151</v>
      </c>
      <c r="G4" s="242" t="s">
        <v>151</v>
      </c>
      <c r="H4" s="242" t="s">
        <v>151</v>
      </c>
      <c r="I4" s="242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5" si="2">IF(P4+Q4=0,0,N4)</f>
        <v>0</v>
      </c>
      <c r="S4" s="221">
        <f t="shared" ref="S4:S15" si="3">R4*$N$2/$R$2</f>
        <v>0</v>
      </c>
      <c r="T4" s="226">
        <f t="shared" ref="T4:T9" si="4">IF(S4=0,0,IF(Q4=0,S4*P4/L4,S4*P4/(L4*2)))</f>
        <v>0</v>
      </c>
      <c r="U4" s="228">
        <f t="shared" ref="U4:U9" si="5">IF(S4=0,0,IF(P4=0,S4*Q4/L4,S4*Q4/(L4*2)))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 t="shared" ref="AA4:AA14" si="6">X5</f>
        <v>0</v>
      </c>
      <c r="AB4" s="245">
        <f t="shared" ref="AB4:AB15" si="7">(1-AA4)</f>
        <v>1</v>
      </c>
      <c r="AC4" s="245">
        <f>AA4*AB3*PRODUCT(AB5:AB17)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5" si="8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42" t="s">
        <v>1</v>
      </c>
      <c r="F5" s="242" t="s">
        <v>151</v>
      </c>
      <c r="G5" s="242" t="s">
        <v>138</v>
      </c>
      <c r="H5" s="242" t="s">
        <v>151</v>
      </c>
      <c r="I5" s="242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10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2"/>
        <v>0</v>
      </c>
      <c r="S5" s="221">
        <f t="shared" si="3"/>
        <v>0</v>
      </c>
      <c r="T5" s="226">
        <f t="shared" si="4"/>
        <v>0</v>
      </c>
      <c r="U5" s="228">
        <f t="shared" si="5"/>
        <v>0</v>
      </c>
      <c r="V5" s="218">
        <f>$G$17</f>
        <v>0.56999999999999995</v>
      </c>
      <c r="W5" s="216">
        <f>$H$17</f>
        <v>0.56999999999999995</v>
      </c>
      <c r="X5" s="251">
        <f t="shared" ref="X5:Y15" si="11">V5*T5</f>
        <v>0</v>
      </c>
      <c r="Y5" s="252">
        <f t="shared" si="11"/>
        <v>0</v>
      </c>
      <c r="Z5" s="199"/>
      <c r="AA5" s="244">
        <f t="shared" si="6"/>
        <v>0</v>
      </c>
      <c r="AB5" s="245">
        <f t="shared" si="7"/>
        <v>1</v>
      </c>
      <c r="AC5" s="245">
        <f>AA5*PRODUCT(AB3:AB4)*PRODUCT(AB6:AB17)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5" si="12">Y5</f>
        <v>0</v>
      </c>
      <c r="AH5" s="247">
        <f t="shared" si="8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31</v>
      </c>
      <c r="B6" s="232">
        <v>10</v>
      </c>
      <c r="C6" s="233">
        <v>11</v>
      </c>
      <c r="E6" s="211"/>
      <c r="F6" s="242" t="s">
        <v>1</v>
      </c>
      <c r="G6" s="242" t="s">
        <v>151</v>
      </c>
      <c r="H6" s="242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10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2"/>
        <v>0</v>
      </c>
      <c r="S6" s="221">
        <f t="shared" si="3"/>
        <v>0</v>
      </c>
      <c r="T6" s="226">
        <f t="shared" si="4"/>
        <v>0</v>
      </c>
      <c r="U6" s="228">
        <f t="shared" si="5"/>
        <v>0</v>
      </c>
      <c r="V6" s="218">
        <f>$G$18</f>
        <v>0.45</v>
      </c>
      <c r="W6" s="216">
        <f>$H$18</f>
        <v>0.45</v>
      </c>
      <c r="X6" s="251">
        <f t="shared" si="11"/>
        <v>0</v>
      </c>
      <c r="Y6" s="252">
        <f t="shared" si="11"/>
        <v>0</v>
      </c>
      <c r="Z6" s="199"/>
      <c r="AA6" s="244">
        <f t="shared" si="6"/>
        <v>0</v>
      </c>
      <c r="AB6" s="245">
        <f t="shared" si="7"/>
        <v>1</v>
      </c>
      <c r="AC6" s="245">
        <f>AA6*PRODUCT(AB3:AB5)*PRODUCT(AB7:AB17)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2"/>
        <v>0</v>
      </c>
      <c r="AH6" s="247">
        <f t="shared" si="8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36</v>
      </c>
      <c r="B7" s="232">
        <v>10</v>
      </c>
      <c r="C7" s="233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0.02</v>
      </c>
      <c r="N7" s="222">
        <f t="shared" si="10"/>
        <v>0.02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2"/>
        <v>0</v>
      </c>
      <c r="S7" s="221">
        <f t="shared" si="3"/>
        <v>0</v>
      </c>
      <c r="T7" s="226">
        <f t="shared" si="4"/>
        <v>0</v>
      </c>
      <c r="U7" s="228">
        <f t="shared" si="5"/>
        <v>0</v>
      </c>
      <c r="V7" s="218">
        <f>$G$18</f>
        <v>0.45</v>
      </c>
      <c r="W7" s="216">
        <f>$H$18</f>
        <v>0.45</v>
      </c>
      <c r="X7" s="251">
        <f t="shared" si="11"/>
        <v>0</v>
      </c>
      <c r="Y7" s="252">
        <f t="shared" si="11"/>
        <v>0</v>
      </c>
      <c r="Z7" s="199"/>
      <c r="AA7" s="244">
        <f t="shared" si="6"/>
        <v>0.30323660714285722</v>
      </c>
      <c r="AB7" s="245">
        <f t="shared" si="7"/>
        <v>0.69676339285714284</v>
      </c>
      <c r="AC7" s="245">
        <f>AA7*PRODUCT(AB3:AB6)*PRODUCT(AB8:AB17)</f>
        <v>0.16651377767806427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183"/>
      <c r="AF7" s="197"/>
      <c r="AG7" s="246">
        <f t="shared" si="12"/>
        <v>0</v>
      </c>
      <c r="AH7" s="247">
        <f t="shared" si="8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39</v>
      </c>
      <c r="B8" s="232">
        <v>10</v>
      </c>
      <c r="C8" s="233">
        <v>12</v>
      </c>
      <c r="E8" s="213"/>
      <c r="F8" s="214"/>
      <c r="G8" s="243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10"/>
        <v>0.5</v>
      </c>
      <c r="O8" s="209" t="s">
        <v>170</v>
      </c>
      <c r="P8" s="212">
        <f>COUNTIF(E5:I6,"RAP")</f>
        <v>4</v>
      </c>
      <c r="Q8" s="214">
        <f>COUNTIF(E10:I11,"RAP")</f>
        <v>0</v>
      </c>
      <c r="R8" s="221">
        <f t="shared" si="2"/>
        <v>0.5</v>
      </c>
      <c r="S8" s="221">
        <f t="shared" si="3"/>
        <v>1.0639880952380956</v>
      </c>
      <c r="T8" s="226">
        <f t="shared" si="4"/>
        <v>0.53199404761904778</v>
      </c>
      <c r="U8" s="228">
        <f t="shared" si="5"/>
        <v>0</v>
      </c>
      <c r="V8" s="218">
        <f>$G$17</f>
        <v>0.56999999999999995</v>
      </c>
      <c r="W8" s="216">
        <f>$H$17</f>
        <v>0.56999999999999995</v>
      </c>
      <c r="X8" s="251">
        <f t="shared" si="11"/>
        <v>0.30323660714285722</v>
      </c>
      <c r="Y8" s="252">
        <f t="shared" si="11"/>
        <v>0</v>
      </c>
      <c r="Z8" s="199"/>
      <c r="AA8" s="244">
        <f t="shared" si="6"/>
        <v>0.30323660714285722</v>
      </c>
      <c r="AB8" s="245">
        <f t="shared" si="7"/>
        <v>0.69676339285714284</v>
      </c>
      <c r="AC8" s="245">
        <f>AA8*PRODUCT(AB3:AB7)*PRODUCT(AB9:AB17)</f>
        <v>0.16651377767806425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183"/>
      <c r="AF8" s="197"/>
      <c r="AG8" s="246">
        <f t="shared" si="12"/>
        <v>0</v>
      </c>
      <c r="AH8" s="247">
        <f t="shared" si="8"/>
        <v>1</v>
      </c>
      <c r="AI8" s="247">
        <f>AG8*PRODUCT(AH3:AH7)*PRODUCT(AH9:AH17)</f>
        <v>0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42</v>
      </c>
      <c r="B9" s="232">
        <v>10</v>
      </c>
      <c r="C9" s="233">
        <v>12</v>
      </c>
      <c r="E9" s="243" t="s">
        <v>151</v>
      </c>
      <c r="F9" s="243" t="s">
        <v>151</v>
      </c>
      <c r="G9" s="243" t="s">
        <v>151</v>
      </c>
      <c r="H9" s="243" t="s">
        <v>151</v>
      </c>
      <c r="I9" s="243" t="s">
        <v>151</v>
      </c>
      <c r="J9" s="208"/>
      <c r="K9" s="209">
        <v>16</v>
      </c>
      <c r="L9" s="209">
        <v>8</v>
      </c>
      <c r="M9" s="222">
        <v>0.5</v>
      </c>
      <c r="N9" s="222">
        <f t="shared" si="10"/>
        <v>0.5</v>
      </c>
      <c r="O9" s="209" t="s">
        <v>171</v>
      </c>
      <c r="P9" s="212">
        <f>COUNTIF(E5:I6,"RAP")</f>
        <v>4</v>
      </c>
      <c r="Q9" s="214">
        <f>COUNTIF(E10:I11,"RAP")</f>
        <v>0</v>
      </c>
      <c r="R9" s="221">
        <f t="shared" si="2"/>
        <v>0.5</v>
      </c>
      <c r="S9" s="221">
        <f t="shared" si="3"/>
        <v>1.0639880952380956</v>
      </c>
      <c r="T9" s="226">
        <f t="shared" si="4"/>
        <v>0.53199404761904778</v>
      </c>
      <c r="U9" s="228">
        <f t="shared" si="5"/>
        <v>0</v>
      </c>
      <c r="V9" s="218">
        <f>$G$17</f>
        <v>0.56999999999999995</v>
      </c>
      <c r="W9" s="216">
        <f>$H$17</f>
        <v>0.56999999999999995</v>
      </c>
      <c r="X9" s="251">
        <f t="shared" si="11"/>
        <v>0.30323660714285722</v>
      </c>
      <c r="Y9" s="252">
        <f t="shared" si="11"/>
        <v>0</v>
      </c>
      <c r="Z9" s="199"/>
      <c r="AA9" s="244">
        <f t="shared" si="6"/>
        <v>6.8399234693877556E-2</v>
      </c>
      <c r="AB9" s="245">
        <f t="shared" si="7"/>
        <v>0.93160076530612246</v>
      </c>
      <c r="AC9" s="245">
        <f>AA9*PRODUCT(AB3:AB8)*PRODUCT(AB10:AB17)</f>
        <v>2.8091522398663849E-2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183"/>
      <c r="AF9" s="197"/>
      <c r="AG9" s="246">
        <f t="shared" si="12"/>
        <v>0</v>
      </c>
      <c r="AH9" s="247">
        <f t="shared" si="8"/>
        <v>1</v>
      </c>
      <c r="AI9" s="247">
        <f>AG9*PRODUCT(AH3:AH8)*PRODUCT(AH10:AH17)</f>
        <v>0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45</v>
      </c>
      <c r="B10" s="232">
        <v>9</v>
      </c>
      <c r="C10" s="233">
        <v>14</v>
      </c>
      <c r="E10" s="243" t="s">
        <v>151</v>
      </c>
      <c r="F10" s="243" t="s">
        <v>138</v>
      </c>
      <c r="G10" s="243" t="s">
        <v>151</v>
      </c>
      <c r="H10" s="243" t="s">
        <v>138</v>
      </c>
      <c r="I10" s="243" t="s">
        <v>151</v>
      </c>
      <c r="J10" s="208"/>
      <c r="K10" s="209">
        <v>18</v>
      </c>
      <c r="L10" s="209" t="s">
        <v>172</v>
      </c>
      <c r="M10" s="222">
        <v>0.15</v>
      </c>
      <c r="N10" s="222">
        <f t="shared" si="10"/>
        <v>0.15</v>
      </c>
      <c r="O10" s="209" t="s">
        <v>173</v>
      </c>
      <c r="P10" s="212">
        <v>1</v>
      </c>
      <c r="Q10" s="214">
        <v>1</v>
      </c>
      <c r="R10" s="221">
        <f t="shared" si="2"/>
        <v>0.15</v>
      </c>
      <c r="S10" s="221">
        <f t="shared" si="3"/>
        <v>0.3191964285714286</v>
      </c>
      <c r="T10" s="226">
        <f>S10*G13</f>
        <v>0.15199829931972789</v>
      </c>
      <c r="U10" s="228">
        <f>S10*G14</f>
        <v>0.16719812925170072</v>
      </c>
      <c r="V10" s="218">
        <f>$G$18</f>
        <v>0.45</v>
      </c>
      <c r="W10" s="216">
        <f>$H$18</f>
        <v>0.45</v>
      </c>
      <c r="X10" s="251">
        <f t="shared" si="11"/>
        <v>6.8399234693877556E-2</v>
      </c>
      <c r="Y10" s="252">
        <f t="shared" si="11"/>
        <v>7.5239158163265318E-2</v>
      </c>
      <c r="Z10" s="199"/>
      <c r="AA10" s="244">
        <f t="shared" si="6"/>
        <v>3.4959608843537417E-2</v>
      </c>
      <c r="AB10" s="245">
        <f t="shared" si="7"/>
        <v>0.96504039115646256</v>
      </c>
      <c r="AC10" s="245">
        <f>AA10*PRODUCT(AB3:AB9)*PRODUCT(AB11:AB17)</f>
        <v>1.3860373838941585E-2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183"/>
      <c r="AF10" s="197"/>
      <c r="AG10" s="246">
        <f t="shared" si="12"/>
        <v>7.5239158163265318E-2</v>
      </c>
      <c r="AH10" s="247">
        <f t="shared" si="8"/>
        <v>0.92476084183673468</v>
      </c>
      <c r="AI10" s="247">
        <f>AG10*PRODUCT(AH3:AH9)*PRODUCT(AH11:AH17)</f>
        <v>4.7122411477524759E-2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48</v>
      </c>
      <c r="B11" s="232">
        <v>9</v>
      </c>
      <c r="C11" s="233">
        <v>14</v>
      </c>
      <c r="E11" s="213"/>
      <c r="F11" s="243" t="s">
        <v>138</v>
      </c>
      <c r="G11" s="243" t="s">
        <v>151</v>
      </c>
      <c r="H11" s="243" t="s">
        <v>151</v>
      </c>
      <c r="I11" s="213"/>
      <c r="J11" s="208"/>
      <c r="K11" s="209">
        <v>19</v>
      </c>
      <c r="L11" s="209" t="s">
        <v>172</v>
      </c>
      <c r="M11" s="222">
        <v>0.23</v>
      </c>
      <c r="N11" s="222">
        <f t="shared" si="10"/>
        <v>0.23</v>
      </c>
      <c r="O11" s="209" t="s">
        <v>174</v>
      </c>
      <c r="P11" s="212">
        <f>COUNTIF(E4:I6,"CAB")</f>
        <v>1</v>
      </c>
      <c r="Q11" s="214">
        <f>COUNTIF(E9:I11,"CAB")</f>
        <v>3</v>
      </c>
      <c r="R11" s="221">
        <f t="shared" si="2"/>
        <v>0.23</v>
      </c>
      <c r="S11" s="221">
        <f t="shared" si="3"/>
        <v>0.4894345238095239</v>
      </c>
      <c r="T11" s="226">
        <f>IF(P11&gt;0,S11*G13,0)</f>
        <v>0.23306405895691612</v>
      </c>
      <c r="U11" s="228">
        <f>IF(Q11&gt;0,S11*G14,0)</f>
        <v>0.25637046485260778</v>
      </c>
      <c r="V11" s="218">
        <f>IF(P11-Q11&gt;2,0.9,IF(P11-Q11&gt;1,0.75,IF(P11-Q11&gt;0,0.5,0.15)))</f>
        <v>0.15</v>
      </c>
      <c r="W11" s="216">
        <f>IF(Q11-P11&gt;2,0.9,IF(Q11-P11&gt;1,0.75,IF(Q11-P11&gt;0,0.5,0.15)))</f>
        <v>0.75</v>
      </c>
      <c r="X11" s="251">
        <f t="shared" si="11"/>
        <v>3.4959608843537417E-2</v>
      </c>
      <c r="Y11" s="252">
        <f t="shared" si="11"/>
        <v>0.19227784863945585</v>
      </c>
      <c r="Z11" s="199"/>
      <c r="AA11" s="244">
        <f t="shared" si="6"/>
        <v>0</v>
      </c>
      <c r="AB11" s="245">
        <f t="shared" si="7"/>
        <v>1</v>
      </c>
      <c r="AC11" s="245">
        <f>AA11*PRODUCT(AB3:AB10)*PRODUCT(AB12:AB17)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2"/>
        <v>0.19227784863945585</v>
      </c>
      <c r="AH11" s="247">
        <f t="shared" si="8"/>
        <v>0.80772215136054415</v>
      </c>
      <c r="AI11" s="247">
        <f>AG11*PRODUCT(AH3:AH10)*PRODUCT(AH12:AH17)</f>
        <v>0.1378733322509218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52</v>
      </c>
      <c r="B12" s="232">
        <v>9</v>
      </c>
      <c r="C12" s="233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2.5000000000000001E-2</v>
      </c>
      <c r="N12" s="222">
        <f t="shared" si="10"/>
        <v>2.5000000000000001E-2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2"/>
        <v>0</v>
      </c>
      <c r="S12" s="221">
        <f t="shared" si="3"/>
        <v>0</v>
      </c>
      <c r="T12" s="226">
        <f>IF(S12=0,0,IF(Q12=0,S12*P12/L12,S12*P12/(L12*2)))</f>
        <v>0</v>
      </c>
      <c r="U12" s="228">
        <f>IF(S12=0,0,IF(P12=0,S12*Q12/L12,S12*Q12/(L12*2)))</f>
        <v>0</v>
      </c>
      <c r="V12" s="218">
        <f>$G$18</f>
        <v>0.45</v>
      </c>
      <c r="W12" s="216">
        <f>$H$18</f>
        <v>0.45</v>
      </c>
      <c r="X12" s="251">
        <f t="shared" si="11"/>
        <v>0</v>
      </c>
      <c r="Y12" s="252">
        <f t="shared" si="11"/>
        <v>0</v>
      </c>
      <c r="Z12" s="199"/>
      <c r="AA12" s="244">
        <f t="shared" si="6"/>
        <v>5.4582589285714286E-2</v>
      </c>
      <c r="AB12" s="245">
        <f t="shared" si="7"/>
        <v>0.94541741071428576</v>
      </c>
      <c r="AC12" s="245">
        <f>AA12*PRODUCT(AB3:AB11)*PRODUCT(AB13:AB17)</f>
        <v>2.2089424848711934E-2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183"/>
      <c r="AF12" s="197"/>
      <c r="AG12" s="246">
        <f t="shared" si="12"/>
        <v>0</v>
      </c>
      <c r="AH12" s="247">
        <f t="shared" si="8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55</v>
      </c>
      <c r="B13" s="232">
        <v>9</v>
      </c>
      <c r="C13" s="233">
        <v>9</v>
      </c>
      <c r="E13" s="210"/>
      <c r="F13" s="210" t="s">
        <v>152</v>
      </c>
      <c r="G13" s="217">
        <f>B22</f>
        <v>0.47619047619047616</v>
      </c>
      <c r="H13" s="210"/>
      <c r="I13" s="210"/>
      <c r="J13" s="208"/>
      <c r="K13" s="209">
        <v>37</v>
      </c>
      <c r="L13" s="209">
        <v>2</v>
      </c>
      <c r="M13" s="222">
        <v>0.18</v>
      </c>
      <c r="N13" s="222">
        <f t="shared" si="10"/>
        <v>0.18</v>
      </c>
      <c r="O13" s="209" t="s">
        <v>175</v>
      </c>
      <c r="P13" s="212">
        <f>COUNTIF(E5:I6,"CAB")</f>
        <v>1</v>
      </c>
      <c r="Q13" s="214">
        <f>COUNTIF(E10:I11,"CAB")</f>
        <v>3</v>
      </c>
      <c r="R13" s="221">
        <f t="shared" si="2"/>
        <v>0.18</v>
      </c>
      <c r="S13" s="221">
        <f t="shared" si="3"/>
        <v>0.38303571428571431</v>
      </c>
      <c r="T13" s="226">
        <f>IF((Q13+P13)=0,0,S13*P13/(Q13+P13))</f>
        <v>9.5758928571428578E-2</v>
      </c>
      <c r="U13" s="228">
        <f>IF(P13+Q13=0,0,S13*Q13/(Q13+P13))</f>
        <v>0.28727678571428572</v>
      </c>
      <c r="V13" s="218">
        <f>$G$17</f>
        <v>0.56999999999999995</v>
      </c>
      <c r="W13" s="216">
        <f>$H$17</f>
        <v>0.56999999999999995</v>
      </c>
      <c r="X13" s="251">
        <f t="shared" si="11"/>
        <v>5.4582589285714286E-2</v>
      </c>
      <c r="Y13" s="252">
        <f t="shared" si="11"/>
        <v>0.16374776785714285</v>
      </c>
      <c r="Z13" s="199"/>
      <c r="AA13" s="244">
        <f t="shared" si="6"/>
        <v>7.2776785714285724E-2</v>
      </c>
      <c r="AB13" s="245">
        <f t="shared" si="7"/>
        <v>0.9272232142857143</v>
      </c>
      <c r="AC13" s="245">
        <f>AA13*PRODUCT(AB3:AB12)*PRODUCT(AB14:AB17)</f>
        <v>3.0030491792241279E-2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2"/>
        <v>0.16374776785714285</v>
      </c>
      <c r="AH13" s="247">
        <f t="shared" si="8"/>
        <v>0.83625223214285715</v>
      </c>
      <c r="AI13" s="247">
        <f>AG13*PRODUCT(AH3:AH12)*PRODUCT(AH14:AH17)</f>
        <v>0.11340993716565342</v>
      </c>
      <c r="AJ13" s="247">
        <f>AG13*AG14*PRODUCT(AH3:AH12)*PRODUCT(AH15:AH17)+AG13*AG15*PRODUCT(AH3:AH12)*AH14*PRODUCT(AH16:AH17)+AG13*AG16*PRODUCT(AH3:AH12)*AH14*AH15*AH17+AG13*AG17*PRODUCT(AH3:AH12)*AH14*AH15*AH16</f>
        <v>8.9014280141093433E-3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58</v>
      </c>
      <c r="B14" s="232">
        <v>4</v>
      </c>
      <c r="C14" s="233">
        <v>4</v>
      </c>
      <c r="E14" s="210"/>
      <c r="F14" s="210" t="s">
        <v>153</v>
      </c>
      <c r="G14" s="215">
        <f>C22</f>
        <v>0.52380952380952384</v>
      </c>
      <c r="H14" s="210"/>
      <c r="I14" s="210"/>
      <c r="J14" s="208"/>
      <c r="K14" s="209">
        <v>38</v>
      </c>
      <c r="L14" s="209">
        <v>2</v>
      </c>
      <c r="M14" s="222">
        <v>0.12</v>
      </c>
      <c r="N14" s="222">
        <f t="shared" si="10"/>
        <v>0.12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2"/>
        <v>0.12</v>
      </c>
      <c r="S14" s="221">
        <f t="shared" si="3"/>
        <v>0.25535714285714289</v>
      </c>
      <c r="T14" s="226">
        <f>S14*P14/(Q14+P14)</f>
        <v>0.12767857142857145</v>
      </c>
      <c r="U14" s="228">
        <f>S14*Q14/(Q14+P14)</f>
        <v>0.12767857142857145</v>
      </c>
      <c r="V14" s="218">
        <f>$G$17</f>
        <v>0.56999999999999995</v>
      </c>
      <c r="W14" s="216">
        <f>$H$17</f>
        <v>0.56999999999999995</v>
      </c>
      <c r="X14" s="251">
        <f t="shared" si="11"/>
        <v>7.2776785714285724E-2</v>
      </c>
      <c r="Y14" s="252">
        <f t="shared" si="11"/>
        <v>7.2776785714285724E-2</v>
      </c>
      <c r="Z14" s="199"/>
      <c r="AA14" s="244">
        <f t="shared" si="6"/>
        <v>0</v>
      </c>
      <c r="AB14" s="245">
        <f t="shared" si="7"/>
        <v>1</v>
      </c>
      <c r="AC14" s="245">
        <f>AA14*PRODUCT(AB3:AB13)*PRODUCT(AB15:AB17)</f>
        <v>0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2"/>
        <v>7.2776785714285724E-2</v>
      </c>
      <c r="AH14" s="247">
        <f t="shared" si="8"/>
        <v>0.9272232142857143</v>
      </c>
      <c r="AI14" s="247">
        <f>AG14*PRODUCT(AH3:AH13)*PRODUCT(AH15:AH17)</f>
        <v>4.5459178732451901E-2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62" t="s">
        <v>62</v>
      </c>
      <c r="B15" s="234">
        <v>5</v>
      </c>
      <c r="C15" s="235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10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 t="shared" si="2"/>
        <v>0</v>
      </c>
      <c r="S15" s="221">
        <f t="shared" si="3"/>
        <v>0</v>
      </c>
      <c r="T15" s="226">
        <f>IF(COUNTIF(F10:H10,"CAB") + COUNTIF(E9:I9,"CAB") =0,0, IF(S15=0,0,IF(Q15=0,S15*P15/L15,S15*P15/(L15*2))))</f>
        <v>0</v>
      </c>
      <c r="U15" s="228">
        <f>IF( COUNTIF(F5:H5,"CAB") + COUNTIF(E4:I4,"CAB") =0,0,IF(S15=0,0,IF(P15=0,S15*Q15/L15,S15*Q15/(L15*2))))</f>
        <v>0</v>
      </c>
      <c r="V15" s="218">
        <f>$G$17</f>
        <v>0.56999999999999995</v>
      </c>
      <c r="W15" s="216">
        <f>$H$17</f>
        <v>0.56999999999999995</v>
      </c>
      <c r="X15" s="251">
        <f t="shared" si="11"/>
        <v>0</v>
      </c>
      <c r="Y15" s="252">
        <f t="shared" si="11"/>
        <v>0</v>
      </c>
      <c r="Z15" s="199"/>
      <c r="AA15" s="244">
        <f>X16</f>
        <v>0</v>
      </c>
      <c r="AB15" s="245">
        <f t="shared" si="7"/>
        <v>1</v>
      </c>
      <c r="AC15" s="245">
        <f>AA15*PRODUCT(AB3:AB14)*PRODUCT(AB16:AB17)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2"/>
        <v>0</v>
      </c>
      <c r="AH15" s="247">
        <f t="shared" si="8"/>
        <v>1</v>
      </c>
      <c r="AI15" s="247">
        <f>AG15*PRODUCT(AH3:AH14)*PRODUCT(AH16:AH17)</f>
        <v>0</v>
      </c>
      <c r="AJ15" s="247">
        <f>AG15*AG16*PRODUCT(AH3:AH14)*AH17+AG15*AG17*PRODUCT(AH3:AH14)*AH16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40">
        <v>0.7</v>
      </c>
      <c r="H16" s="241">
        <v>0.7</v>
      </c>
      <c r="I16" s="210"/>
      <c r="J16" s="208"/>
      <c r="K16" s="208"/>
      <c r="L16" s="208"/>
      <c r="M16" s="208"/>
      <c r="N16" s="208"/>
      <c r="O16" s="208"/>
      <c r="P16" s="210"/>
      <c r="Q16" s="210"/>
      <c r="V16" s="157"/>
      <c r="W16" s="157"/>
      <c r="X16" s="157"/>
      <c r="Y16" s="157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61" t="s">
        <v>69</v>
      </c>
      <c r="B17" s="236" t="s">
        <v>70</v>
      </c>
      <c r="C17" s="237" t="s">
        <v>70</v>
      </c>
      <c r="E17" s="210"/>
      <c r="F17" s="210" t="s">
        <v>154</v>
      </c>
      <c r="G17" s="240">
        <v>0.56999999999999995</v>
      </c>
      <c r="H17" s="241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61" t="s">
        <v>73</v>
      </c>
      <c r="B18" s="236">
        <v>20</v>
      </c>
      <c r="C18" s="237">
        <v>20</v>
      </c>
      <c r="E18" s="210"/>
      <c r="F18" s="209" t="s">
        <v>3</v>
      </c>
      <c r="G18" s="240">
        <v>0.45</v>
      </c>
      <c r="H18" s="241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0.38260784469788545</v>
      </c>
      <c r="AC18" s="159">
        <f>SUM(AC3:AC17)</f>
        <v>0.42709936823468714</v>
      </c>
      <c r="AD18" s="159">
        <f>SUM(AD3:AD17)</f>
        <v>0.16281576428542216</v>
      </c>
      <c r="AE18" s="159">
        <f>1-AB18-AC18-AD18</f>
        <v>2.7477022782005256E-2</v>
      </c>
      <c r="AF18" s="197"/>
      <c r="AG18" s="157"/>
      <c r="AH18" s="160">
        <f>PRODUCT(AH3:AH17)</f>
        <v>0.57917927275014069</v>
      </c>
      <c r="AI18" s="159">
        <f>SUM(AI3:AI17)</f>
        <v>0.34386485962655194</v>
      </c>
      <c r="AJ18" s="159">
        <f>SUM(AJ3:AJ17)</f>
        <v>7.0863303781438375E-2</v>
      </c>
      <c r="AK18" s="159">
        <f>1-AH18-AI18-AJ18</f>
        <v>6.0925638418689865E-3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81</v>
      </c>
      <c r="B22" s="169">
        <f>(B6)/((B6)+(C6))</f>
        <v>0.47619047619047616</v>
      </c>
      <c r="C22" s="170">
        <f>1-B22</f>
        <v>0.52380952380952384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82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29">
        <f>SUM(H25:H35)</f>
        <v>0.99999993956596989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0.99999999999999989</v>
      </c>
      <c r="O23" s="81"/>
      <c r="P23" s="229">
        <f>SUM(P25:P35)</f>
        <v>0.99999999999999989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0.99974931781276</v>
      </c>
      <c r="Y23" s="168">
        <f>SUM(Y25:Y35)</f>
        <v>3.3765445915655752E-3</v>
      </c>
      <c r="Z23" s="81"/>
      <c r="AA23" s="168">
        <f>SUM(AA25:AA35)</f>
        <v>2.5873660086668103E-2</v>
      </c>
      <c r="AB23" s="81"/>
      <c r="AC23" s="168">
        <f>SUM(AC25:AC35)</f>
        <v>8.9231628252390352E-2</v>
      </c>
      <c r="AD23" s="81"/>
      <c r="AE23" s="168">
        <f>SUM(AE25:AE35)</f>
        <v>0.18239905448332949</v>
      </c>
      <c r="AF23" s="81"/>
      <c r="AG23" s="168">
        <f>SUM(AG25:AG35)</f>
        <v>0.24474801787537889</v>
      </c>
      <c r="AH23" s="81"/>
      <c r="AI23" s="168">
        <f>SUM(AI25:AI35)</f>
        <v>0.22529102499748441</v>
      </c>
      <c r="AJ23" s="81"/>
      <c r="AK23" s="168">
        <f>SUM(AK25:AK35)</f>
        <v>0.14411233921871039</v>
      </c>
      <c r="AL23" s="81"/>
      <c r="AM23" s="168">
        <f>SUM(AM25:AM35)</f>
        <v>6.3287220894066035E-2</v>
      </c>
      <c r="AN23" s="81"/>
      <c r="AO23" s="168">
        <f>SUM(AO25:AO35)</f>
        <v>1.8281965297063971E-2</v>
      </c>
      <c r="AP23" s="81"/>
      <c r="AQ23" s="168">
        <f>SUM(AQ25:AQ35)</f>
        <v>3.1478621161027897E-3</v>
      </c>
      <c r="AR23" s="81"/>
      <c r="AS23" s="168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83</v>
      </c>
      <c r="B24" s="64">
        <f>B23/B21</f>
        <v>0.43367603379824315</v>
      </c>
      <c r="C24" s="65">
        <f>C23/B21</f>
        <v>0.56632396620175685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173">
        <f>(1-$B$24)^$B$21</f>
        <v>5.8253859548764761E-2</v>
      </c>
      <c r="O25" s="72">
        <v>0</v>
      </c>
      <c r="P25" s="173">
        <f t="shared" ref="P25:P30" si="18">N25</f>
        <v>5.8253859548764761E-2</v>
      </c>
      <c r="Q25" s="28">
        <v>0</v>
      </c>
      <c r="R25" s="174">
        <f>P25*N25</f>
        <v>3.3935121523272112E-3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176">
        <f>V25</f>
        <v>3.3765445915655752E-3</v>
      </c>
      <c r="Z25" s="28">
        <v>0</v>
      </c>
      <c r="AA25" s="176">
        <f>((1-W25)^Z26)*V26</f>
        <v>1.8569822111388933E-2</v>
      </c>
      <c r="AB25" s="28">
        <v>0</v>
      </c>
      <c r="AC25" s="176">
        <f>(((1-$W$25)^AB27))*V27</f>
        <v>4.596407959974879E-2</v>
      </c>
      <c r="AD25" s="28">
        <v>0</v>
      </c>
      <c r="AE25" s="176">
        <f>(((1-$W$25)^AB28))*V28</f>
        <v>6.7432957582147166E-2</v>
      </c>
      <c r="AF25" s="28">
        <v>0</v>
      </c>
      <c r="AG25" s="176">
        <f>(((1-$W$25)^AB29))*V29</f>
        <v>6.4940956922224E-2</v>
      </c>
      <c r="AH25" s="28">
        <v>0</v>
      </c>
      <c r="AI25" s="176">
        <f>(((1-$W$25)^AB30))*V30</f>
        <v>4.290355372466393E-2</v>
      </c>
      <c r="AJ25" s="28">
        <v>0</v>
      </c>
      <c r="AK25" s="176">
        <f>(((1-$W$25)^AB31))*V31</f>
        <v>1.9697015124709574E-2</v>
      </c>
      <c r="AL25" s="28">
        <v>0</v>
      </c>
      <c r="AM25" s="176">
        <f>(((1-$W$25)^AB32))*V32</f>
        <v>6.2081921588654221E-3</v>
      </c>
      <c r="AN25" s="28">
        <v>0</v>
      </c>
      <c r="AO25" s="176">
        <f>(((1-$W$25)^AB33))*V33</f>
        <v>1.2871284244145504E-3</v>
      </c>
      <c r="AP25" s="28">
        <v>0</v>
      </c>
      <c r="AQ25" s="176">
        <f>(((1-$W$25)^AB34))*V34</f>
        <v>1.5906131811362984E-4</v>
      </c>
      <c r="AR25" s="28">
        <v>0</v>
      </c>
      <c r="AS25" s="176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173">
        <f>(($B$24)^M26)*((1-($B$24))^($B$21-M26))*HLOOKUP($B$21,$AV$24:$BF$34,M26+1)</f>
        <v>0.22304638572851768</v>
      </c>
      <c r="O26" s="72">
        <v>1</v>
      </c>
      <c r="P26" s="173">
        <f t="shared" si="18"/>
        <v>0.22304638572851768</v>
      </c>
      <c r="Q26" s="28">
        <v>1</v>
      </c>
      <c r="R26" s="174">
        <f>N26*P25+P26*N25</f>
        <v>2.5986625654177354E-2</v>
      </c>
      <c r="S26" s="72">
        <v>1</v>
      </c>
      <c r="T26" s="175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177"/>
      <c r="X26" s="28">
        <v>1</v>
      </c>
      <c r="Y26" s="174"/>
      <c r="Z26" s="28">
        <v>1</v>
      </c>
      <c r="AA26" s="176">
        <f>(1-((1-W25)^Z26))*V26</f>
        <v>7.3038379752791704E-3</v>
      </c>
      <c r="AB26" s="28">
        <v>1</v>
      </c>
      <c r="AC26" s="176">
        <f>((($W$25)^M26)*((1-($W$25))^($U$27-M26))*HLOOKUP($U$27,$AV$24:$BF$34,M26+1))*V27</f>
        <v>3.6156963493312655E-2</v>
      </c>
      <c r="AD26" s="28">
        <v>1</v>
      </c>
      <c r="AE26" s="176">
        <f>((($W$25)^M26)*((1-($W$25))^($U$28-M26))*HLOOKUP($U$28,$AV$24:$BF$34,M26+1))*V28</f>
        <v>7.9567708309679325E-2</v>
      </c>
      <c r="AF26" s="28">
        <v>1</v>
      </c>
      <c r="AG26" s="176">
        <f>((($W$25)^M26)*((1-($W$25))^($U$29-M26))*HLOOKUP($U$29,$AV$24:$BF$34,M26+1))*V29</f>
        <v>0.10216968681215476</v>
      </c>
      <c r="AH26" s="28">
        <v>1</v>
      </c>
      <c r="AI26" s="176">
        <f>((($W$25)^M26)*((1-($W$25))^($U$30-M26))*HLOOKUP($U$30,$AV$24:$BF$34,M26+1))*V30</f>
        <v>8.4373615183003139E-2</v>
      </c>
      <c r="AJ26" s="28">
        <v>1</v>
      </c>
      <c r="AK26" s="176">
        <f>((($W$25)^M26)*((1-($W$25))^($U$31-M26))*HLOOKUP($U$31,$AV$24:$BF$34,M26+1))*V31</f>
        <v>4.6483096996153724E-2</v>
      </c>
      <c r="AL26" s="28">
        <v>1</v>
      </c>
      <c r="AM26" s="176">
        <f>((($W$25)^Q26)*((1-($W$25))^($U$32-Q26))*HLOOKUP($U$32,$AV$24:$BF$34,Q26+1))*V32</f>
        <v>1.7092538939271571E-2</v>
      </c>
      <c r="AN26" s="28">
        <v>1</v>
      </c>
      <c r="AO26" s="176">
        <f>((($W$25)^Q26)*((1-($W$25))^($U$33-Q26))*HLOOKUP($U$33,$AV$24:$BF$34,Q26+1))*V33</f>
        <v>4.0500021632558728E-3</v>
      </c>
      <c r="AP26" s="28">
        <v>1</v>
      </c>
      <c r="AQ26" s="176">
        <f>((($W$25)^Q26)*((1-($W$25))^($U$34-Q26))*HLOOKUP($U$34,$AV$24:$BF$34,Q26+1))*V34</f>
        <v>5.6305455151958738E-4</v>
      </c>
      <c r="AR26" s="28">
        <v>1</v>
      </c>
      <c r="AS26" s="176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173">
        <f>(($B$24)^M27)*((1-($B$24))^($B$21-M27))*HLOOKUP($B$21,$AV$24:$BF$34,M27+1)</f>
        <v>0.34160613955481417</v>
      </c>
      <c r="O27" s="72">
        <v>2</v>
      </c>
      <c r="P27" s="173">
        <f t="shared" si="18"/>
        <v>0.34160613955481417</v>
      </c>
      <c r="Q27" s="28">
        <v>2</v>
      </c>
      <c r="R27" s="174">
        <f>P25*N27+P26*N26+P27*N25</f>
        <v>8.9549442335798451E-2</v>
      </c>
      <c r="S27" s="72">
        <v>2</v>
      </c>
      <c r="T27" s="175">
        <f t="shared" si="19"/>
        <v>0</v>
      </c>
      <c r="U27" s="138">
        <v>2</v>
      </c>
      <c r="V27" s="86">
        <f>R27*T25+T26*R26+R25*T27</f>
        <v>8.9231628252390352E-2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7.1105851593288999E-3</v>
      </c>
      <c r="AD27" s="28">
        <v>2</v>
      </c>
      <c r="AE27" s="176">
        <f>((($W$25)^M27)*((1-($W$25))^($U$28-M27))*HLOOKUP($U$28,$AV$24:$BF$34,M27+1))*V28</f>
        <v>3.1295380541192741E-2</v>
      </c>
      <c r="AF27" s="28">
        <v>2</v>
      </c>
      <c r="AG27" s="176">
        <f>((($W$25)^M27)*((1-($W$25))^($U$29-M27))*HLOOKUP($U$29,$AV$24:$BF$34,M27+1))*V29</f>
        <v>6.0277704922385572E-2</v>
      </c>
      <c r="AH27" s="28">
        <v>2</v>
      </c>
      <c r="AI27" s="176">
        <f>((($W$25)^M27)*((1-($W$25))^($U$30-M27))*HLOOKUP($U$30,$AV$24:$BF$34,M27+1))*V30</f>
        <v>6.6371256653800767E-2</v>
      </c>
      <c r="AJ27" s="28">
        <v>2</v>
      </c>
      <c r="AK27" s="176">
        <f>((($W$25)^M27)*((1-($W$25))^($U$31-M27))*HLOOKUP($U$31,$AV$24:$BF$34,M27+1))*V31</f>
        <v>4.5706551066107569E-2</v>
      </c>
      <c r="AL27" s="28">
        <v>2</v>
      </c>
      <c r="AM27" s="176">
        <f>((($W$25)^Q27)*((1-($W$25))^($U$32-Q27))*HLOOKUP($U$32,$AV$24:$BF$34,Q27+1))*V32</f>
        <v>2.0168389484252112E-2</v>
      </c>
      <c r="AN27" s="28">
        <v>2</v>
      </c>
      <c r="AO27" s="176">
        <f>((($W$25)^Q27)*((1-($W$25))^($U$33-Q27))*HLOOKUP($U$33,$AV$24:$BF$34,Q27+1))*V33</f>
        <v>5.5752800419306189E-3</v>
      </c>
      <c r="AP27" s="28">
        <v>2</v>
      </c>
      <c r="AQ27" s="176">
        <f>((($W$25)^Q27)*((1-($W$25))^($U$34-Q27))*HLOOKUP($U$34,$AV$24:$BF$34,Q27+1))*V34</f>
        <v>8.8583707283234779E-4</v>
      </c>
      <c r="AR27" s="28">
        <v>2</v>
      </c>
      <c r="AS27" s="176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111</v>
      </c>
      <c r="B28" s="238">
        <v>0.9</v>
      </c>
      <c r="C28" s="239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173">
        <f>(($B$24)^M28)*((1-($B$24))^($B$21-M28))*HLOOKUP($B$21,$AV$24:$BF$34,M28+1)</f>
        <v>0.26159301842169036</v>
      </c>
      <c r="O28" s="72">
        <v>3</v>
      </c>
      <c r="P28" s="173">
        <f t="shared" si="18"/>
        <v>0.26159301842169036</v>
      </c>
      <c r="Q28" s="28">
        <v>3</v>
      </c>
      <c r="R28" s="174">
        <f>P25*N28+P26*N27+P27*N26+P28*N25</f>
        <v>0.182865635448895</v>
      </c>
      <c r="S28" s="72">
        <v>3</v>
      </c>
      <c r="T28" s="175">
        <f t="shared" si="19"/>
        <v>0</v>
      </c>
      <c r="U28" s="138">
        <v>3</v>
      </c>
      <c r="V28" s="86">
        <f>R28*T25+R27*T26+R26*T27+R25*T28</f>
        <v>0.18239905448332952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4.1030080503102872E-3</v>
      </c>
      <c r="AF28" s="28">
        <v>3</v>
      </c>
      <c r="AG28" s="176">
        <f>((($W$25)^M28)*((1-($W$25))^($U$29-M28))*HLOOKUP($U$29,$AV$24:$BF$34,M28+1))*V29</f>
        <v>1.5805521727095772E-2</v>
      </c>
      <c r="AH28" s="28">
        <v>3</v>
      </c>
      <c r="AI28" s="176">
        <f>((($W$25)^M28)*((1-($W$25))^($U$30-M28))*HLOOKUP($U$30,$AV$24:$BF$34,M28+1))*V30</f>
        <v>2.6104983769215672E-2</v>
      </c>
      <c r="AJ28" s="28">
        <v>3</v>
      </c>
      <c r="AK28" s="176">
        <f>((($W$25)^M28)*((1-($W$25))^($U$31-M28))*HLOOKUP($U$31,$AV$24:$BF$34,M28+1))*V31</f>
        <v>2.3969588320463385E-2</v>
      </c>
      <c r="AL28" s="28">
        <v>3</v>
      </c>
      <c r="AM28" s="176">
        <f>((($W$25)^Q28)*((1-($W$25))^($U$32-Q28))*HLOOKUP($U$32,$AV$24:$BF$34,Q28+1))*V32</f>
        <v>1.3220971112135571E-2</v>
      </c>
      <c r="AN28" s="28">
        <v>3</v>
      </c>
      <c r="AO28" s="176">
        <f>((($W$25)^Q28)*((1-($W$25))^($U$33-Q28))*HLOOKUP($U$33,$AV$24:$BF$34,Q28+1))*V33</f>
        <v>4.3857115968918853E-3</v>
      </c>
      <c r="AP28" s="28">
        <v>3</v>
      </c>
      <c r="AQ28" s="176">
        <f>((($W$25)^Q28)*((1-($W$25))^($U$34-Q28))*HLOOKUP($U$34,$AV$24:$BF$34,Q28+1))*V34</f>
        <v>8.12969072357901E-4</v>
      </c>
      <c r="AR28" s="28">
        <v>3</v>
      </c>
      <c r="AS28" s="176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0.10016053484306656</v>
      </c>
      <c r="O29" s="72">
        <v>4</v>
      </c>
      <c r="P29" s="173">
        <f t="shared" si="18"/>
        <v>0.10016053484306656</v>
      </c>
      <c r="Q29" s="28">
        <v>4</v>
      </c>
      <c r="R29" s="174">
        <f>P25*N29+P26*N28+P27*N27+P28*N26+P29*N25</f>
        <v>0.24505898462124065</v>
      </c>
      <c r="S29" s="72">
        <v>4</v>
      </c>
      <c r="T29" s="175">
        <f t="shared" si="19"/>
        <v>0</v>
      </c>
      <c r="U29" s="138">
        <v>4</v>
      </c>
      <c r="V29" s="86">
        <f>T29*R25+T28*R26+T27*R27+T26*R28+T25*R29</f>
        <v>0.24474801787537892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1.5541474915188043E-3</v>
      </c>
      <c r="AH29" s="28">
        <v>4</v>
      </c>
      <c r="AI29" s="176">
        <f>((($W$25)^M29)*((1-($W$25))^($U$30-M29))*HLOOKUP($U$30,$AV$24:$BF$34,M29+1))*V30</f>
        <v>5.1337748593915551E-3</v>
      </c>
      <c r="AJ29" s="28">
        <v>4</v>
      </c>
      <c r="AK29" s="176">
        <f>((($W$25)^M29)*((1-($W$25))^($U$31-M29))*HLOOKUP($U$31,$AV$24:$BF$34,M29+1))*V31</f>
        <v>7.0707458198847354E-3</v>
      </c>
      <c r="AL29" s="28">
        <v>4</v>
      </c>
      <c r="AM29" s="176">
        <f>((($W$25)^Q29)*((1-($W$25))^($U$32-Q29))*HLOOKUP($U$32,$AV$24:$BF$34,Q29+1))*V32</f>
        <v>5.2000407058106265E-3</v>
      </c>
      <c r="AN29" s="28">
        <v>4</v>
      </c>
      <c r="AO29" s="176">
        <f>((($W$25)^Q29)*((1-($W$25))^($U$33-Q29))*HLOOKUP($U$33,$AV$24:$BF$34,Q29+1))*V33</f>
        <v>2.1562219819512675E-3</v>
      </c>
      <c r="AP29" s="28">
        <v>4</v>
      </c>
      <c r="AQ29" s="176">
        <f>((($W$25)^Q29)*((1-($W$25))^($U$34-Q29))*HLOOKUP($U$34,$AV$24:$BF$34,Q29+1))*V34</f>
        <v>4.7963257384464505E-4</v>
      </c>
      <c r="AR29" s="28">
        <v>4</v>
      </c>
      <c r="AS29" s="176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113</v>
      </c>
      <c r="B30" s="238">
        <v>0.15</v>
      </c>
      <c r="C30" s="239"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1.5340061903146452E-2</v>
      </c>
      <c r="O30" s="72">
        <v>5</v>
      </c>
      <c r="P30" s="173">
        <f t="shared" si="18"/>
        <v>1.5340061903146452E-2</v>
      </c>
      <c r="Q30" s="28">
        <v>5</v>
      </c>
      <c r="R30" s="174">
        <f>P25*N30+P26*N29+P27*N28+P28*N27+P29*N26+P30*N25</f>
        <v>0.22519168851696308</v>
      </c>
      <c r="S30" s="72">
        <v>5</v>
      </c>
      <c r="T30" s="175">
        <f t="shared" si="19"/>
        <v>0</v>
      </c>
      <c r="U30" s="138">
        <v>5</v>
      </c>
      <c r="V30" s="86">
        <f>T30*R25+T29*R26+T28*R27+T27*R28+T26*R29+T25*R30</f>
        <v>0.22529102499748446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4.0384080740936065E-4</v>
      </c>
      <c r="AJ30" s="28">
        <v>5</v>
      </c>
      <c r="AK30" s="176">
        <f>((($W$25)^M30)*((1-($W$25))^($U$31-M30))*HLOOKUP($U$31,$AV$24:$BF$34,M30+1))*V31</f>
        <v>1.1124195271886297E-3</v>
      </c>
      <c r="AL30" s="28">
        <v>5</v>
      </c>
      <c r="AM30" s="176">
        <f>((($W$25)^Q30)*((1-($W$25))^($U$32-Q30))*HLOOKUP($U$32,$AV$24:$BF$34,Q30+1))*V32</f>
        <v>1.2271605366689132E-3</v>
      </c>
      <c r="AN30" s="28">
        <v>5</v>
      </c>
      <c r="AO30" s="176">
        <f>((($W$25)^Q30)*((1-($W$25))^($U$33-Q30))*HLOOKUP($U$33,$AV$24:$BF$34,Q30+1))*V33</f>
        <v>6.7846405422478052E-4</v>
      </c>
      <c r="AP30" s="28">
        <v>5</v>
      </c>
      <c r="AQ30" s="176">
        <f>((($W$25)^Q30)*((1-($W$25))^($U$34-Q30))*HLOOKUP($U$34,$AV$24:$BF$34,Q30+1))*V34</f>
        <v>1.8864793566756416E-4</v>
      </c>
      <c r="AR30" s="28">
        <v>5</v>
      </c>
      <c r="AS30" s="176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0.14370490530263877</v>
      </c>
      <c r="S31" s="72">
        <v>6</v>
      </c>
      <c r="T31" s="175">
        <f t="shared" si="19"/>
        <v>0</v>
      </c>
      <c r="U31" s="138">
        <v>6</v>
      </c>
      <c r="V31" s="86">
        <f>T31*R25+T30*R26+T29*R27+T28*R28+T27*R29+T26*R30+T25*R31</f>
        <v>0.14411233921871039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7.2922364202754575E-5</v>
      </c>
      <c r="AL31" s="28">
        <v>6</v>
      </c>
      <c r="AM31" s="176">
        <f>((($W$25)^Q31)*((1-($W$25))^($U$32-Q31))*HLOOKUP($U$32,$AV$24:$BF$34,Q31+1))*V32</f>
        <v>1.6088794812219105E-4</v>
      </c>
      <c r="AN31" s="28">
        <v>6</v>
      </c>
      <c r="AO31" s="176">
        <f>((($W$25)^Q31)*((1-($W$25))^($U$33-Q31))*HLOOKUP($U$33,$AV$24:$BF$34,Q31+1))*V33</f>
        <v>1.3342592875646505E-4</v>
      </c>
      <c r="AP31" s="28">
        <v>6</v>
      </c>
      <c r="AQ31" s="176">
        <f>((($W$25)^Q31)*((1-($W$25))^($U$34-Q31))*HLOOKUP($U$34,$AV$24:$BF$34,Q31+1))*V34</f>
        <v>4.9465702946134123E-5</v>
      </c>
      <c r="AR31" s="28">
        <v>6</v>
      </c>
      <c r="AS31" s="176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115</v>
      </c>
      <c r="B32" s="178">
        <f>IF(B17&lt;&gt;"TL",0.001,IF(B18&lt;5,0.1,IF(B18&lt;10,0.2,IF(B18&lt;14,0.3,0.35))))</f>
        <v>1E-3</v>
      </c>
      <c r="C32" s="179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6.2883111927188803E-2</v>
      </c>
      <c r="S32" s="72">
        <v>7</v>
      </c>
      <c r="T32" s="175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9.0400089396264658E-6</v>
      </c>
      <c r="AN32" s="28">
        <v>7</v>
      </c>
      <c r="AO32" s="176">
        <f>((($W$25)^Q32)*((1-($W$25))^($U$33-Q32))*HLOOKUP($U$33,$AV$24:$BF$34,Q32+1))*V33</f>
        <v>1.4993933390465591E-5</v>
      </c>
      <c r="AP32" s="28">
        <v>7</v>
      </c>
      <c r="AQ32" s="176">
        <f>((($W$25)^Q32)*((1-($W$25))^($U$34-Q32))*HLOOKUP($U$34,$AV$24:$BF$34,Q32+1))*V34</f>
        <v>8.3381707963298113E-6</v>
      </c>
      <c r="AR32" s="28">
        <v>7</v>
      </c>
      <c r="AS32" s="176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116</v>
      </c>
      <c r="B33" s="255">
        <f>IF(B17&lt;&gt;"CA",0.005,IF((B18-B16)&lt;0,0.1,0.1+0.055*(B18-B16)))</f>
        <v>5.0000000000000001E-3</v>
      </c>
      <c r="C33" s="256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1.8057838932088472E-2</v>
      </c>
      <c r="S33" s="72">
        <v>8</v>
      </c>
      <c r="T33" s="175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7.3717224806453664E-7</v>
      </c>
      <c r="AP33" s="28">
        <v>8</v>
      </c>
      <c r="AQ33" s="176">
        <f>((($W$25)^Q33)*((1-($W$25))^($U$34-Q33))*HLOOKUP($U$34,$AV$24:$BF$34,Q33+1))*V34</f>
        <v>8.1988734384869092E-7</v>
      </c>
      <c r="AR33" s="28">
        <v>8</v>
      </c>
      <c r="AS33" s="176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117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3.0729376094897963E-3</v>
      </c>
      <c r="S34" s="72">
        <v>9</v>
      </c>
      <c r="T34" s="175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3.5830680801072293E-8</v>
      </c>
      <c r="AR34" s="28">
        <v>9</v>
      </c>
      <c r="AS34" s="176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2.3531749919236515E-4</v>
      </c>
      <c r="S35" s="72">
        <v>10</v>
      </c>
      <c r="T35" s="175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118</v>
      </c>
      <c r="B36" s="182">
        <f>SUM(BO4:BO14)</f>
        <v>0.10587961634117178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119</v>
      </c>
      <c r="B37" s="182">
        <f>SUM(BK4:BK59)</f>
        <v>0.79888201282353499</v>
      </c>
      <c r="G37" s="157"/>
      <c r="H37" s="229">
        <f>SUM(H39:H49)</f>
        <v>0.999836051776825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0.99621191753243699</v>
      </c>
      <c r="W37" s="157"/>
      <c r="X37" s="157"/>
      <c r="Y37" s="168">
        <f>SUM(Y39:Y49)</f>
        <v>2.3180535610223171E-4</v>
      </c>
      <c r="Z37" s="81"/>
      <c r="AA37" s="168">
        <f>SUM(AA39:AA49)</f>
        <v>3.0305681846580289E-3</v>
      </c>
      <c r="AB37" s="81"/>
      <c r="AC37" s="168">
        <f>SUM(AC39:AC49)</f>
        <v>1.7833975265218092E-2</v>
      </c>
      <c r="AD37" s="81"/>
      <c r="AE37" s="168">
        <f>SUM(AE39:AE49)</f>
        <v>6.2212968648501427E-2</v>
      </c>
      <c r="AF37" s="81"/>
      <c r="AG37" s="168">
        <f>SUM(AG39:AG49)</f>
        <v>0.14249527737151696</v>
      </c>
      <c r="AH37" s="81"/>
      <c r="AI37" s="168">
        <f>SUM(AI39:AI49)</f>
        <v>0.22396944105942748</v>
      </c>
      <c r="AJ37" s="81"/>
      <c r="AK37" s="168">
        <f>SUM(AK39:AK49)</f>
        <v>0.24475636150370289</v>
      </c>
      <c r="AL37" s="81"/>
      <c r="AM37" s="168">
        <f>SUM(AM39:AM49)</f>
        <v>0.18379238369322923</v>
      </c>
      <c r="AN37" s="81"/>
      <c r="AO37" s="168">
        <f>SUM(AO39:AO49)</f>
        <v>9.0946844651974182E-2</v>
      </c>
      <c r="AP37" s="81"/>
      <c r="AQ37" s="168">
        <f>SUM(AQ39:AQ49)</f>
        <v>2.6942291798106491E-2</v>
      </c>
      <c r="AR37" s="81"/>
      <c r="AS37" s="168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120</v>
      </c>
      <c r="B38" s="182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173">
        <f>(1-$C$24)^$B$21</f>
        <v>1.5340061903146452E-2</v>
      </c>
      <c r="O39" s="72">
        <v>0</v>
      </c>
      <c r="P39" s="173">
        <f t="shared" ref="P39:P44" si="30">N39</f>
        <v>1.5340061903146452E-2</v>
      </c>
      <c r="Q39" s="28">
        <v>0</v>
      </c>
      <c r="R39" s="174">
        <f>P39*N39</f>
        <v>2.3531749919236515E-4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176">
        <f>V39</f>
        <v>2.3180535610223171E-4</v>
      </c>
      <c r="Z39" s="28">
        <v>0</v>
      </c>
      <c r="AA39" s="176">
        <f>((1-W39)^Z40)*V40</f>
        <v>9.9172820725343131E-4</v>
      </c>
      <c r="AB39" s="28">
        <v>0</v>
      </c>
      <c r="AC39" s="176">
        <f>(((1-$W$39)^AB41))*V41</f>
        <v>1.9097889332147097E-3</v>
      </c>
      <c r="AD39" s="28">
        <v>0</v>
      </c>
      <c r="AE39" s="176">
        <f>(((1-$W$39)^AB42))*V42</f>
        <v>2.1801518508046645E-3</v>
      </c>
      <c r="AF39" s="28">
        <v>0</v>
      </c>
      <c r="AG39" s="176">
        <f>(((1-$W$39)^AB43))*V43</f>
        <v>1.6340859498438114E-3</v>
      </c>
      <c r="AH39" s="28">
        <v>0</v>
      </c>
      <c r="AI39" s="176">
        <f>(((1-$W$39)^AB44))*V44</f>
        <v>8.4048854186004514E-4</v>
      </c>
      <c r="AJ39" s="28">
        <v>0</v>
      </c>
      <c r="AK39" s="176">
        <f>(((1-$W$39)^AB45))*V45</f>
        <v>3.0056999609432219E-4</v>
      </c>
      <c r="AL39" s="28">
        <v>0</v>
      </c>
      <c r="AM39" s="176">
        <f>(((1-$W$39)^AB46))*V46</f>
        <v>7.385973647996512E-5</v>
      </c>
      <c r="AN39" s="28">
        <v>0</v>
      </c>
      <c r="AO39" s="176">
        <f>(((1-$W$39)^AB47))*V47</f>
        <v>1.1960146124198113E-5</v>
      </c>
      <c r="AP39" s="28">
        <v>0</v>
      </c>
      <c r="AQ39" s="176">
        <f>(((1-$W$39)^AB48))*V48</f>
        <v>1.1594499102868507E-6</v>
      </c>
      <c r="AR39" s="28">
        <v>0</v>
      </c>
      <c r="AS39" s="176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173">
        <f>(($C$24)^M26)*((1-($C$24))^($B$21-M26))*HLOOKUP($B$21,$AV$24:$BF$34,M26+1)</f>
        <v>0.10016053484306656</v>
      </c>
      <c r="O40" s="72">
        <v>1</v>
      </c>
      <c r="P40" s="173">
        <f t="shared" si="30"/>
        <v>0.10016053484306656</v>
      </c>
      <c r="Q40" s="28">
        <v>1</v>
      </c>
      <c r="R40" s="174">
        <f>P40*N39+P39*N40</f>
        <v>3.0729376094897963E-3</v>
      </c>
      <c r="S40" s="72">
        <v>1</v>
      </c>
      <c r="T40" s="175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177"/>
      <c r="X40" s="28">
        <v>1</v>
      </c>
      <c r="Y40" s="174"/>
      <c r="Z40" s="28">
        <v>1</v>
      </c>
      <c r="AA40" s="176">
        <f>(1-((1-W39)^Z40))*V40</f>
        <v>2.0388399774045976E-3</v>
      </c>
      <c r="AB40" s="28">
        <v>1</v>
      </c>
      <c r="AC40" s="176">
        <f>((($W$39)^M40)*((1-($W$39))^($U$27-M40))*HLOOKUP($U$27,$AV$24:$BF$34,M40+1))*V41</f>
        <v>7.852461989009454E-3</v>
      </c>
      <c r="AD40" s="28">
        <v>1</v>
      </c>
      <c r="AE40" s="176">
        <f>((($W$39)^M40)*((1-($W$39))^($U$28-M40))*HLOOKUP($U$28,$AV$24:$BF$34,M40+1))*V42</f>
        <v>1.344616615033099E-2</v>
      </c>
      <c r="AF40" s="28">
        <v>1</v>
      </c>
      <c r="AG40" s="176">
        <f>((($W$39)^M40)*((1-($W$39))^($U$29-M40))*HLOOKUP($U$29,$AV$24:$BF$34,M40+1))*V43</f>
        <v>1.3437713021327194E-2</v>
      </c>
      <c r="AH40" s="28">
        <v>1</v>
      </c>
      <c r="AI40" s="176">
        <f>((($W$39)^M40)*((1-($W$39))^($U$30-M40))*HLOOKUP($U$30,$AV$24:$BF$34,M40+1))*V44</f>
        <v>8.6395729553795479E-3</v>
      </c>
      <c r="AJ40" s="28">
        <v>1</v>
      </c>
      <c r="AK40" s="176">
        <f>((($W$39)^M40)*((1-($W$39))^($U$31-M40))*HLOOKUP($U$31,$AV$24:$BF$34,M40+1))*V45</f>
        <v>3.7075528530702341E-3</v>
      </c>
      <c r="AL40" s="28">
        <v>1</v>
      </c>
      <c r="AM40" s="176">
        <f>((($W$39)^Q40)*((1-($W$39))^($U$32-Q40))*HLOOKUP($U$32,$AV$24:$BF$34,Q40+1))*V46</f>
        <v>1.0629094508774789E-3</v>
      </c>
      <c r="AN40" s="28">
        <v>1</v>
      </c>
      <c r="AO40" s="176">
        <f>((($W$39)^Q40)*((1-($W$39))^($U$33-Q40))*HLOOKUP($U$33,$AV$24:$BF$34,Q40+1))*V47</f>
        <v>1.9670570122149884E-4</v>
      </c>
      <c r="AP40" s="28">
        <v>1</v>
      </c>
      <c r="AQ40" s="176">
        <f>((($W$39)^Q40)*((1-($W$39))^($U$34-Q40))*HLOOKUP($U$34,$AV$24:$BF$34,Q40+1))*V48</f>
        <v>2.1452848980610094E-5</v>
      </c>
      <c r="AR40" s="28">
        <v>1</v>
      </c>
      <c r="AS40" s="176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173">
        <f>(($C$24)^M27)*((1-($C$24))^($B$21-M27))*HLOOKUP($B$21,$AV$24:$BF$34,M27+1)</f>
        <v>0.26159301842169036</v>
      </c>
      <c r="O41" s="72">
        <v>2</v>
      </c>
      <c r="P41" s="173">
        <f t="shared" si="30"/>
        <v>0.26159301842169036</v>
      </c>
      <c r="Q41" s="28">
        <v>2</v>
      </c>
      <c r="R41" s="174">
        <f>P41*N39+P40*N40+P39*N41</f>
        <v>1.8057838932088472E-2</v>
      </c>
      <c r="S41" s="72">
        <v>2</v>
      </c>
      <c r="T41" s="175">
        <f t="shared" si="33"/>
        <v>7.4625000000000011E-5</v>
      </c>
      <c r="U41" s="138">
        <v>2</v>
      </c>
      <c r="V41" s="86">
        <f>R41*T39+T40*R40+R39*T41</f>
        <v>1.7833975265218092E-2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8.071724342993929E-3</v>
      </c>
      <c r="AD41" s="28">
        <v>2</v>
      </c>
      <c r="AE41" s="176">
        <f>((($W$39)^M41)*((1-($W$39))^($U$28-M41))*HLOOKUP($U$28,$AV$24:$BF$34,M41+1))*V42</f>
        <v>2.7643240244263456E-2</v>
      </c>
      <c r="AF41" s="28">
        <v>2</v>
      </c>
      <c r="AG41" s="176">
        <f>((($W$39)^M41)*((1-($W$39))^($U$29-M41))*HLOOKUP($U$29,$AV$24:$BF$34,M41+1))*V43</f>
        <v>4.1438792875492375E-2</v>
      </c>
      <c r="AH41" s="28">
        <v>2</v>
      </c>
      <c r="AI41" s="176">
        <f>((($W$39)^M41)*((1-($W$39))^($U$30-M41))*HLOOKUP($U$30,$AV$24:$BF$34,M41+1))*V44</f>
        <v>3.5523254456813216E-2</v>
      </c>
      <c r="AJ41" s="28">
        <v>2</v>
      </c>
      <c r="AK41" s="176">
        <f>((($W$39)^M41)*((1-($W$39))^($U$31-M41))*HLOOKUP($U$31,$AV$24:$BF$34,M41+1))*V45</f>
        <v>1.9055389672022246E-2</v>
      </c>
      <c r="AL41" s="28">
        <v>2</v>
      </c>
      <c r="AM41" s="176">
        <f>((($W$39)^Q41)*((1-($W$39))^($U$32-Q41))*HLOOKUP($U$32,$AV$24:$BF$34,Q41+1))*V46</f>
        <v>6.5555328515216277E-3</v>
      </c>
      <c r="AN41" s="28">
        <v>2</v>
      </c>
      <c r="AO41" s="176">
        <f>((($W$39)^Q41)*((1-($W$39))^($U$33-Q41))*HLOOKUP($U$33,$AV$24:$BF$34,Q41+1))*V47</f>
        <v>1.4153878610609926E-3</v>
      </c>
      <c r="AP41" s="28">
        <v>2</v>
      </c>
      <c r="AQ41" s="176">
        <f>((($W$39)^Q41)*((1-($W$39))^($U$34-Q41))*HLOOKUP($U$34,$AV$24:$BF$34,Q41+1))*V48</f>
        <v>1.7641497261442347E-4</v>
      </c>
      <c r="AR41" s="28">
        <v>2</v>
      </c>
      <c r="AS41" s="176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173">
        <f>(($C$24)^M28)*((1-($C$24))^($B$21-M28))*HLOOKUP($B$21,$AV$24:$BF$34,M28+1)</f>
        <v>0.34160613955481417</v>
      </c>
      <c r="O42" s="72">
        <v>3</v>
      </c>
      <c r="P42" s="173">
        <f t="shared" si="30"/>
        <v>0.34160613955481417</v>
      </c>
      <c r="Q42" s="28">
        <v>3</v>
      </c>
      <c r="R42" s="174">
        <f>P42*N39+P41*N40+P40*N41+P39*N42</f>
        <v>6.2883111927188803E-2</v>
      </c>
      <c r="S42" s="72">
        <v>3</v>
      </c>
      <c r="T42" s="175">
        <f t="shared" si="33"/>
        <v>1.2500000000000002E-7</v>
      </c>
      <c r="U42" s="138">
        <v>3</v>
      </c>
      <c r="V42" s="86">
        <f>R42*T39+R41*T40+R40*T41+R39*T42</f>
        <v>6.2212968648501427E-2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1.8943410403102316E-2</v>
      </c>
      <c r="AF42" s="28">
        <v>3</v>
      </c>
      <c r="AG42" s="176">
        <f>((($W$39)^M42)*((1-($W$39))^($U$29-M42))*HLOOKUP($U$29,$AV$24:$BF$34,M42+1))*V43</f>
        <v>5.6794504053301519E-2</v>
      </c>
      <c r="AH42" s="28">
        <v>3</v>
      </c>
      <c r="AI42" s="176">
        <f>((($W$39)^M42)*((1-($W$39))^($U$30-M42))*HLOOKUP($U$30,$AV$24:$BF$34,M42+1))*V44</f>
        <v>7.3030323010222359E-2</v>
      </c>
      <c r="AJ42" s="28">
        <v>3</v>
      </c>
      <c r="AK42" s="176">
        <f>((($W$39)^M42)*((1-($W$39))^($U$31-M42))*HLOOKUP($U$31,$AV$24:$BF$34,M42+1))*V45</f>
        <v>5.2233249613067946E-2</v>
      </c>
      <c r="AL42" s="28">
        <v>3</v>
      </c>
      <c r="AM42" s="176">
        <f>((($W$39)^Q42)*((1-($W$39))^($U$32-Q42))*HLOOKUP($U$32,$AV$24:$BF$34,Q42+1))*V46</f>
        <v>2.2461937913223571E-2</v>
      </c>
      <c r="AN42" s="28">
        <v>3</v>
      </c>
      <c r="AO42" s="176">
        <f>((($W$39)^Q42)*((1-($W$39))^($U$33-Q42))*HLOOKUP($U$33,$AV$24:$BF$34,Q42+1))*V47</f>
        <v>5.8196375449607396E-3</v>
      </c>
      <c r="AP42" s="28">
        <v>3</v>
      </c>
      <c r="AQ42" s="176">
        <f>((($W$39)^Q42)*((1-($W$39))^($U$34-Q42))*HLOOKUP($U$34,$AV$24:$BF$34,Q42+1))*V48</f>
        <v>8.4625783322431431E-4</v>
      </c>
      <c r="AR42" s="28">
        <v>3</v>
      </c>
      <c r="AS42" s="176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173">
        <f>(($C$24)^M29)*((1-($C$24))^($B$21-M29))*HLOOKUP($B$21,$AV$24:$BF$34,M29+1)</f>
        <v>0.22304638572851768</v>
      </c>
      <c r="O43" s="72">
        <v>4</v>
      </c>
      <c r="P43" s="173">
        <f t="shared" si="30"/>
        <v>0.22304638572851768</v>
      </c>
      <c r="Q43" s="28">
        <v>4</v>
      </c>
      <c r="R43" s="174">
        <f>P43*N39+P42*N40+P41*N41+P40*N42+P39*N43</f>
        <v>0.14370490530263877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0.14249527737151696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2.9190181471552064E-2</v>
      </c>
      <c r="AH43" s="28">
        <v>4</v>
      </c>
      <c r="AI43" s="176">
        <f>((($W$39)^M43)*((1-($W$39))^($U$30-M43))*HLOOKUP($U$30,$AV$24:$BF$34,M43+1))*V44</f>
        <v>7.5069530657184538E-2</v>
      </c>
      <c r="AJ43" s="28">
        <v>4</v>
      </c>
      <c r="AK43" s="176">
        <f>((($W$39)^M43)*((1-($W$39))^($U$31-M43))*HLOOKUP($U$31,$AV$24:$BF$34,M43+1))*V45</f>
        <v>8.0537618584893569E-2</v>
      </c>
      <c r="AL43" s="28">
        <v>4</v>
      </c>
      <c r="AM43" s="176">
        <f>((($W$39)^Q43)*((1-($W$39))^($U$32-Q43))*HLOOKUP($U$32,$AV$24:$BF$34,Q43+1))*V46</f>
        <v>4.6178274100211414E-2</v>
      </c>
      <c r="AN43" s="28">
        <v>4</v>
      </c>
      <c r="AO43" s="176">
        <f>((($W$39)^Q43)*((1-($W$39))^($U$33-Q43))*HLOOKUP($U$33,$AV$24:$BF$34,Q43+1))*V47</f>
        <v>1.495534461192171E-2</v>
      </c>
      <c r="AP43" s="28">
        <v>4</v>
      </c>
      <c r="AQ43" s="176">
        <f>((($W$39)^Q43)*((1-($W$39))^($U$34-Q43))*HLOOKUP($U$34,$AV$24:$BF$34,Q43+1))*V48</f>
        <v>2.6096630441942419E-3</v>
      </c>
      <c r="AR43" s="28">
        <v>4</v>
      </c>
      <c r="AS43" s="176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173">
        <f>(($C$24)^M30)*((1-($C$24))^($B$21-M30))*HLOOKUP($B$21,$AV$24:$BF$34,M30+1)</f>
        <v>5.8253859548764761E-2</v>
      </c>
      <c r="O44" s="72">
        <v>5</v>
      </c>
      <c r="P44" s="173">
        <f t="shared" si="30"/>
        <v>5.8253859548764761E-2</v>
      </c>
      <c r="Q44" s="28">
        <v>5</v>
      </c>
      <c r="R44" s="174">
        <f>P44*N39+P43*N40+P42*N41+P41*N42+P40*N43+P39*N44</f>
        <v>0.22519168851696308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0.22396944105942745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3.0866271437967777E-2</v>
      </c>
      <c r="AJ44" s="28">
        <v>5</v>
      </c>
      <c r="AK44" s="176">
        <f>((($W$39)^M44)*((1-($W$39))^($U$31-M44))*HLOOKUP($U$31,$AV$24:$BF$34,M44+1))*V45</f>
        <v>6.622916047153761E-2</v>
      </c>
      <c r="AL44" s="28">
        <v>5</v>
      </c>
      <c r="AM44" s="176">
        <f>((($W$39)^Q44)*((1-($W$39))^($U$32-Q44))*HLOOKUP($U$32,$AV$24:$BF$34,Q44+1))*V46</f>
        <v>5.6961238352071258E-2</v>
      </c>
      <c r="AN44" s="28">
        <v>5</v>
      </c>
      <c r="AO44" s="176">
        <f>((($W$39)^Q44)*((1-($W$39))^($U$33-Q44))*HLOOKUP($U$33,$AV$24:$BF$34,Q44+1))*V47</f>
        <v>2.4596702401029083E-2</v>
      </c>
      <c r="AP44" s="28">
        <v>5</v>
      </c>
      <c r="AQ44" s="176">
        <f>((($W$39)^Q44)*((1-($W$39))^($U$34-Q44))*HLOOKUP($U$34,$AV$24:$BF$34,Q44+1))*V48</f>
        <v>5.3650640398684619E-3</v>
      </c>
      <c r="AR44" s="28">
        <v>5</v>
      </c>
      <c r="AS44" s="176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0.24505898462124065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0.24475636150370284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2.2692820313016934E-2</v>
      </c>
      <c r="AL45" s="28">
        <v>6</v>
      </c>
      <c r="AM45" s="176">
        <f>((($W$39)^Q45)*((1-($W$39))^($U$32-Q45))*HLOOKUP($U$32,$AV$24:$BF$34,Q45+1))*V46</f>
        <v>3.9034501948306884E-2</v>
      </c>
      <c r="AN45" s="28">
        <v>6</v>
      </c>
      <c r="AO45" s="176">
        <f>((($W$39)^Q45)*((1-($W$39))^($U$33-Q45))*HLOOKUP($U$33,$AV$24:$BF$34,Q45+1))*V47</f>
        <v>2.5283510038716935E-2</v>
      </c>
      <c r="AP45" s="28">
        <v>6</v>
      </c>
      <c r="AQ45" s="176">
        <f>((($W$39)^Q45)*((1-($W$39))^($U$34-Q45))*HLOOKUP($U$34,$AV$24:$BF$34,Q45+1))*V48</f>
        <v>7.3531618614966982E-3</v>
      </c>
      <c r="AR45" s="28">
        <v>6</v>
      </c>
      <c r="AS45" s="176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0.182865635448895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1.1464129340537029E-2</v>
      </c>
      <c r="AN46" s="28">
        <v>7</v>
      </c>
      <c r="AO46" s="176">
        <f>((($W$39)^Q46)*((1-($W$39))^($U$33-Q46))*HLOOKUP($U$33,$AV$24:$BF$34,Q46+1))*V47</f>
        <v>1.4851140134974345E-2</v>
      </c>
      <c r="AP46" s="28">
        <v>7</v>
      </c>
      <c r="AQ46" s="176">
        <f>((($W$39)^Q46)*((1-($W$39))^($U$34-Q46))*HLOOKUP($U$34,$AV$24:$BF$34,Q46+1))*V48</f>
        <v>6.4786991841527947E-3</v>
      </c>
      <c r="AR46" s="28">
        <v>7</v>
      </c>
      <c r="AS46" s="176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8.9549442335798451E-2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3.8164562119646778E-3</v>
      </c>
      <c r="AP47" s="28">
        <v>8</v>
      </c>
      <c r="AQ47" s="176">
        <f>((($W$39)^Q47)*((1-($W$39))^($U$34-Q47))*HLOOKUP($U$34,$AV$24:$BF$34,Q47+1))*V48</f>
        <v>3.329801149553713E-3</v>
      </c>
      <c r="AR47" s="28">
        <v>8</v>
      </c>
      <c r="AS47" s="176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2.5986625654177354E-2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7.6061741411094519E-4</v>
      </c>
      <c r="AR48" s="28">
        <v>9</v>
      </c>
      <c r="AS48" s="176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3.3935121523272112E-3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181"/>
      <c r="J50" s="181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181"/>
      <c r="X50" s="157"/>
      <c r="Y50" s="157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27" priority="1" operator="greaterThan">
      <formula>0.15</formula>
    </cfRule>
  </conditionalFormatting>
  <conditionalFormatting sqref="H39:H49">
    <cfRule type="cellIs" dxfId="26" priority="2" operator="greaterThan">
      <formula>0.15</formula>
    </cfRule>
  </conditionalFormatting>
  <conditionalFormatting sqref="H49">
    <cfRule type="cellIs" dxfId="25" priority="3" operator="greaterThan">
      <formula>0.15</formula>
    </cfRule>
  </conditionalFormatting>
  <conditionalFormatting sqref="H39:H49">
    <cfRule type="cellIs" dxfId="24" priority="4" operator="greaterThan">
      <formula>0.15</formula>
    </cfRule>
  </conditionalFormatting>
  <conditionalFormatting sqref="H35">
    <cfRule type="cellIs" dxfId="23" priority="5" operator="greaterThan">
      <formula>0.15</formula>
    </cfRule>
  </conditionalFormatting>
  <conditionalFormatting sqref="H25:H35">
    <cfRule type="cellIs" dxfId="22" priority="6" operator="greaterThan">
      <formula>0.15</formula>
    </cfRule>
  </conditionalFormatting>
  <conditionalFormatting sqref="H35">
    <cfRule type="cellIs" dxfId="21" priority="7" operator="greaterThan">
      <formula>0.15</formula>
    </cfRule>
  </conditionalFormatting>
  <conditionalFormatting sqref="H25:H35">
    <cfRule type="cellIs" dxfId="20" priority="8" operator="greaterThan">
      <formula>0.15</formula>
    </cfRule>
  </conditionalFormatting>
  <conditionalFormatting sqref="V49">
    <cfRule type="cellIs" dxfId="19" priority="9" operator="greaterThan">
      <formula>0.15</formula>
    </cfRule>
  </conditionalFormatting>
  <conditionalFormatting sqref="V35">
    <cfRule type="cellIs" dxfId="18" priority="10" operator="greaterThan">
      <formula>0.15</formula>
    </cfRule>
  </conditionalFormatting>
  <conditionalFormatting sqref="V25:V35 V39:V49">
    <cfRule type="cellIs" dxfId="17" priority="11" operator="greaterThan">
      <formula>0.15</formula>
    </cfRule>
  </conditionalFormatting>
  <conditionalFormatting sqref="V49">
    <cfRule type="cellIs" dxfId="16" priority="12" operator="greaterThan">
      <formula>0.15</formula>
    </cfRule>
  </conditionalFormatting>
  <conditionalFormatting sqref="V35">
    <cfRule type="cellIs" dxfId="15" priority="13" operator="greaterThan">
      <formula>0.15</formula>
    </cfRule>
  </conditionalFormatting>
  <conditionalFormatting sqref="V25:V35 V39:V49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FE1-8912-4225-93E5-05C880448D21}">
  <sheetPr>
    <tabColor rgb="FFFF0000"/>
  </sheetPr>
  <dimension ref="A1:AF35"/>
  <sheetViews>
    <sheetView workbookViewId="0">
      <selection activeCell="W16" sqref="W16"/>
    </sheetView>
  </sheetViews>
  <sheetFormatPr baseColWidth="10" defaultRowHeight="15" x14ac:dyDescent="0.25"/>
  <cols>
    <col min="4" max="4" width="12.42578125" bestFit="1" customWidth="1"/>
    <col min="7" max="8" width="11.42578125" style="157"/>
    <col min="9" max="9" width="4.5703125" bestFit="1" customWidth="1"/>
    <col min="10" max="10" width="5.140625" bestFit="1" customWidth="1"/>
    <col min="11" max="13" width="4.5703125" style="157" bestFit="1" customWidth="1"/>
    <col min="14" max="14" width="4.7109375" style="157" customWidth="1"/>
    <col min="15" max="15" width="7.140625" bestFit="1" customWidth="1"/>
    <col min="16" max="16" width="5.28515625" bestFit="1" customWidth="1"/>
    <col min="17" max="18" width="6.28515625" bestFit="1" customWidth="1"/>
    <col min="19" max="19" width="12.42578125" style="157" bestFit="1" customWidth="1"/>
    <col min="20" max="22" width="6.28515625" bestFit="1" customWidth="1"/>
    <col min="23" max="25" width="8.42578125" bestFit="1" customWidth="1"/>
    <col min="26" max="27" width="7.5703125" bestFit="1" customWidth="1"/>
    <col min="28" max="29" width="7.140625" bestFit="1" customWidth="1"/>
  </cols>
  <sheetData>
    <row r="1" spans="1:32" x14ac:dyDescent="0.25">
      <c r="A1" s="208"/>
      <c r="B1" s="208"/>
      <c r="C1" s="208"/>
      <c r="D1" s="208"/>
      <c r="Q1" s="165"/>
      <c r="S1" s="165"/>
    </row>
    <row r="2" spans="1:32" x14ac:dyDescent="0.25">
      <c r="A2" s="220" t="s">
        <v>155</v>
      </c>
      <c r="B2" s="220" t="s">
        <v>156</v>
      </c>
      <c r="C2" s="220" t="s">
        <v>25</v>
      </c>
      <c r="D2" s="220" t="s">
        <v>157</v>
      </c>
      <c r="E2" s="260" t="s">
        <v>178</v>
      </c>
      <c r="I2" s="248">
        <v>1.5</v>
      </c>
      <c r="J2" s="248">
        <v>2.5</v>
      </c>
      <c r="K2" s="248">
        <v>3.5</v>
      </c>
      <c r="L2" s="184"/>
      <c r="M2" s="183"/>
      <c r="N2" s="185"/>
      <c r="O2" s="184"/>
      <c r="P2" s="184"/>
      <c r="Q2" s="184"/>
      <c r="R2" s="184">
        <f>COUNTIF(F18:G18,"JC")</f>
        <v>0</v>
      </c>
      <c r="S2" s="183"/>
      <c r="T2" s="184">
        <f>COUNTIF(J6:L6,"CAB")+COUNTIF(I5:M5,"CAB")</f>
        <v>2</v>
      </c>
      <c r="U2" s="263">
        <f>COUNTIF(J11:L11,"CAB")+COUNTIF(I10:M10,"CAB")</f>
        <v>0</v>
      </c>
      <c r="V2" s="262"/>
      <c r="W2" s="186"/>
      <c r="X2" s="186"/>
      <c r="Y2" s="183"/>
      <c r="Z2" s="31"/>
      <c r="AA2" s="31"/>
      <c r="AB2" s="31"/>
      <c r="AC2" s="31"/>
    </row>
    <row r="3" spans="1:32" ht="18.75" x14ac:dyDescent="0.3">
      <c r="A3" s="209">
        <v>5</v>
      </c>
      <c r="B3" s="209">
        <v>6</v>
      </c>
      <c r="C3" s="222">
        <v>0.45</v>
      </c>
      <c r="D3" s="209" t="s">
        <v>167</v>
      </c>
      <c r="E3" s="165">
        <f>C3/B3</f>
        <v>7.4999999999999997E-2</v>
      </c>
      <c r="I3" s="208"/>
      <c r="J3" s="208"/>
      <c r="K3" s="208"/>
      <c r="L3" s="208"/>
      <c r="M3" s="208"/>
      <c r="N3" s="208"/>
      <c r="O3" s="208"/>
      <c r="P3" s="208"/>
      <c r="Q3" s="208"/>
      <c r="R3" s="224">
        <f>SUM(R5:R16)</f>
        <v>3.5750000000000002</v>
      </c>
      <c r="S3" s="208"/>
      <c r="T3" s="210"/>
      <c r="U3" s="210"/>
      <c r="V3" s="166">
        <f>SUM(V5:V16)</f>
        <v>2.1</v>
      </c>
      <c r="W3" s="166">
        <f>SUM(W5:W16)</f>
        <v>3.5749999999999997</v>
      </c>
      <c r="X3" s="267">
        <f t="shared" ref="X3:Y3" si="0">SUM(X5:X16)</f>
        <v>2.1279761904761902</v>
      </c>
      <c r="Y3" s="268">
        <f t="shared" si="0"/>
        <v>0.35749999999999998</v>
      </c>
      <c r="Z3" s="31"/>
      <c r="AA3" s="31"/>
      <c r="AB3" s="31"/>
      <c r="AC3" s="31"/>
    </row>
    <row r="4" spans="1:32" x14ac:dyDescent="0.25">
      <c r="A4" s="209">
        <v>6</v>
      </c>
      <c r="B4" s="209">
        <v>8</v>
      </c>
      <c r="C4" s="222">
        <v>0.35</v>
      </c>
      <c r="D4" s="209" t="s">
        <v>168</v>
      </c>
      <c r="E4" s="165">
        <f t="shared" ref="E4:E14" si="1">C4/B4</f>
        <v>4.3749999999999997E-2</v>
      </c>
      <c r="I4" s="211"/>
      <c r="J4" s="212"/>
      <c r="K4" s="242" t="s">
        <v>151</v>
      </c>
      <c r="L4" s="211"/>
      <c r="M4" s="211"/>
      <c r="N4" s="208"/>
      <c r="O4" s="220" t="s">
        <v>155</v>
      </c>
      <c r="P4" s="220" t="s">
        <v>156</v>
      </c>
      <c r="Q4" s="220" t="s">
        <v>25</v>
      </c>
      <c r="R4" s="220" t="s">
        <v>25</v>
      </c>
      <c r="S4" s="220" t="s">
        <v>157</v>
      </c>
      <c r="T4" s="225" t="s">
        <v>158</v>
      </c>
      <c r="U4" s="227" t="s">
        <v>159</v>
      </c>
      <c r="V4" s="220" t="s">
        <v>25</v>
      </c>
      <c r="W4" s="220" t="s">
        <v>160</v>
      </c>
      <c r="X4" s="225" t="s">
        <v>161</v>
      </c>
      <c r="Y4" s="227" t="s">
        <v>162</v>
      </c>
      <c r="Z4" s="31"/>
      <c r="AA4" s="31"/>
      <c r="AB4" s="31"/>
      <c r="AC4" s="31"/>
    </row>
    <row r="5" spans="1:32" x14ac:dyDescent="0.25">
      <c r="A5" s="209">
        <v>8</v>
      </c>
      <c r="B5" s="209">
        <v>13</v>
      </c>
      <c r="C5" s="222">
        <v>0.45</v>
      </c>
      <c r="D5" s="209" t="s">
        <v>33</v>
      </c>
      <c r="E5" s="165">
        <f t="shared" si="1"/>
        <v>3.4615384615384617E-2</v>
      </c>
      <c r="I5" s="242" t="s">
        <v>151</v>
      </c>
      <c r="J5" s="242" t="s">
        <v>138</v>
      </c>
      <c r="K5" s="242" t="s">
        <v>151</v>
      </c>
      <c r="L5" s="242" t="s">
        <v>138</v>
      </c>
      <c r="M5" s="242" t="s">
        <v>151</v>
      </c>
      <c r="N5" s="208"/>
      <c r="O5" s="209">
        <v>5</v>
      </c>
      <c r="P5" s="209">
        <v>6</v>
      </c>
      <c r="Q5" s="222">
        <v>0.45</v>
      </c>
      <c r="R5" s="222">
        <f>IF($N$1=2,Q5*$G$1/$E$1,IF($N$1=1,Q5*$F$1/$E$1,Q5))</f>
        <v>0.45</v>
      </c>
      <c r="S5" s="209" t="s">
        <v>167</v>
      </c>
      <c r="T5" s="212">
        <f>COUNTIF(I4:M5,"IMP")</f>
        <v>0</v>
      </c>
      <c r="U5" s="214">
        <f>COUNTIF(I9:M10,"IMP")</f>
        <v>0</v>
      </c>
      <c r="V5" s="221">
        <f t="shared" ref="V5:V15" si="2">IF(T5+U5=0,0,R5)</f>
        <v>0</v>
      </c>
      <c r="W5" s="221">
        <f>V5*$R$3/$V$3</f>
        <v>0</v>
      </c>
      <c r="X5" s="226">
        <f>IF(W5=0,0,W5*(T5^2.7/(T5^2.7+U5^2.7))*T5/P5)</f>
        <v>0</v>
      </c>
      <c r="Y5" s="228">
        <f>IF(W5=0,0,W5*U5^2.7/(T5^2.7+U5^2.7)*U5/P5)</f>
        <v>0</v>
      </c>
      <c r="Z5" s="31"/>
      <c r="AA5" s="31"/>
      <c r="AB5" s="31"/>
      <c r="AC5" s="31"/>
    </row>
    <row r="6" spans="1:32" x14ac:dyDescent="0.25">
      <c r="A6" s="209">
        <v>9</v>
      </c>
      <c r="B6" s="209">
        <v>8</v>
      </c>
      <c r="C6" s="222">
        <v>0.02</v>
      </c>
      <c r="D6" s="209" t="s">
        <v>169</v>
      </c>
      <c r="E6" s="165">
        <f t="shared" si="1"/>
        <v>2.5000000000000001E-3</v>
      </c>
      <c r="I6" s="242" t="s">
        <v>1</v>
      </c>
      <c r="J6" s="242" t="s">
        <v>1</v>
      </c>
      <c r="K6" s="242" t="s">
        <v>1</v>
      </c>
      <c r="L6" s="242" t="s">
        <v>1</v>
      </c>
      <c r="M6" s="242" t="s">
        <v>1</v>
      </c>
      <c r="N6" s="208"/>
      <c r="O6" s="209">
        <v>6</v>
      </c>
      <c r="P6" s="209">
        <v>8</v>
      </c>
      <c r="Q6" s="222">
        <v>0.35</v>
      </c>
      <c r="R6" s="222">
        <f t="shared" ref="R6:R16" si="3">IF($N$1=2,Q6*$G$1/$E$1,IF($N$1=1,Q6*$F$1/$E$1,Q6))</f>
        <v>0.35</v>
      </c>
      <c r="S6" s="209" t="s">
        <v>168</v>
      </c>
      <c r="T6" s="212">
        <f>COUNTIF(I6:M7,"IMP")</f>
        <v>0</v>
      </c>
      <c r="U6" s="214">
        <f>COUNTIF(I11:M12,"IMP")</f>
        <v>0</v>
      </c>
      <c r="V6" s="221">
        <f t="shared" si="2"/>
        <v>0</v>
      </c>
      <c r="W6" s="221">
        <f t="shared" ref="W6:W16" si="4">V6*$R$3/$V$3</f>
        <v>0</v>
      </c>
      <c r="X6" s="226">
        <f t="shared" ref="X6:X10" si="5">IF(W6=0,0,W6*(T6^2.7/(T6^2.7+U6^2.7))*T6/P6)</f>
        <v>0</v>
      </c>
      <c r="Y6" s="228">
        <f t="shared" ref="Y6:Y10" si="6">IF(W6=0,0,W6*U6^2.7/(T6^2.7+U6^2.7)*U6/P6)</f>
        <v>0</v>
      </c>
      <c r="Z6" s="31"/>
      <c r="AA6" s="31"/>
      <c r="AB6" s="31"/>
      <c r="AC6" s="31"/>
    </row>
    <row r="7" spans="1:32" x14ac:dyDescent="0.25">
      <c r="A7" s="209">
        <v>15</v>
      </c>
      <c r="B7" s="209">
        <v>8</v>
      </c>
      <c r="C7" s="222">
        <v>0.5</v>
      </c>
      <c r="D7" s="209" t="s">
        <v>170</v>
      </c>
      <c r="E7" s="165">
        <f>C7/B7</f>
        <v>6.25E-2</v>
      </c>
      <c r="I7" s="211"/>
      <c r="J7" s="242" t="s">
        <v>1</v>
      </c>
      <c r="K7" s="242" t="s">
        <v>1</v>
      </c>
      <c r="L7" s="242" t="s">
        <v>1</v>
      </c>
      <c r="M7" s="211"/>
      <c r="N7" s="208"/>
      <c r="O7" s="209">
        <v>8</v>
      </c>
      <c r="P7" s="209">
        <v>13</v>
      </c>
      <c r="Q7" s="222">
        <v>0.45</v>
      </c>
      <c r="R7" s="222">
        <f t="shared" si="3"/>
        <v>0.45</v>
      </c>
      <c r="S7" s="209" t="s">
        <v>33</v>
      </c>
      <c r="T7" s="212">
        <f>COUNTIF(I5:M7,"IMP")</f>
        <v>0</v>
      </c>
      <c r="U7" s="214">
        <f>COUNTIF(I10:M12,"IMP")</f>
        <v>0</v>
      </c>
      <c r="V7" s="221">
        <f t="shared" si="2"/>
        <v>0</v>
      </c>
      <c r="W7" s="221">
        <f t="shared" si="4"/>
        <v>0</v>
      </c>
      <c r="X7" s="226">
        <f t="shared" si="5"/>
        <v>0</v>
      </c>
      <c r="Y7" s="228">
        <f t="shared" si="6"/>
        <v>0</v>
      </c>
      <c r="Z7" s="31"/>
      <c r="AA7" s="31"/>
      <c r="AB7" s="31"/>
      <c r="AC7" s="31"/>
    </row>
    <row r="8" spans="1:32" x14ac:dyDescent="0.25">
      <c r="A8" s="209">
        <v>16</v>
      </c>
      <c r="B8" s="209">
        <v>8</v>
      </c>
      <c r="C8" s="222">
        <v>0.5</v>
      </c>
      <c r="D8" s="209" t="s">
        <v>171</v>
      </c>
      <c r="E8" s="165">
        <f t="shared" si="1"/>
        <v>6.25E-2</v>
      </c>
      <c r="I8" s="210"/>
      <c r="J8" s="210"/>
      <c r="K8" s="210"/>
      <c r="L8" s="210"/>
      <c r="M8" s="210"/>
      <c r="N8" s="208"/>
      <c r="O8" s="209">
        <v>9</v>
      </c>
      <c r="P8" s="209">
        <v>8</v>
      </c>
      <c r="Q8" s="222">
        <v>0.02</v>
      </c>
      <c r="R8" s="222">
        <f t="shared" si="3"/>
        <v>0.02</v>
      </c>
      <c r="S8" s="209" t="s">
        <v>169</v>
      </c>
      <c r="T8" s="212">
        <f>COUNTIF(I10:M10,"IMP")+COUNTIF(J11:L11,"IMP")</f>
        <v>0</v>
      </c>
      <c r="U8" s="214">
        <f>COUNTIF(I5:M5,"IMP")+COUNTIF(J6:L6,"IMP")</f>
        <v>0</v>
      </c>
      <c r="V8" s="221">
        <f t="shared" si="2"/>
        <v>0</v>
      </c>
      <c r="W8" s="221">
        <f t="shared" si="4"/>
        <v>0</v>
      </c>
      <c r="X8" s="226">
        <f t="shared" si="5"/>
        <v>0</v>
      </c>
      <c r="Y8" s="228">
        <f t="shared" si="6"/>
        <v>0</v>
      </c>
      <c r="Z8" s="31"/>
      <c r="AA8" s="31"/>
      <c r="AB8" s="31"/>
      <c r="AC8" s="31"/>
    </row>
    <row r="9" spans="1:32" x14ac:dyDescent="0.25">
      <c r="A9" s="209">
        <v>18</v>
      </c>
      <c r="B9" s="209" t="s">
        <v>172</v>
      </c>
      <c r="C9" s="222">
        <v>0.15</v>
      </c>
      <c r="D9" s="209" t="s">
        <v>173</v>
      </c>
      <c r="E9" s="165"/>
      <c r="I9" s="213"/>
      <c r="J9" s="214"/>
      <c r="K9" s="243" t="s">
        <v>151</v>
      </c>
      <c r="L9" s="213"/>
      <c r="M9" s="213"/>
      <c r="N9" s="208"/>
      <c r="O9" s="209">
        <v>15</v>
      </c>
      <c r="P9" s="209">
        <v>8</v>
      </c>
      <c r="Q9" s="222">
        <v>0.5</v>
      </c>
      <c r="R9" s="222">
        <f t="shared" si="3"/>
        <v>0.5</v>
      </c>
      <c r="S9" s="209" t="s">
        <v>170</v>
      </c>
      <c r="T9" s="212">
        <f>COUNTIF(I6:M7,"RAP")</f>
        <v>8</v>
      </c>
      <c r="U9" s="214">
        <f>COUNTIF(I11:M12,"RAP")</f>
        <v>0</v>
      </c>
      <c r="V9" s="221">
        <f t="shared" si="2"/>
        <v>0.5</v>
      </c>
      <c r="W9" s="221">
        <f t="shared" si="4"/>
        <v>0.85119047619047616</v>
      </c>
      <c r="X9" s="226">
        <f t="shared" si="5"/>
        <v>0.85119047619047616</v>
      </c>
      <c r="Y9" s="228">
        <f t="shared" si="6"/>
        <v>0</v>
      </c>
      <c r="Z9" s="31"/>
      <c r="AA9" s="31"/>
      <c r="AB9" s="31"/>
      <c r="AC9" s="31"/>
      <c r="AD9" s="266"/>
      <c r="AE9" s="266"/>
    </row>
    <row r="10" spans="1:32" x14ac:dyDescent="0.25">
      <c r="A10" s="209">
        <v>19</v>
      </c>
      <c r="B10" s="209" t="s">
        <v>172</v>
      </c>
      <c r="C10" s="222">
        <v>0.23</v>
      </c>
      <c r="D10" s="209" t="s">
        <v>174</v>
      </c>
      <c r="E10" s="165"/>
      <c r="I10" s="243" t="s">
        <v>151</v>
      </c>
      <c r="J10" s="243" t="s">
        <v>151</v>
      </c>
      <c r="K10" s="243" t="s">
        <v>151</v>
      </c>
      <c r="L10" s="243" t="s">
        <v>151</v>
      </c>
      <c r="M10" s="243" t="s">
        <v>151</v>
      </c>
      <c r="N10" s="208"/>
      <c r="O10" s="209">
        <v>16</v>
      </c>
      <c r="P10" s="209">
        <v>8</v>
      </c>
      <c r="Q10" s="222">
        <v>0.5</v>
      </c>
      <c r="R10" s="222">
        <f t="shared" si="3"/>
        <v>0.5</v>
      </c>
      <c r="S10" s="209" t="s">
        <v>171</v>
      </c>
      <c r="T10" s="212">
        <f>COUNTIF(I6:M7,"RAP")</f>
        <v>8</v>
      </c>
      <c r="U10" s="214">
        <f>COUNTIF(I11:M12,"RAP")</f>
        <v>0</v>
      </c>
      <c r="V10" s="221">
        <f t="shared" si="2"/>
        <v>0.5</v>
      </c>
      <c r="W10" s="221">
        <f t="shared" si="4"/>
        <v>0.85119047619047616</v>
      </c>
      <c r="X10" s="226">
        <f t="shared" si="5"/>
        <v>0.85119047619047616</v>
      </c>
      <c r="Y10" s="228">
        <f t="shared" si="6"/>
        <v>0</v>
      </c>
      <c r="Z10" s="31"/>
      <c r="AA10" s="31"/>
      <c r="AB10" s="31"/>
      <c r="AC10" s="31"/>
      <c r="AD10" s="266"/>
      <c r="AE10" s="266"/>
    </row>
    <row r="11" spans="1:32" x14ac:dyDescent="0.25">
      <c r="A11" s="209">
        <v>25</v>
      </c>
      <c r="B11" s="209">
        <v>5</v>
      </c>
      <c r="C11" s="222">
        <v>2.5000000000000001E-2</v>
      </c>
      <c r="D11" s="209" t="s">
        <v>38</v>
      </c>
      <c r="E11" s="165">
        <f t="shared" si="1"/>
        <v>5.0000000000000001E-3</v>
      </c>
      <c r="I11" s="243" t="s">
        <v>151</v>
      </c>
      <c r="J11" s="243" t="s">
        <v>2</v>
      </c>
      <c r="K11" s="243" t="s">
        <v>151</v>
      </c>
      <c r="L11" s="243" t="s">
        <v>151</v>
      </c>
      <c r="M11" s="243" t="s">
        <v>151</v>
      </c>
      <c r="N11" s="208"/>
      <c r="O11" s="209">
        <v>18</v>
      </c>
      <c r="P11" s="209" t="s">
        <v>172</v>
      </c>
      <c r="Q11" s="222">
        <v>0.15</v>
      </c>
      <c r="R11" s="222">
        <f t="shared" si="3"/>
        <v>0.15</v>
      </c>
      <c r="S11" s="209" t="s">
        <v>173</v>
      </c>
      <c r="T11" s="212">
        <v>1</v>
      </c>
      <c r="U11" s="214">
        <v>1</v>
      </c>
      <c r="V11" s="221">
        <f t="shared" si="2"/>
        <v>0.15</v>
      </c>
      <c r="W11" s="221">
        <f t="shared" si="4"/>
        <v>0.25535714285714284</v>
      </c>
      <c r="X11" s="226">
        <f>W11*K14</f>
        <v>0.12767857142857142</v>
      </c>
      <c r="Y11" s="228">
        <f>W11*K15</f>
        <v>0.12767857142857142</v>
      </c>
      <c r="Z11" s="31"/>
      <c r="AA11" s="31"/>
      <c r="AB11" s="31"/>
      <c r="AC11" s="31"/>
      <c r="AD11" s="266"/>
      <c r="AE11" s="266"/>
      <c r="AF11" s="266"/>
    </row>
    <row r="12" spans="1:32" x14ac:dyDescent="0.25">
      <c r="A12" s="209">
        <v>37</v>
      </c>
      <c r="B12" s="209">
        <v>2</v>
      </c>
      <c r="C12" s="222">
        <v>0.18</v>
      </c>
      <c r="D12" s="209" t="s">
        <v>175</v>
      </c>
      <c r="E12" s="165">
        <f t="shared" si="1"/>
        <v>0.09</v>
      </c>
      <c r="I12" s="213"/>
      <c r="J12" s="243" t="s">
        <v>151</v>
      </c>
      <c r="K12" s="243" t="s">
        <v>151</v>
      </c>
      <c r="L12" s="243" t="s">
        <v>151</v>
      </c>
      <c r="M12" s="213"/>
      <c r="N12" s="208"/>
      <c r="O12" s="209">
        <v>19</v>
      </c>
      <c r="P12" s="209" t="s">
        <v>172</v>
      </c>
      <c r="Q12" s="222">
        <v>0.23</v>
      </c>
      <c r="R12" s="222">
        <f t="shared" si="3"/>
        <v>0.23</v>
      </c>
      <c r="S12" s="209" t="s">
        <v>174</v>
      </c>
      <c r="T12" s="212">
        <f>COUNTIF(I5:M7,"CAB")</f>
        <v>2</v>
      </c>
      <c r="U12" s="214">
        <f>COUNTIF(I10:M12,"CAB")</f>
        <v>0</v>
      </c>
      <c r="V12" s="221">
        <f t="shared" si="2"/>
        <v>0.23</v>
      </c>
      <c r="W12" s="221">
        <f t="shared" si="4"/>
        <v>0.39154761904761903</v>
      </c>
      <c r="X12" s="226">
        <f>IF(T12&gt;0,W12*K14,0)</f>
        <v>0.19577380952380952</v>
      </c>
      <c r="Y12" s="228">
        <f>IF(U12&gt;0,W12*K15,0)</f>
        <v>0</v>
      </c>
      <c r="Z12" s="31"/>
      <c r="AA12" s="31"/>
      <c r="AB12" s="31"/>
      <c r="AC12" s="31"/>
      <c r="AD12" s="166"/>
      <c r="AE12" s="166"/>
    </row>
    <row r="13" spans="1:32" x14ac:dyDescent="0.25">
      <c r="A13" s="209">
        <v>38</v>
      </c>
      <c r="B13" s="209">
        <v>2</v>
      </c>
      <c r="C13" s="222">
        <v>0.12</v>
      </c>
      <c r="D13" s="209" t="s">
        <v>176</v>
      </c>
      <c r="E13" s="165">
        <f t="shared" si="1"/>
        <v>0.06</v>
      </c>
      <c r="I13" s="210"/>
      <c r="J13" s="210"/>
      <c r="K13" s="210"/>
      <c r="L13" s="210"/>
      <c r="M13" s="210"/>
      <c r="N13" s="208"/>
      <c r="O13" s="209">
        <v>25</v>
      </c>
      <c r="P13" s="209">
        <v>5</v>
      </c>
      <c r="Q13" s="222">
        <v>2.5000000000000001E-2</v>
      </c>
      <c r="R13" s="222">
        <f t="shared" si="3"/>
        <v>2.5000000000000001E-2</v>
      </c>
      <c r="S13" s="209" t="s">
        <v>38</v>
      </c>
      <c r="T13" s="212">
        <f>COUNTIF(J7:L7,"IMP")+COUNTIF(I6,"IMP")+COUNTIF(M6,"IMP")</f>
        <v>0</v>
      </c>
      <c r="U13" s="214">
        <f>COUNTIF(J12:L12,"IMP")+COUNTIF(I11,"IMP")+COUNTIF(M11,"IMP")</f>
        <v>0</v>
      </c>
      <c r="V13" s="221">
        <f t="shared" si="2"/>
        <v>0</v>
      </c>
      <c r="W13" s="221">
        <f t="shared" si="4"/>
        <v>0</v>
      </c>
      <c r="X13" s="226">
        <f t="shared" ref="X13" si="7">IF(W13=0,0,W13*(T13^2.7/(T13^2.7+U13^2.7))*T13/P13)</f>
        <v>0</v>
      </c>
      <c r="Y13" s="228">
        <f>IF(W13=0,0,W13*U13^2.7/(T13^2.7+U13^2.7)*U13/P13)</f>
        <v>0</v>
      </c>
      <c r="Z13" s="31"/>
      <c r="AA13" s="31"/>
      <c r="AB13" s="31"/>
      <c r="AC13" s="31"/>
    </row>
    <row r="14" spans="1:32" x14ac:dyDescent="0.25">
      <c r="A14" s="209">
        <v>39</v>
      </c>
      <c r="B14" s="209">
        <v>8</v>
      </c>
      <c r="C14" s="222">
        <v>0.6</v>
      </c>
      <c r="D14" s="209" t="s">
        <v>177</v>
      </c>
      <c r="E14" s="165">
        <f t="shared" si="1"/>
        <v>7.4999999999999997E-2</v>
      </c>
      <c r="I14" s="210"/>
      <c r="J14" s="210" t="s">
        <v>152</v>
      </c>
      <c r="K14" s="217">
        <v>0.5</v>
      </c>
      <c r="L14" s="210"/>
      <c r="M14" s="210"/>
      <c r="N14" s="208"/>
      <c r="O14" s="209">
        <v>37</v>
      </c>
      <c r="P14" s="209">
        <v>2</v>
      </c>
      <c r="Q14" s="222">
        <v>0.18</v>
      </c>
      <c r="R14" s="222">
        <f t="shared" si="3"/>
        <v>0.18</v>
      </c>
      <c r="S14" s="209" t="s">
        <v>175</v>
      </c>
      <c r="T14" s="212">
        <f>COUNTIF(I6:M7,"CAB")</f>
        <v>0</v>
      </c>
      <c r="U14" s="214">
        <f>COUNTIF(I11:M12,"CAB")</f>
        <v>0</v>
      </c>
      <c r="V14" s="221">
        <f t="shared" si="2"/>
        <v>0</v>
      </c>
      <c r="W14" s="221">
        <f t="shared" si="4"/>
        <v>0</v>
      </c>
      <c r="X14" s="226">
        <f>IF((U14+T14)=0,0,W14*T14^2.7/(U14^2.7+T14^2.7))</f>
        <v>0</v>
      </c>
      <c r="Y14" s="228">
        <f>IF(T14+U14=0,0,W14*U14^2.7/(U14^2.7+T14^2.7))</f>
        <v>0</v>
      </c>
      <c r="Z14" s="31"/>
      <c r="AA14" s="31"/>
      <c r="AB14" s="31"/>
      <c r="AC14" s="31"/>
    </row>
    <row r="15" spans="1:32" x14ac:dyDescent="0.25">
      <c r="I15" s="210"/>
      <c r="J15" s="210" t="s">
        <v>153</v>
      </c>
      <c r="K15" s="215">
        <v>0.5</v>
      </c>
      <c r="L15" s="210"/>
      <c r="M15" s="210"/>
      <c r="N15" s="208"/>
      <c r="O15" s="209">
        <v>38</v>
      </c>
      <c r="P15" s="209">
        <v>2</v>
      </c>
      <c r="Q15" s="222">
        <v>0.12</v>
      </c>
      <c r="R15" s="222">
        <f t="shared" si="3"/>
        <v>0.12</v>
      </c>
      <c r="S15" s="209" t="s">
        <v>176</v>
      </c>
      <c r="T15" s="212">
        <f>COUNTA(I6,M6)</f>
        <v>2</v>
      </c>
      <c r="U15" s="214">
        <f>COUNTA(I11,M11)</f>
        <v>2</v>
      </c>
      <c r="V15" s="221">
        <f t="shared" si="2"/>
        <v>0.12</v>
      </c>
      <c r="W15" s="221">
        <f t="shared" si="4"/>
        <v>0.20428571428571426</v>
      </c>
      <c r="X15" s="226">
        <f>W15*T15^2.7/(U15^2.7+T15^2.7)</f>
        <v>0.10214285714285713</v>
      </c>
      <c r="Y15" s="228">
        <f>W15*U15^2.7/(U15^2.7+T15^2.7)</f>
        <v>0.10214285714285713</v>
      </c>
      <c r="Z15" s="31"/>
      <c r="AA15" s="31"/>
      <c r="AB15" s="31"/>
      <c r="AC15" s="31"/>
    </row>
    <row r="16" spans="1:32" s="14" customFormat="1" x14ac:dyDescent="0.25">
      <c r="A16" s="259"/>
      <c r="B16" s="259"/>
      <c r="C16" s="259"/>
      <c r="D16" s="259" t="s">
        <v>27</v>
      </c>
      <c r="E16" s="259"/>
      <c r="F16" s="259"/>
      <c r="G16" s="259"/>
      <c r="H16" s="259"/>
      <c r="I16" s="210"/>
      <c r="J16" s="210"/>
      <c r="K16" s="210"/>
      <c r="L16" s="210"/>
      <c r="M16" s="210"/>
      <c r="N16" s="208"/>
      <c r="O16" s="209">
        <v>39</v>
      </c>
      <c r="P16" s="209">
        <v>8</v>
      </c>
      <c r="Q16" s="222">
        <v>0.6</v>
      </c>
      <c r="R16" s="222">
        <f t="shared" si="3"/>
        <v>0.6</v>
      </c>
      <c r="S16" s="209" t="s">
        <v>177</v>
      </c>
      <c r="T16" s="212">
        <f>COUNTIF(I6:M7,"TEC")</f>
        <v>0</v>
      </c>
      <c r="U16" s="214">
        <f>COUNTIF(I11:M12,"TEC")</f>
        <v>1</v>
      </c>
      <c r="V16" s="221">
        <f>IF(T16&lt;&gt;0,IF(U2&lt;&gt;0,Q16,IF(U16&lt;&gt;0,IF(T2&lt;&gt;0,Q16,0),0)),IF(U16&lt;&gt;0,IF(T2&lt;&gt;0,Q16,0),0))</f>
        <v>0.6</v>
      </c>
      <c r="W16" s="221">
        <f t="shared" si="4"/>
        <v>1.0214285714285714</v>
      </c>
      <c r="X16" s="226">
        <f>IF(T16&lt;&gt;0,IF(U2&lt;&gt;0,IF(U16&lt;&gt;0,IF(T2&lt;&gt;0,W16*T16^2.7/(T16^2.7+U16^2.7)*T16/P16,W16*T16/P16),W16*T16/P16),0),0)</f>
        <v>0</v>
      </c>
      <c r="Y16" s="228">
        <f>IF(U16&lt;&gt;0,IF(T2&lt;&gt;0,IF(T16&lt;&gt;0,IF(U2&lt;&gt;0,W16*U16^2.7/(T16^2.7+U16^2.7)*U16/P16,W16*U16/P16),W16*U16/P16),0),0)</f>
        <v>0.12767857142857142</v>
      </c>
      <c r="Z16" s="31"/>
      <c r="AA16" s="31"/>
      <c r="AB16" s="31"/>
      <c r="AC16" s="31"/>
    </row>
    <row r="17" spans="1:29" x14ac:dyDescent="0.25">
      <c r="A17" s="259"/>
      <c r="B17" s="157"/>
      <c r="C17" s="157" t="s">
        <v>33</v>
      </c>
      <c r="D17" s="165">
        <f>E3</f>
        <v>7.4999999999999997E-2</v>
      </c>
      <c r="E17" s="157"/>
      <c r="F17" s="157"/>
      <c r="Z17" s="31"/>
      <c r="AA17" s="31"/>
      <c r="AB17" s="31"/>
      <c r="AC17" s="31"/>
    </row>
    <row r="18" spans="1:29" x14ac:dyDescent="0.25">
      <c r="A18" s="259"/>
      <c r="B18" s="157" t="s">
        <v>179</v>
      </c>
      <c r="C18" s="157" t="s">
        <v>180</v>
      </c>
      <c r="D18" s="157" t="s">
        <v>180</v>
      </c>
      <c r="E18" s="157" t="s">
        <v>180</v>
      </c>
      <c r="F18" s="157" t="s">
        <v>179</v>
      </c>
    </row>
    <row r="19" spans="1:29" x14ac:dyDescent="0.25">
      <c r="A19" s="259" t="s">
        <v>33</v>
      </c>
      <c r="B19" s="165">
        <f>E3+E5</f>
        <v>0.10961538461538461</v>
      </c>
      <c r="C19" s="165">
        <f>B19</f>
        <v>0.10961538461538461</v>
      </c>
      <c r="D19" s="165">
        <f t="shared" ref="D19:F19" si="8">C19</f>
        <v>0.10961538461538461</v>
      </c>
      <c r="E19" s="165">
        <f t="shared" si="8"/>
        <v>0.10961538461538461</v>
      </c>
      <c r="F19" s="165">
        <f t="shared" si="8"/>
        <v>0.10961538461538461</v>
      </c>
    </row>
    <row r="20" spans="1:29" x14ac:dyDescent="0.25">
      <c r="A20" s="259" t="s">
        <v>1</v>
      </c>
      <c r="B20" s="157">
        <v>0</v>
      </c>
      <c r="C20" s="157">
        <v>0</v>
      </c>
      <c r="D20" s="157">
        <v>0</v>
      </c>
      <c r="E20" s="157">
        <v>0</v>
      </c>
      <c r="F20" s="157">
        <v>0</v>
      </c>
    </row>
    <row r="21" spans="1:29" x14ac:dyDescent="0.25">
      <c r="A21" s="259" t="s">
        <v>2</v>
      </c>
      <c r="B21" s="157">
        <v>1.7000000000000001E-2</v>
      </c>
      <c r="C21" s="157">
        <v>1.7000000000000001E-2</v>
      </c>
      <c r="D21" s="157">
        <v>1.7000000000000001E-2</v>
      </c>
      <c r="E21" s="157">
        <v>1.7000000000000001E-2</v>
      </c>
      <c r="F21" s="157">
        <v>1.7000000000000001E-2</v>
      </c>
    </row>
    <row r="22" spans="1:29" x14ac:dyDescent="0.25">
      <c r="A22" s="259" t="s">
        <v>6</v>
      </c>
      <c r="B22" s="157">
        <v>0</v>
      </c>
      <c r="C22" s="157">
        <v>0</v>
      </c>
      <c r="D22" s="157">
        <v>0</v>
      </c>
      <c r="E22" s="157">
        <v>0</v>
      </c>
      <c r="F22" s="157">
        <v>0</v>
      </c>
    </row>
    <row r="23" spans="1:29" x14ac:dyDescent="0.25">
      <c r="A23" s="259" t="s">
        <v>138</v>
      </c>
      <c r="B23" s="261">
        <v>0</v>
      </c>
      <c r="C23" s="157">
        <v>0</v>
      </c>
      <c r="D23" s="157">
        <v>0</v>
      </c>
      <c r="E23" s="157">
        <v>0</v>
      </c>
      <c r="F23" s="157">
        <v>0</v>
      </c>
    </row>
    <row r="24" spans="1:29" s="14" customFormat="1" x14ac:dyDescent="0.25">
      <c r="A24" s="259"/>
      <c r="B24" s="259" t="s">
        <v>59</v>
      </c>
      <c r="C24" s="259" t="s">
        <v>181</v>
      </c>
      <c r="D24" s="259" t="s">
        <v>181</v>
      </c>
      <c r="E24" s="259" t="s">
        <v>181</v>
      </c>
      <c r="F24" s="259" t="s">
        <v>59</v>
      </c>
      <c r="G24" s="259"/>
      <c r="H24" s="259"/>
      <c r="K24" s="259"/>
      <c r="L24" s="259"/>
      <c r="M24" s="259"/>
      <c r="N24" s="259"/>
      <c r="S24" s="259"/>
    </row>
    <row r="25" spans="1:29" x14ac:dyDescent="0.25">
      <c r="A25" s="259" t="s">
        <v>33</v>
      </c>
      <c r="B25" s="165">
        <f>E4+E5-E6-E11</f>
        <v>7.0865384615384608E-2</v>
      </c>
      <c r="C25" s="165">
        <f>E4+E5-E6</f>
        <v>7.5865384615384612E-2</v>
      </c>
      <c r="D25" s="165">
        <f>C25</f>
        <v>7.5865384615384612E-2</v>
      </c>
      <c r="E25" s="165">
        <f>D25</f>
        <v>7.5865384615384612E-2</v>
      </c>
      <c r="F25" s="165">
        <f>B25</f>
        <v>7.0865384615384608E-2</v>
      </c>
    </row>
    <row r="26" spans="1:29" x14ac:dyDescent="0.25">
      <c r="A26" s="259" t="s">
        <v>1</v>
      </c>
      <c r="B26" s="165">
        <f>E7+E8</f>
        <v>0.125</v>
      </c>
      <c r="C26" s="165">
        <f>B26</f>
        <v>0.125</v>
      </c>
      <c r="D26" s="165">
        <f t="shared" ref="D26:F26" si="9">C26</f>
        <v>0.125</v>
      </c>
      <c r="E26" s="165">
        <f t="shared" si="9"/>
        <v>0.125</v>
      </c>
      <c r="F26" s="165">
        <f t="shared" si="9"/>
        <v>0.125</v>
      </c>
    </row>
    <row r="27" spans="1:29" x14ac:dyDescent="0.25">
      <c r="A27" s="259" t="s">
        <v>2</v>
      </c>
      <c r="B27" s="165">
        <f>E14</f>
        <v>7.4999999999999997E-2</v>
      </c>
      <c r="C27" s="165">
        <f>B27</f>
        <v>7.4999999999999997E-2</v>
      </c>
      <c r="D27" s="165">
        <f t="shared" ref="D27:F27" si="10">C27</f>
        <v>7.4999999999999997E-2</v>
      </c>
      <c r="E27" s="165">
        <f t="shared" si="10"/>
        <v>7.4999999999999997E-2</v>
      </c>
      <c r="F27" s="165">
        <f t="shared" si="10"/>
        <v>7.4999999999999997E-2</v>
      </c>
    </row>
    <row r="28" spans="1:29" x14ac:dyDescent="0.25">
      <c r="A28" s="259" t="s">
        <v>6</v>
      </c>
      <c r="B28" s="157">
        <v>0</v>
      </c>
      <c r="C28" s="157">
        <v>0.1</v>
      </c>
      <c r="D28" s="157">
        <v>0.1</v>
      </c>
      <c r="E28" s="157">
        <v>0.1</v>
      </c>
      <c r="F28" s="157">
        <v>0</v>
      </c>
    </row>
    <row r="29" spans="1:29" x14ac:dyDescent="0.25">
      <c r="A29" s="259" t="s">
        <v>138</v>
      </c>
      <c r="B29" s="157">
        <v>0</v>
      </c>
      <c r="C29" s="157">
        <v>0</v>
      </c>
      <c r="D29" s="157">
        <v>0</v>
      </c>
      <c r="E29" s="157">
        <v>0</v>
      </c>
      <c r="F29" s="157">
        <v>0</v>
      </c>
    </row>
    <row r="30" spans="1:29" s="14" customFormat="1" x14ac:dyDescent="0.25">
      <c r="A30" s="259"/>
      <c r="B30" s="259"/>
      <c r="C30" s="259" t="s">
        <v>182</v>
      </c>
      <c r="D30" s="259" t="s">
        <v>182</v>
      </c>
      <c r="E30" s="259" t="s">
        <v>182</v>
      </c>
      <c r="F30" s="259"/>
      <c r="G30" s="259"/>
      <c r="H30" s="259"/>
      <c r="K30" s="259"/>
      <c r="L30" s="259"/>
      <c r="M30" s="259"/>
      <c r="N30" s="259"/>
      <c r="S30" s="259"/>
    </row>
    <row r="31" spans="1:29" x14ac:dyDescent="0.25">
      <c r="A31" s="259"/>
      <c r="B31" s="259" t="s">
        <v>33</v>
      </c>
      <c r="C31" s="165">
        <f>B25</f>
        <v>7.0865384615384608E-2</v>
      </c>
      <c r="D31" s="165">
        <f t="shared" ref="D31:E33" si="11">C31</f>
        <v>7.0865384615384608E-2</v>
      </c>
      <c r="E31" s="165">
        <f t="shared" si="11"/>
        <v>7.0865384615384608E-2</v>
      </c>
      <c r="F31" s="157"/>
    </row>
    <row r="32" spans="1:29" x14ac:dyDescent="0.25">
      <c r="A32" s="259"/>
      <c r="B32" s="259" t="s">
        <v>1</v>
      </c>
      <c r="C32" s="165">
        <f>B26</f>
        <v>0.125</v>
      </c>
      <c r="D32" s="165">
        <f t="shared" si="11"/>
        <v>0.125</v>
      </c>
      <c r="E32" s="165">
        <f t="shared" si="11"/>
        <v>0.125</v>
      </c>
      <c r="F32" s="157"/>
    </row>
    <row r="33" spans="1:6" x14ac:dyDescent="0.25">
      <c r="A33" s="259"/>
      <c r="B33" s="259" t="s">
        <v>2</v>
      </c>
      <c r="C33" s="165">
        <f>B27</f>
        <v>7.4999999999999997E-2</v>
      </c>
      <c r="D33" s="165">
        <f t="shared" si="11"/>
        <v>7.4999999999999997E-2</v>
      </c>
      <c r="E33" s="165">
        <f t="shared" si="11"/>
        <v>7.4999999999999997E-2</v>
      </c>
      <c r="F33" s="157"/>
    </row>
    <row r="34" spans="1:6" x14ac:dyDescent="0.25">
      <c r="A34" s="259"/>
      <c r="B34" s="259" t="s">
        <v>6</v>
      </c>
      <c r="C34" s="157">
        <v>0.1</v>
      </c>
      <c r="D34" s="157">
        <v>0.1</v>
      </c>
      <c r="E34" s="157">
        <v>0.1</v>
      </c>
      <c r="F34" s="157"/>
    </row>
    <row r="35" spans="1:6" x14ac:dyDescent="0.25">
      <c r="A35" s="259"/>
      <c r="B35" s="259" t="s">
        <v>138</v>
      </c>
      <c r="C35" s="157">
        <v>0</v>
      </c>
      <c r="D35" s="157">
        <v>0</v>
      </c>
      <c r="E35" s="157">
        <v>0</v>
      </c>
      <c r="F35" s="157"/>
    </row>
  </sheetData>
  <conditionalFormatting sqref="E3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{9A98574C-BE55-4ED2-849F-3C79D730A6E2}</x14:id>
        </ext>
      </extLst>
    </cfRule>
  </conditionalFormatting>
  <conditionalFormatting sqref="B19:F23 B25:F29 C31:E35 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{588FECE8-0AE6-4D14-AE63-B550E0F473E6}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8574C-BE55-4ED2-849F-3C79D730A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588FECE8-0AE6-4D14-AE63-B550E0F47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B19:F23 B25:F29 C31:E35 D17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137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98" t="s">
        <v>146</v>
      </c>
      <c r="Q1" s="298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139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144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299" t="s">
        <v>150</v>
      </c>
      <c r="C3" s="299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140</v>
      </c>
      <c r="Q3" t="s">
        <v>8</v>
      </c>
      <c r="R3" s="16" t="s">
        <v>141</v>
      </c>
      <c r="Y3" t="s">
        <v>7</v>
      </c>
      <c r="Z3" s="19" t="s">
        <v>140</v>
      </c>
      <c r="AA3" t="s">
        <v>8</v>
      </c>
      <c r="AB3" s="19" t="s">
        <v>141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147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148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149</v>
      </c>
      <c r="B5" s="154">
        <v>352</v>
      </c>
      <c r="C5" s="154">
        <v>352</v>
      </c>
      <c r="E5" s="50" t="s">
        <v>27</v>
      </c>
      <c r="F5" s="10" t="s">
        <v>28</v>
      </c>
      <c r="G5" s="10">
        <v>12</v>
      </c>
      <c r="H5" s="10"/>
      <c r="I5" s="10"/>
      <c r="J5" s="11" t="s">
        <v>28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29</v>
      </c>
      <c r="X5" s="15" t="s">
        <v>30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31</v>
      </c>
      <c r="B6" s="3"/>
      <c r="C6" s="4"/>
      <c r="E6" s="50" t="s">
        <v>32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34</v>
      </c>
      <c r="X6" s="15" t="s">
        <v>35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36</v>
      </c>
      <c r="B7" s="3"/>
      <c r="C7" s="4"/>
      <c r="E7" s="50" t="s">
        <v>37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142</v>
      </c>
      <c r="X7" s="15" t="s">
        <v>143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39</v>
      </c>
      <c r="B8" s="3"/>
      <c r="C8" s="4"/>
      <c r="E8" s="50" t="s">
        <v>37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40</v>
      </c>
      <c r="X8" s="15" t="s">
        <v>41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42</v>
      </c>
      <c r="B9" s="3"/>
      <c r="C9" s="4"/>
      <c r="E9" s="50" t="s">
        <v>37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43</v>
      </c>
      <c r="X9" s="15" t="s">
        <v>44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45</v>
      </c>
      <c r="B10" s="3"/>
      <c r="C10" s="4"/>
      <c r="E10" s="50" t="s">
        <v>32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48</v>
      </c>
      <c r="B11" s="3"/>
      <c r="C11" s="4"/>
      <c r="E11" s="50" t="s">
        <v>49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50</v>
      </c>
      <c r="X11" s="15" t="s">
        <v>51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52</v>
      </c>
      <c r="B12" s="3"/>
      <c r="C12" s="4"/>
      <c r="E12" s="50" t="s">
        <v>49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53</v>
      </c>
      <c r="X12" s="15" t="s">
        <v>54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55</v>
      </c>
      <c r="B13" s="3">
        <v>8.25</v>
      </c>
      <c r="C13" s="4">
        <v>11</v>
      </c>
      <c r="E13" s="50" t="s">
        <v>49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56</v>
      </c>
      <c r="X13" s="15" t="s">
        <v>57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58</v>
      </c>
      <c r="B14" s="3">
        <v>7.75</v>
      </c>
      <c r="C14" s="4">
        <v>10</v>
      </c>
      <c r="E14" s="50" t="s">
        <v>59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60</v>
      </c>
      <c r="X14" s="15" t="s">
        <v>61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62</v>
      </c>
      <c r="B15" s="52"/>
      <c r="C15" s="54"/>
      <c r="E15" s="50" t="s">
        <v>59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63</v>
      </c>
      <c r="X15" s="15" t="s">
        <v>64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65</v>
      </c>
      <c r="B16" s="52">
        <f>AVERAGE(G5:G18)</f>
        <v>12</v>
      </c>
      <c r="C16" s="54">
        <f>AVERAGE(K5:K18)</f>
        <v>12</v>
      </c>
      <c r="E16" s="50" t="s">
        <v>66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67</v>
      </c>
      <c r="X16" s="15" t="s">
        <v>68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69</v>
      </c>
      <c r="B17" s="53" t="s">
        <v>70</v>
      </c>
      <c r="C17" s="55" t="s">
        <v>70</v>
      </c>
      <c r="E17" s="50" t="s">
        <v>66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71</v>
      </c>
      <c r="X17" s="15" t="s">
        <v>72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73</v>
      </c>
      <c r="B18" s="53">
        <v>20</v>
      </c>
      <c r="C18" s="55">
        <v>20</v>
      </c>
      <c r="E18" s="50" t="s">
        <v>66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74</v>
      </c>
      <c r="X18" s="15" t="s">
        <v>75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145</v>
      </c>
      <c r="L19" s="13" t="s">
        <v>145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76</v>
      </c>
      <c r="W19" s="48" t="s">
        <v>77</v>
      </c>
      <c r="X19" s="15" t="s">
        <v>78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76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79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80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81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82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86</v>
      </c>
      <c r="H23" s="100" t="s">
        <v>18</v>
      </c>
      <c r="I23" s="99" t="s">
        <v>87</v>
      </c>
      <c r="J23" s="101" t="s">
        <v>88</v>
      </c>
      <c r="K23" s="99" t="s">
        <v>89</v>
      </c>
      <c r="L23" s="101" t="s">
        <v>18</v>
      </c>
      <c r="M23" s="83" t="s">
        <v>90</v>
      </c>
      <c r="N23" s="27" t="s">
        <v>91</v>
      </c>
      <c r="O23" s="27" t="s">
        <v>92</v>
      </c>
      <c r="P23" s="27" t="s">
        <v>18</v>
      </c>
      <c r="Q23" s="27" t="s">
        <v>93</v>
      </c>
      <c r="R23" s="27" t="s">
        <v>18</v>
      </c>
      <c r="S23" s="27" t="s">
        <v>94</v>
      </c>
      <c r="T23" s="132" t="s">
        <v>18</v>
      </c>
      <c r="U23" s="136" t="s">
        <v>95</v>
      </c>
      <c r="V23" s="137" t="s">
        <v>91</v>
      </c>
      <c r="W23" s="83" t="s">
        <v>96</v>
      </c>
      <c r="X23" s="27" t="s">
        <v>97</v>
      </c>
      <c r="Y23" s="27" t="s">
        <v>18</v>
      </c>
      <c r="Z23" s="27" t="s">
        <v>98</v>
      </c>
      <c r="AA23" s="27" t="s">
        <v>18</v>
      </c>
      <c r="AB23" s="27" t="s">
        <v>99</v>
      </c>
      <c r="AC23" s="27" t="s">
        <v>18</v>
      </c>
      <c r="AD23" s="27" t="s">
        <v>100</v>
      </c>
      <c r="AE23" s="27" t="s">
        <v>18</v>
      </c>
      <c r="AF23" s="27" t="s">
        <v>101</v>
      </c>
      <c r="AG23" s="27" t="s">
        <v>18</v>
      </c>
      <c r="AH23" s="27" t="s">
        <v>102</v>
      </c>
      <c r="AI23" s="27" t="s">
        <v>18</v>
      </c>
      <c r="AJ23" s="27" t="s">
        <v>103</v>
      </c>
      <c r="AK23" s="27" t="s">
        <v>18</v>
      </c>
      <c r="AL23" s="27" t="s">
        <v>104</v>
      </c>
      <c r="AM23" s="27" t="s">
        <v>18</v>
      </c>
      <c r="AN23" s="27" t="s">
        <v>105</v>
      </c>
      <c r="AO23" s="27" t="s">
        <v>18</v>
      </c>
      <c r="AP23" s="27" t="s">
        <v>106</v>
      </c>
      <c r="AQ23" s="27" t="s">
        <v>18</v>
      </c>
      <c r="AR23" s="27" t="s">
        <v>107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83</v>
      </c>
      <c r="B24" s="64" t="e">
        <f>B23/B21</f>
        <v>#DIV/0!</v>
      </c>
      <c r="C24" s="65" t="e">
        <f>C23/B21</f>
        <v>#DIV/0!</v>
      </c>
      <c r="D24" s="13" t="s">
        <v>84</v>
      </c>
      <c r="E24" s="13" t="s">
        <v>85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108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109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110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111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112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113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114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115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116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117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118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119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120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13" priority="1" operator="greaterThan">
      <formula>0.15</formula>
    </cfRule>
  </conditionalFormatting>
  <conditionalFormatting sqref="H38:H48">
    <cfRule type="cellIs" dxfId="12" priority="2" operator="greaterThan">
      <formula>0.15</formula>
    </cfRule>
  </conditionalFormatting>
  <conditionalFormatting sqref="H48">
    <cfRule type="cellIs" dxfId="11" priority="3" operator="greaterThan">
      <formula>0.15</formula>
    </cfRule>
  </conditionalFormatting>
  <conditionalFormatting sqref="H38:H48">
    <cfRule type="cellIs" dxfId="10" priority="4" operator="greaterThan">
      <formula>0.15</formula>
    </cfRule>
  </conditionalFormatting>
  <conditionalFormatting sqref="H34">
    <cfRule type="cellIs" dxfId="9" priority="5" operator="greaterThan">
      <formula>0.15</formula>
    </cfRule>
  </conditionalFormatting>
  <conditionalFormatting sqref="H24:H34">
    <cfRule type="cellIs" dxfId="8" priority="6" operator="greaterThan">
      <formula>0.15</formula>
    </cfRule>
  </conditionalFormatting>
  <conditionalFormatting sqref="H34">
    <cfRule type="cellIs" dxfId="7" priority="7" operator="greaterThan">
      <formula>0.15</formula>
    </cfRule>
  </conditionalFormatting>
  <conditionalFormatting sqref="H24:H34">
    <cfRule type="cellIs" dxfId="6" priority="8" operator="greaterThan">
      <formula>0.15</formula>
    </cfRule>
  </conditionalFormatting>
  <conditionalFormatting sqref="V48">
    <cfRule type="cellIs" dxfId="5" priority="9" operator="greaterThan">
      <formula>0.15</formula>
    </cfRule>
  </conditionalFormatting>
  <conditionalFormatting sqref="V34">
    <cfRule type="cellIs" dxfId="4" priority="10" operator="greaterThan">
      <formula>0.15</formula>
    </cfRule>
  </conditionalFormatting>
  <conditionalFormatting sqref="V24:V34 V38:V48">
    <cfRule type="cellIs" dxfId="3" priority="11" operator="greaterThan">
      <formula>0.15</formula>
    </cfRule>
  </conditionalFormatting>
  <conditionalFormatting sqref="V48">
    <cfRule type="cellIs" dxfId="2" priority="12" operator="greaterThan">
      <formula>0.15</formula>
    </cfRule>
  </conditionalFormatting>
  <conditionalFormatting sqref="V34">
    <cfRule type="cellIs" dxfId="1" priority="13" operator="greaterThan">
      <formula>0.15</formula>
    </cfRule>
  </conditionalFormatting>
  <conditionalFormatting sqref="V24:V34 V38:V48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D76D-BB96-468F-9D75-49664509D415}">
  <sheetPr>
    <tabColor theme="9" tint="-0.249977111117893"/>
  </sheetPr>
  <dimension ref="A1:BS59"/>
  <sheetViews>
    <sheetView zoomScale="90" zoomScaleNormal="90" workbookViewId="0">
      <selection activeCell="S11" sqref="S11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65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4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7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65" t="s">
        <v>189</v>
      </c>
      <c r="B2" s="31" t="s">
        <v>187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3.5750000000000002</v>
      </c>
      <c r="O2" s="208"/>
      <c r="P2" s="210"/>
      <c r="Q2" s="210"/>
      <c r="R2" s="166">
        <f>SUM(R4:R15)</f>
        <v>2.9750000000000001</v>
      </c>
      <c r="S2" s="166">
        <f>SUM(S4:S15)</f>
        <v>3.5750000000000002</v>
      </c>
      <c r="T2" s="219">
        <f t="shared" ref="T2:U2" si="0">SUM(T4:T15)</f>
        <v>1.1238265220006469</v>
      </c>
      <c r="U2" s="219">
        <f t="shared" si="0"/>
        <v>0.67032591085540982</v>
      </c>
      <c r="V2" s="157"/>
      <c r="W2" s="157"/>
      <c r="X2" s="253">
        <f t="shared" ref="X2:Y2" si="1">SUM(X4:X15)</f>
        <v>0.62497678731605388</v>
      </c>
      <c r="Y2" s="254">
        <f t="shared" si="1"/>
        <v>0.4271912056082644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4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42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42" t="s">
        <v>33</v>
      </c>
      <c r="F4" s="242" t="s">
        <v>151</v>
      </c>
      <c r="G4" s="242" t="s">
        <v>1</v>
      </c>
      <c r="H4" s="242" t="s">
        <v>151</v>
      </c>
      <c r="I4" s="242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2">IF(P4+Q4=0,0,N4)</f>
        <v>0.45</v>
      </c>
      <c r="S4" s="221">
        <f t="shared" ref="S4:S15" si="3">R4*$N$2/$R$2</f>
        <v>0.54075630252100848</v>
      </c>
      <c r="T4" s="226">
        <f>IF(S4=0,0,S4*(P4^2.7/(P4^2.7+Q4^2.7))*P4/L4)</f>
        <v>0.18025210084033616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0.10274369747899161</v>
      </c>
      <c r="Y4" s="252">
        <f>W4*U4</f>
        <v>0</v>
      </c>
      <c r="Z4" s="190"/>
      <c r="AA4" s="244">
        <f t="shared" ref="AA4:AA14" si="4">X5</f>
        <v>0</v>
      </c>
      <c r="AB4" s="245">
        <f t="shared" ref="AB4:AB15" si="5">(1-AA4)</f>
        <v>1</v>
      </c>
      <c r="AC4" s="245">
        <f>AA4*AB3*PRODUCT(AB5:AB17)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5" si="6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7">$H$25*H40</f>
        <v>3.085739488460823E-2</v>
      </c>
      <c r="BM4" s="31">
        <v>0</v>
      </c>
      <c r="BN4" s="31">
        <v>0</v>
      </c>
      <c r="BO4" s="107">
        <f>H25*H39</f>
        <v>1.3703143835425773E-2</v>
      </c>
      <c r="BQ4" s="31">
        <v>1</v>
      </c>
      <c r="BR4" s="31">
        <v>0</v>
      </c>
      <c r="BS4" s="107">
        <f>$H$26*H39</f>
        <v>3.2852347940281093E-2</v>
      </c>
    </row>
    <row r="5" spans="1:71" ht="15.75" x14ac:dyDescent="0.25">
      <c r="A5" s="40" t="s">
        <v>26</v>
      </c>
      <c r="B5" s="154">
        <v>352</v>
      </c>
      <c r="C5" s="154">
        <v>550</v>
      </c>
      <c r="E5" s="242" t="s">
        <v>1</v>
      </c>
      <c r="F5" s="242" t="s">
        <v>1</v>
      </c>
      <c r="G5" s="242" t="s">
        <v>151</v>
      </c>
      <c r="H5" s="242" t="s">
        <v>151</v>
      </c>
      <c r="I5" s="242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8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2"/>
        <v>0.35</v>
      </c>
      <c r="S5" s="221">
        <f t="shared" si="3"/>
        <v>0.42058823529411765</v>
      </c>
      <c r="T5" s="226">
        <f t="shared" ref="T5:T9" si="9">IF(S5=0,0,S5*(P5^2.7/(P5^2.7+Q5^2.7))*P5/L5)</f>
        <v>0</v>
      </c>
      <c r="U5" s="228">
        <f t="shared" ref="U5:U9" si="10">IF(S5=0,0,S5*Q5^2.7/(P5^2.7+Q5^2.7)*Q5/L5)</f>
        <v>5.2573529411764706E-2</v>
      </c>
      <c r="V5" s="218">
        <f>$G$17</f>
        <v>0.56999999999999995</v>
      </c>
      <c r="W5" s="216">
        <f>$H$17</f>
        <v>0.56999999999999995</v>
      </c>
      <c r="X5" s="251">
        <f t="shared" ref="X5:Y15" si="11">V5*T5</f>
        <v>0</v>
      </c>
      <c r="Y5" s="252">
        <f t="shared" si="11"/>
        <v>2.9966911764705881E-2</v>
      </c>
      <c r="Z5" s="199"/>
      <c r="AA5" s="244">
        <f t="shared" si="4"/>
        <v>3.2444059469632448E-2</v>
      </c>
      <c r="AB5" s="245">
        <f t="shared" si="5"/>
        <v>0.96755594053036753</v>
      </c>
      <c r="AC5" s="245">
        <f>AA5*PRODUCT(AB3:AB4)*PRODUCT(AB6:AB17)</f>
        <v>1.8847312670836096E-2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1.1411644188745906E-2</v>
      </c>
      <c r="AE5" s="183"/>
      <c r="AF5" s="197"/>
      <c r="AG5" s="246">
        <f t="shared" ref="AG5:AG15" si="12">Y5</f>
        <v>2.9966911764705881E-2</v>
      </c>
      <c r="AH5" s="247">
        <f t="shared" si="6"/>
        <v>0.97003308823529411</v>
      </c>
      <c r="AI5" s="247">
        <f>AG5*PRODUCT(AH3:AH4)*PRODUCT(AH6:AH17)</f>
        <v>1.9610102029112085E-2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8.8996292971103216E-3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7"/>
        <v>3.2142101783911442E-2</v>
      </c>
      <c r="BM5" s="31">
        <v>1</v>
      </c>
      <c r="BN5" s="31">
        <v>1</v>
      </c>
      <c r="BO5" s="107">
        <f>$H$26*H40</f>
        <v>7.3978488838382789E-2</v>
      </c>
      <c r="BQ5" s="31">
        <f>BQ4+1</f>
        <v>2</v>
      </c>
      <c r="BR5" s="31">
        <v>0</v>
      </c>
      <c r="BS5" s="107">
        <f>$H$27*H39</f>
        <v>3.6432796259801351E-2</v>
      </c>
    </row>
    <row r="6" spans="1:71" ht="15.75" x14ac:dyDescent="0.25">
      <c r="A6" s="2" t="s">
        <v>31</v>
      </c>
      <c r="B6" s="232">
        <v>4.5</v>
      </c>
      <c r="C6" s="233">
        <v>9.5</v>
      </c>
      <c r="E6" s="211"/>
      <c r="F6" s="242" t="s">
        <v>151</v>
      </c>
      <c r="G6" s="242" t="s">
        <v>1</v>
      </c>
      <c r="H6" s="242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8"/>
        <v>0.45</v>
      </c>
      <c r="O6" s="209" t="s">
        <v>33</v>
      </c>
      <c r="P6" s="212">
        <f>COUNTIF(E4:I6,"IMP")</f>
        <v>2</v>
      </c>
      <c r="Q6" s="214">
        <f>COUNTIF(E9:I11,"IMP")</f>
        <v>1</v>
      </c>
      <c r="R6" s="221">
        <f t="shared" si="2"/>
        <v>0.45</v>
      </c>
      <c r="S6" s="221">
        <f t="shared" si="3"/>
        <v>0.54075630252100848</v>
      </c>
      <c r="T6" s="226">
        <f t="shared" si="9"/>
        <v>7.2097909932516552E-2</v>
      </c>
      <c r="U6" s="228">
        <f t="shared" si="10"/>
        <v>5.5476836892039182E-3</v>
      </c>
      <c r="V6" s="218">
        <f>$G$18</f>
        <v>0.45</v>
      </c>
      <c r="W6" s="216">
        <f>$H$18</f>
        <v>0.45</v>
      </c>
      <c r="X6" s="251">
        <f t="shared" si="11"/>
        <v>3.2444059469632448E-2</v>
      </c>
      <c r="Y6" s="252">
        <f t="shared" si="11"/>
        <v>2.4964576601417634E-3</v>
      </c>
      <c r="Z6" s="199"/>
      <c r="AA6" s="244">
        <f t="shared" si="4"/>
        <v>0</v>
      </c>
      <c r="AB6" s="245">
        <f t="shared" si="5"/>
        <v>1</v>
      </c>
      <c r="AC6" s="245">
        <f>AA6*PRODUCT(AB3:AB5)*PRODUCT(AB7:AB17)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2"/>
        <v>2.4964576601417634E-3</v>
      </c>
      <c r="AH6" s="247">
        <f t="shared" si="6"/>
        <v>0.99750354233985827</v>
      </c>
      <c r="AI6" s="247">
        <f>AG6*PRODUCT(AH3:AH5)*PRODUCT(AH7:AH17)</f>
        <v>1.5886717423867268E-3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7.1700903109794736E-4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7"/>
        <v>2.0529713394709645E-2</v>
      </c>
      <c r="BM6" s="31">
        <f>BI14+1</f>
        <v>2</v>
      </c>
      <c r="BN6" s="31">
        <v>2</v>
      </c>
      <c r="BO6" s="107">
        <f>$H$27*H41</f>
        <v>8.5456787122650674E-2</v>
      </c>
      <c r="BQ6" s="31">
        <f>BM5+1</f>
        <v>2</v>
      </c>
      <c r="BR6" s="31">
        <v>1</v>
      </c>
      <c r="BS6" s="107">
        <f>$H$27*H40</f>
        <v>8.2041113662749285E-2</v>
      </c>
    </row>
    <row r="7" spans="1:71" ht="15.75" x14ac:dyDescent="0.25">
      <c r="A7" s="5" t="s">
        <v>36</v>
      </c>
      <c r="B7" s="232">
        <v>17.75</v>
      </c>
      <c r="C7" s="233">
        <v>19.25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0.02</v>
      </c>
      <c r="N7" s="222">
        <f t="shared" si="8"/>
        <v>0.02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2</v>
      </c>
      <c r="R7" s="221">
        <f t="shared" si="2"/>
        <v>0.02</v>
      </c>
      <c r="S7" s="221">
        <f t="shared" si="3"/>
        <v>2.4033613445378153E-2</v>
      </c>
      <c r="T7" s="226">
        <f t="shared" si="9"/>
        <v>0</v>
      </c>
      <c r="U7" s="228">
        <f t="shared" si="10"/>
        <v>6.0084033613445383E-3</v>
      </c>
      <c r="V7" s="218">
        <f>$G$18</f>
        <v>0.45</v>
      </c>
      <c r="W7" s="216">
        <f>$H$18</f>
        <v>0.45</v>
      </c>
      <c r="X7" s="251">
        <f t="shared" si="11"/>
        <v>0</v>
      </c>
      <c r="Y7" s="252">
        <f t="shared" si="11"/>
        <v>2.7037815126050423E-3</v>
      </c>
      <c r="Z7" s="199"/>
      <c r="AA7" s="244">
        <f t="shared" si="4"/>
        <v>0.21130968625214225</v>
      </c>
      <c r="AB7" s="245">
        <f t="shared" si="5"/>
        <v>0.78869031374785781</v>
      </c>
      <c r="AC7" s="245">
        <f>AA7*PRODUCT(AB3:AB6)*PRODUCT(AB8:AB17)</f>
        <v>0.15059246024137526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5.0833056389914102E-2</v>
      </c>
      <c r="AE7" s="183"/>
      <c r="AF7" s="197"/>
      <c r="AG7" s="246">
        <f t="shared" si="12"/>
        <v>2.7037815126050423E-3</v>
      </c>
      <c r="AH7" s="247">
        <f t="shared" si="6"/>
        <v>0.99729621848739491</v>
      </c>
      <c r="AI7" s="247">
        <f>AG7*PRODUCT(AH3:AH6)*PRODUCT(AH8:AH17)</f>
        <v>1.7209641937491523E-3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7.7205034174038397E-4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7"/>
        <v>8.9815987231937847E-3</v>
      </c>
      <c r="BM7" s="31">
        <f>BI23+1</f>
        <v>3</v>
      </c>
      <c r="BN7" s="31">
        <v>3</v>
      </c>
      <c r="BO7" s="107">
        <f>$H$28*H42</f>
        <v>3.7192984662239144E-2</v>
      </c>
      <c r="BQ7" s="31">
        <f>BQ5+1</f>
        <v>3</v>
      </c>
      <c r="BR7" s="31">
        <v>0</v>
      </c>
      <c r="BS7" s="107">
        <f>$H$28*H39</f>
        <v>2.4825520390693013E-2</v>
      </c>
    </row>
    <row r="8" spans="1:71" ht="15.75" x14ac:dyDescent="0.25">
      <c r="A8" s="5" t="s">
        <v>39</v>
      </c>
      <c r="B8" s="232">
        <v>16.75</v>
      </c>
      <c r="C8" s="233">
        <v>18.5</v>
      </c>
      <c r="E8" s="213"/>
      <c r="F8" s="214"/>
      <c r="G8" s="243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8"/>
        <v>0.5</v>
      </c>
      <c r="O8" s="209" t="s">
        <v>170</v>
      </c>
      <c r="P8" s="212">
        <f>COUNTIF(E5:I6,"RAP")</f>
        <v>5</v>
      </c>
      <c r="Q8" s="214">
        <f>COUNTIF(E10:I11,"RAP")</f>
        <v>1</v>
      </c>
      <c r="R8" s="221">
        <f t="shared" si="2"/>
        <v>0.5</v>
      </c>
      <c r="S8" s="221">
        <f t="shared" si="3"/>
        <v>0.60084033613445376</v>
      </c>
      <c r="T8" s="226">
        <f t="shared" si="9"/>
        <v>0.37071874781077591</v>
      </c>
      <c r="U8" s="228">
        <f t="shared" si="10"/>
        <v>9.612924546515435E-4</v>
      </c>
      <c r="V8" s="218">
        <f>$G$17</f>
        <v>0.56999999999999995</v>
      </c>
      <c r="W8" s="216">
        <f>$H$17</f>
        <v>0.56999999999999995</v>
      </c>
      <c r="X8" s="251">
        <f t="shared" si="11"/>
        <v>0.21130968625214225</v>
      </c>
      <c r="Y8" s="252">
        <f t="shared" si="11"/>
        <v>5.4793669915137976E-4</v>
      </c>
      <c r="Z8" s="199"/>
      <c r="AA8" s="244">
        <f t="shared" si="4"/>
        <v>0.21130968625214225</v>
      </c>
      <c r="AB8" s="245">
        <f t="shared" si="5"/>
        <v>0.78869031374785781</v>
      </c>
      <c r="AC8" s="245">
        <f>AA8*PRODUCT(AB3:AB7)*PRODUCT(AB9:AB17)</f>
        <v>0.15059246024137526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1.0485603186987467E-2</v>
      </c>
      <c r="AE8" s="183"/>
      <c r="AF8" s="197"/>
      <c r="AG8" s="246">
        <f t="shared" si="12"/>
        <v>5.4793669915137976E-4</v>
      </c>
      <c r="AH8" s="247">
        <f t="shared" si="6"/>
        <v>0.99945206330084857</v>
      </c>
      <c r="AI8" s="247">
        <f>AG8*PRODUCT(AH3:AH7)*PRODUCT(AH9:AH17)</f>
        <v>3.4801088898603859E-4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1.5593211045254111E-4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7"/>
        <v>2.8455445859186905E-3</v>
      </c>
      <c r="BM8" s="31">
        <f>BI31+1</f>
        <v>4</v>
      </c>
      <c r="BN8" s="31">
        <v>4</v>
      </c>
      <c r="BO8" s="107">
        <f>$H$29*H43</f>
        <v>7.6309672166755211E-3</v>
      </c>
      <c r="BQ8" s="31">
        <f>BQ6+1</f>
        <v>3</v>
      </c>
      <c r="BR8" s="31">
        <v>1</v>
      </c>
      <c r="BS8" s="107">
        <f>$H$28*H40</f>
        <v>5.5903294536768296E-2</v>
      </c>
    </row>
    <row r="9" spans="1:71" ht="15.75" x14ac:dyDescent="0.25">
      <c r="A9" s="5" t="s">
        <v>42</v>
      </c>
      <c r="B9" s="232">
        <v>17.5</v>
      </c>
      <c r="C9" s="233">
        <v>19</v>
      </c>
      <c r="E9" s="243" t="s">
        <v>2</v>
      </c>
      <c r="F9" s="243" t="s">
        <v>138</v>
      </c>
      <c r="G9" s="243" t="s">
        <v>6</v>
      </c>
      <c r="H9" s="243" t="s">
        <v>151</v>
      </c>
      <c r="I9" s="243" t="s">
        <v>138</v>
      </c>
      <c r="J9" s="208"/>
      <c r="K9" s="209">
        <v>16</v>
      </c>
      <c r="L9" s="209">
        <v>8</v>
      </c>
      <c r="M9" s="222">
        <v>0.5</v>
      </c>
      <c r="N9" s="222">
        <f t="shared" si="8"/>
        <v>0.5</v>
      </c>
      <c r="O9" s="209" t="s">
        <v>171</v>
      </c>
      <c r="P9" s="212">
        <f>COUNTIF(E5:I6,"RAP")</f>
        <v>5</v>
      </c>
      <c r="Q9" s="214">
        <f>COUNTIF(E10:I11,"RAP")</f>
        <v>1</v>
      </c>
      <c r="R9" s="221">
        <f t="shared" si="2"/>
        <v>0.5</v>
      </c>
      <c r="S9" s="221">
        <f t="shared" si="3"/>
        <v>0.60084033613445376</v>
      </c>
      <c r="T9" s="226">
        <f t="shared" si="9"/>
        <v>0.37071874781077591</v>
      </c>
      <c r="U9" s="228">
        <f t="shared" si="10"/>
        <v>9.612924546515435E-4</v>
      </c>
      <c r="V9" s="218">
        <f>$G$17</f>
        <v>0.56999999999999995</v>
      </c>
      <c r="W9" s="216">
        <f>$H$17</f>
        <v>0.56999999999999995</v>
      </c>
      <c r="X9" s="251">
        <f t="shared" si="11"/>
        <v>0.21130968625214225</v>
      </c>
      <c r="Y9" s="252">
        <f t="shared" si="11"/>
        <v>5.4793669915137976E-4</v>
      </c>
      <c r="Z9" s="199"/>
      <c r="AA9" s="244">
        <f t="shared" si="4"/>
        <v>2.6072178871548623E-2</v>
      </c>
      <c r="AB9" s="245">
        <f t="shared" si="5"/>
        <v>0.97392782112845133</v>
      </c>
      <c r="AC9" s="245">
        <f>AA9*PRODUCT(AB3:AB8)*PRODUCT(AB10:AB17)</f>
        <v>1.5046686945667324E-2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6.4488400759692556E-4</v>
      </c>
      <c r="AE9" s="183"/>
      <c r="AF9" s="197"/>
      <c r="AG9" s="246">
        <f t="shared" si="12"/>
        <v>5.4793669915137976E-4</v>
      </c>
      <c r="AH9" s="247">
        <f t="shared" si="6"/>
        <v>0.99945206330084857</v>
      </c>
      <c r="AI9" s="247">
        <f>AG9*PRODUCT(AH3:AH8)*PRODUCT(AH10:AH17)</f>
        <v>3.4801088898603853E-4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1.5574131797255967E-4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7"/>
        <v>6.7241158657864648E-4</v>
      </c>
      <c r="BM9" s="31">
        <f>BI38+1</f>
        <v>5</v>
      </c>
      <c r="BN9" s="31">
        <v>5</v>
      </c>
      <c r="BO9" s="107">
        <f>$H$30*H44</f>
        <v>8.2819097113674765E-4</v>
      </c>
      <c r="BQ9" s="31">
        <f>BM6+1</f>
        <v>3</v>
      </c>
      <c r="BR9" s="31">
        <v>2</v>
      </c>
      <c r="BS9" s="107">
        <f>$H$28*H41</f>
        <v>5.8230754403478878E-2</v>
      </c>
    </row>
    <row r="10" spans="1:71" ht="15.75" x14ac:dyDescent="0.25">
      <c r="A10" s="6" t="s">
        <v>45</v>
      </c>
      <c r="B10" s="232">
        <v>19.75</v>
      </c>
      <c r="C10" s="233">
        <v>3.5</v>
      </c>
      <c r="E10" s="243" t="s">
        <v>33</v>
      </c>
      <c r="F10" s="243" t="s">
        <v>151</v>
      </c>
      <c r="G10" s="243" t="s">
        <v>138</v>
      </c>
      <c r="H10" s="243" t="s">
        <v>138</v>
      </c>
      <c r="I10" s="243" t="s">
        <v>1</v>
      </c>
      <c r="J10" s="208"/>
      <c r="K10" s="209">
        <v>18</v>
      </c>
      <c r="L10" s="209" t="s">
        <v>172</v>
      </c>
      <c r="M10" s="222">
        <v>0.15</v>
      </c>
      <c r="N10" s="222">
        <f t="shared" si="8"/>
        <v>0.15</v>
      </c>
      <c r="O10" s="209" t="s">
        <v>173</v>
      </c>
      <c r="P10" s="212">
        <v>1</v>
      </c>
      <c r="Q10" s="214">
        <v>1</v>
      </c>
      <c r="R10" s="221">
        <f t="shared" si="2"/>
        <v>0.15</v>
      </c>
      <c r="S10" s="221">
        <f t="shared" si="3"/>
        <v>0.18025210084033613</v>
      </c>
      <c r="T10" s="226">
        <f>S10*G13</f>
        <v>5.7938175270108049E-2</v>
      </c>
      <c r="U10" s="228">
        <f>S10*G14</f>
        <v>0.12231392557022809</v>
      </c>
      <c r="V10" s="218">
        <f>$G$18</f>
        <v>0.45</v>
      </c>
      <c r="W10" s="216">
        <f>$H$18</f>
        <v>0.45</v>
      </c>
      <c r="X10" s="251">
        <f t="shared" si="11"/>
        <v>2.6072178871548623E-2</v>
      </c>
      <c r="Y10" s="252">
        <f t="shared" si="11"/>
        <v>5.504126650660264E-2</v>
      </c>
      <c r="Z10" s="199"/>
      <c r="AA10" s="244">
        <f t="shared" si="4"/>
        <v>0</v>
      </c>
      <c r="AB10" s="245">
        <f t="shared" si="5"/>
        <v>1</v>
      </c>
      <c r="AC10" s="245">
        <f>AA10*PRODUCT(AB3:AB9)*PRODUCT(AB11:AB17)</f>
        <v>0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183"/>
      <c r="AF10" s="197"/>
      <c r="AG10" s="246">
        <f t="shared" si="12"/>
        <v>5.504126650660264E-2</v>
      </c>
      <c r="AH10" s="247">
        <f t="shared" si="6"/>
        <v>0.94495873349339732</v>
      </c>
      <c r="AI10" s="247">
        <f>AG10*PRODUCT(AH3:AH9)*PRODUCT(AH11:AH17)</f>
        <v>3.6974302323421866E-2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1.4393032881513466E-2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7"/>
        <v>1.2011002457960934E-4</v>
      </c>
      <c r="BM10" s="31">
        <f>BI44+1</f>
        <v>6</v>
      </c>
      <c r="BN10" s="31">
        <v>6</v>
      </c>
      <c r="BO10" s="107">
        <f>$H$31*H45</f>
        <v>5.0709925899457004E-5</v>
      </c>
      <c r="BQ10" s="31">
        <f>BQ7+1</f>
        <v>4</v>
      </c>
      <c r="BR10" s="31">
        <v>0</v>
      </c>
      <c r="BS10" s="107">
        <f>$H$29*H39</f>
        <v>1.164249757712842E-2</v>
      </c>
    </row>
    <row r="11" spans="1:71" ht="15.75" x14ac:dyDescent="0.25">
      <c r="A11" s="6" t="s">
        <v>48</v>
      </c>
      <c r="B11" s="232">
        <v>7.5</v>
      </c>
      <c r="C11" s="233">
        <v>2.5</v>
      </c>
      <c r="E11" s="213"/>
      <c r="F11" s="243" t="s">
        <v>151</v>
      </c>
      <c r="G11" s="243" t="s">
        <v>151</v>
      </c>
      <c r="H11" s="243" t="s">
        <v>185</v>
      </c>
      <c r="I11" s="213"/>
      <c r="J11" s="208"/>
      <c r="K11" s="209">
        <v>19</v>
      </c>
      <c r="L11" s="209" t="s">
        <v>172</v>
      </c>
      <c r="M11" s="222">
        <v>0.23</v>
      </c>
      <c r="N11" s="222">
        <f t="shared" si="8"/>
        <v>0.23</v>
      </c>
      <c r="O11" s="209" t="s">
        <v>174</v>
      </c>
      <c r="P11" s="212">
        <f>COUNTIF(E4:I6,"CAB")</f>
        <v>0</v>
      </c>
      <c r="Q11" s="214">
        <f>COUNTIF(E9:I11,"CAB")</f>
        <v>4</v>
      </c>
      <c r="R11" s="221">
        <f t="shared" si="2"/>
        <v>0.23</v>
      </c>
      <c r="S11" s="221">
        <f t="shared" si="3"/>
        <v>0.27638655462184875</v>
      </c>
      <c r="T11" s="226">
        <f>IF(P11&gt;0,S11*G13,0)</f>
        <v>0</v>
      </c>
      <c r="U11" s="228">
        <f>IF(Q11&gt;0,S11*G14,0)</f>
        <v>0.18754801920768308</v>
      </c>
      <c r="V11" s="218">
        <f>IF(P11-Q11&gt;2,0.9,IF(P11-Q11&gt;1,0.75,IF(P11-Q11=0,0.5,0.15)))</f>
        <v>0.15</v>
      </c>
      <c r="W11" s="216">
        <f>IF(Q11-P11&gt;2,0.9,IF(Q11-P11&gt;1,0.75,IF(Q11-P11=0,0.5,0.15)))</f>
        <v>0.9</v>
      </c>
      <c r="X11" s="251">
        <f t="shared" si="11"/>
        <v>0</v>
      </c>
      <c r="Y11" s="252">
        <f t="shared" si="11"/>
        <v>0.16879321728691477</v>
      </c>
      <c r="Z11" s="199"/>
      <c r="AA11" s="244">
        <f t="shared" si="4"/>
        <v>0</v>
      </c>
      <c r="AB11" s="245">
        <f t="shared" si="5"/>
        <v>1</v>
      </c>
      <c r="AC11" s="245">
        <f>AA11*PRODUCT(AB3:AB10)*PRODUCT(AB12:AB17)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2"/>
        <v>0.16879321728691477</v>
      </c>
      <c r="AH11" s="247">
        <f t="shared" si="6"/>
        <v>0.83120678271308523</v>
      </c>
      <c r="AI11" s="247">
        <f>AG11*PRODUCT(AH3:AH10)*PRODUCT(AH12:AH17)</f>
        <v>0.12890516684988249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2.4002294520226522E-2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7"/>
        <v>1.623026870561241E-5</v>
      </c>
      <c r="BM11" s="31">
        <f>BI50+1</f>
        <v>7</v>
      </c>
      <c r="BN11" s="31">
        <v>7</v>
      </c>
      <c r="BO11" s="107">
        <f>$H$32*H46</f>
        <v>1.812618314457532E-6</v>
      </c>
      <c r="BQ11" s="31">
        <f>BQ8+1</f>
        <v>4</v>
      </c>
      <c r="BR11" s="31">
        <v>1</v>
      </c>
      <c r="BS11" s="107">
        <f>$H$29*H40</f>
        <v>2.6217133053203747E-2</v>
      </c>
    </row>
    <row r="12" spans="1:71" ht="15.75" x14ac:dyDescent="0.25">
      <c r="A12" s="6" t="s">
        <v>52</v>
      </c>
      <c r="B12" s="232">
        <v>19.5</v>
      </c>
      <c r="C12" s="233">
        <v>3</v>
      </c>
      <c r="E12" s="210"/>
      <c r="F12" s="210"/>
      <c r="G12" s="210"/>
      <c r="H12" s="210" t="s">
        <v>190</v>
      </c>
      <c r="I12" s="210"/>
      <c r="J12" s="208"/>
      <c r="K12" s="209">
        <v>25</v>
      </c>
      <c r="L12" s="209">
        <v>5</v>
      </c>
      <c r="M12" s="222">
        <v>2.5000000000000001E-2</v>
      </c>
      <c r="N12" s="222">
        <f t="shared" si="8"/>
        <v>2.5000000000000001E-2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2"/>
        <v>2.5000000000000001E-2</v>
      </c>
      <c r="S12" s="221">
        <f t="shared" si="3"/>
        <v>3.004201680672269E-2</v>
      </c>
      <c r="T12" s="226">
        <f t="shared" ref="T12" si="13">IF(S12=0,0,S12*(P12^2.7/(P12^2.7+Q12^2.7))*P12/L12)</f>
        <v>0</v>
      </c>
      <c r="U12" s="228">
        <f>IF(S12=0,0,S12*Q12^2.7/(P12^2.7+Q12^2.7)*Q12/L12)</f>
        <v>6.0084033613445383E-3</v>
      </c>
      <c r="V12" s="218">
        <f>$G$18</f>
        <v>0.45</v>
      </c>
      <c r="W12" s="216">
        <f>$H$18</f>
        <v>0.45</v>
      </c>
      <c r="X12" s="251">
        <f t="shared" si="11"/>
        <v>0</v>
      </c>
      <c r="Y12" s="252">
        <f t="shared" si="11"/>
        <v>2.7037815126050423E-3</v>
      </c>
      <c r="Z12" s="199"/>
      <c r="AA12" s="244">
        <f t="shared" si="4"/>
        <v>0</v>
      </c>
      <c r="AB12" s="245">
        <f t="shared" si="5"/>
        <v>1</v>
      </c>
      <c r="AC12" s="245">
        <f>AA12*PRODUCT(AB3:AB11)*PRODUCT(AB13:AB17)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2"/>
        <v>2.7037815126050423E-3</v>
      </c>
      <c r="AH12" s="247">
        <f t="shared" si="6"/>
        <v>0.99729621848739491</v>
      </c>
      <c r="AI12" s="247">
        <f>AG12*PRODUCT(AH3:AH11)*PRODUCT(AH13:AH17)</f>
        <v>1.7209641937491521E-3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3.1577984194019321E-4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7"/>
        <v>1.639411660660949E-6</v>
      </c>
      <c r="BM12" s="31">
        <f>BI54+1</f>
        <v>8</v>
      </c>
      <c r="BN12" s="31">
        <v>8</v>
      </c>
      <c r="BO12" s="107">
        <f>$H$33*H47</f>
        <v>3.8243598270398823E-8</v>
      </c>
      <c r="BQ12" s="31">
        <f>BQ9+1</f>
        <v>4</v>
      </c>
      <c r="BR12" s="31">
        <v>2</v>
      </c>
      <c r="BS12" s="107">
        <f>$H$29*H41</f>
        <v>2.7308648777047355E-2</v>
      </c>
    </row>
    <row r="13" spans="1:71" ht="15.75" x14ac:dyDescent="0.25">
      <c r="A13" s="7" t="s">
        <v>55</v>
      </c>
      <c r="B13" s="232">
        <v>14</v>
      </c>
      <c r="C13" s="233">
        <v>12</v>
      </c>
      <c r="E13" s="210"/>
      <c r="F13" s="210" t="s">
        <v>152</v>
      </c>
      <c r="G13" s="217">
        <f>B22</f>
        <v>0.32142857142857145</v>
      </c>
      <c r="H13" s="210"/>
      <c r="I13" s="210"/>
      <c r="J13" s="208"/>
      <c r="K13" s="209">
        <v>37</v>
      </c>
      <c r="L13" s="209">
        <v>2</v>
      </c>
      <c r="M13" s="222">
        <v>0.18</v>
      </c>
      <c r="N13" s="222">
        <f t="shared" si="8"/>
        <v>0.18</v>
      </c>
      <c r="O13" s="209" t="s">
        <v>175</v>
      </c>
      <c r="P13" s="212">
        <f>COUNTIF(E5:I6,"CAB")</f>
        <v>0</v>
      </c>
      <c r="Q13" s="214">
        <f>COUNTIF(E10:I11,"CAB")</f>
        <v>2</v>
      </c>
      <c r="R13" s="221">
        <f t="shared" si="2"/>
        <v>0.18</v>
      </c>
      <c r="S13" s="221">
        <f t="shared" si="3"/>
        <v>0.21630252100840333</v>
      </c>
      <c r="T13" s="226">
        <f>IF((Q13+P13)=0,0,S13*P13^2.7/(Q13^2.7+P13^2.7))</f>
        <v>0</v>
      </c>
      <c r="U13" s="228">
        <f>IF(P13+Q13=0,0,S13*Q13^2.7/(Q13^2.7+P13^2.7))</f>
        <v>0.21630252100840333</v>
      </c>
      <c r="V13" s="218">
        <f>$G$17</f>
        <v>0.56999999999999995</v>
      </c>
      <c r="W13" s="216">
        <f>$H$17</f>
        <v>0.56999999999999995</v>
      </c>
      <c r="X13" s="251">
        <f t="shared" si="11"/>
        <v>0</v>
      </c>
      <c r="Y13" s="252">
        <f t="shared" si="11"/>
        <v>0.12329243697478989</v>
      </c>
      <c r="Z13" s="199"/>
      <c r="AA13" s="244">
        <f t="shared" si="4"/>
        <v>4.1097478991596638E-2</v>
      </c>
      <c r="AB13" s="245">
        <f t="shared" si="5"/>
        <v>0.95890252100840334</v>
      </c>
      <c r="AC13" s="245">
        <f>AA13*PRODUCT(AB3:AB12)*PRODUCT(AB14:AB17)</f>
        <v>2.4089681169104052E-2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2"/>
        <v>0.12329243697478989</v>
      </c>
      <c r="AH13" s="247">
        <f t="shared" si="6"/>
        <v>0.87670756302521013</v>
      </c>
      <c r="AI13" s="247">
        <f>AG13*PRODUCT(AH3:AH12)*PRODUCT(AH14:AH17)</f>
        <v>8.927011544819663E-2</v>
      </c>
      <c r="AJ13" s="247">
        <f>AG13*AG14*PRODUCT(AH3:AH12)*PRODUCT(AH15:AH17)+AG13*AG15*PRODUCT(AH3:AH12)*AH14*PRODUCT(AH16:AH17)+AG13*AG16*PRODUCT(AH3:AH12)*AH14*AH15*AH17+AG13*AG17*PRODUCT(AH3:AH12)*AH14*AH15*AH16</f>
        <v>3.82601631952276E-3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7"/>
        <v>1.2033835559776258E-7</v>
      </c>
      <c r="BM13" s="31">
        <f>BI57+1</f>
        <v>9</v>
      </c>
      <c r="BN13" s="31">
        <v>9</v>
      </c>
      <c r="BO13" s="107">
        <f>$H$34*H48</f>
        <v>4.701894784946941E-10</v>
      </c>
      <c r="BQ13" s="31">
        <f>BM7+1</f>
        <v>4</v>
      </c>
      <c r="BR13" s="31">
        <v>3</v>
      </c>
      <c r="BS13" s="107">
        <f>$H$29*H42</f>
        <v>1.7442503802604311E-2</v>
      </c>
    </row>
    <row r="14" spans="1:71" ht="15.75" x14ac:dyDescent="0.25">
      <c r="A14" s="7" t="s">
        <v>58</v>
      </c>
      <c r="B14" s="232">
        <v>12</v>
      </c>
      <c r="C14" s="233">
        <v>11.75</v>
      </c>
      <c r="E14" s="210"/>
      <c r="F14" s="210" t="s">
        <v>153</v>
      </c>
      <c r="G14" s="215">
        <f>C22</f>
        <v>0.6785714285714286</v>
      </c>
      <c r="H14" s="210"/>
      <c r="I14" s="210"/>
      <c r="J14" s="208"/>
      <c r="K14" s="209">
        <v>38</v>
      </c>
      <c r="L14" s="209">
        <v>2</v>
      </c>
      <c r="M14" s="222">
        <v>0.12</v>
      </c>
      <c r="N14" s="222">
        <f t="shared" si="8"/>
        <v>0.12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2"/>
        <v>0.12</v>
      </c>
      <c r="S14" s="221">
        <f t="shared" si="3"/>
        <v>0.14420168067226891</v>
      </c>
      <c r="T14" s="226">
        <f>S14*P14^2.7/(Q14^2.7+P14^2.7)</f>
        <v>7.2100840336134453E-2</v>
      </c>
      <c r="U14" s="228">
        <f>S14*Q14^2.7/(Q14^2.7+P14^2.7)</f>
        <v>7.2100840336134453E-2</v>
      </c>
      <c r="V14" s="218">
        <f>$G$17</f>
        <v>0.56999999999999995</v>
      </c>
      <c r="W14" s="216">
        <f>$H$17</f>
        <v>0.56999999999999995</v>
      </c>
      <c r="X14" s="251">
        <f t="shared" si="11"/>
        <v>4.1097478991596638E-2</v>
      </c>
      <c r="Y14" s="252">
        <f t="shared" si="11"/>
        <v>4.1097478991596638E-2</v>
      </c>
      <c r="Z14" s="199"/>
      <c r="AA14" s="244">
        <f t="shared" si="4"/>
        <v>0</v>
      </c>
      <c r="AB14" s="245">
        <f t="shared" si="5"/>
        <v>1</v>
      </c>
      <c r="AC14" s="245">
        <f>AA14*PRODUCT(AB3:AB13)*PRODUCT(AB15:AB17)</f>
        <v>0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2"/>
        <v>4.1097478991596638E-2</v>
      </c>
      <c r="AH14" s="247">
        <f t="shared" si="6"/>
        <v>0.95890252100840334</v>
      </c>
      <c r="AI14" s="247">
        <f>AG14*PRODUCT(AH3:AH13)*PRODUCT(AH15:AH17)</f>
        <v>2.7206027603050374E-2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4">$H$26*H41</f>
        <v>7.7058485557681439E-2</v>
      </c>
      <c r="BM14" s="31">
        <f>BQ39+1</f>
        <v>10</v>
      </c>
      <c r="BN14" s="31">
        <v>10</v>
      </c>
      <c r="BO14" s="107">
        <f>$H$35*H49</f>
        <v>3.2181621766658837E-12</v>
      </c>
      <c r="BQ14" s="31">
        <f>BQ10+1</f>
        <v>5</v>
      </c>
      <c r="BR14" s="31">
        <v>0</v>
      </c>
      <c r="BS14" s="107">
        <f>$H$30*H39</f>
        <v>3.988276991633859E-3</v>
      </c>
    </row>
    <row r="15" spans="1:71" ht="15.75" x14ac:dyDescent="0.25">
      <c r="A15" s="162" t="s">
        <v>62</v>
      </c>
      <c r="B15" s="234">
        <v>7</v>
      </c>
      <c r="C15" s="235">
        <v>10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8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3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11"/>
        <v>0</v>
      </c>
      <c r="Y15" s="252">
        <f t="shared" si="11"/>
        <v>0</v>
      </c>
      <c r="Z15" s="199"/>
      <c r="AA15" s="244">
        <f>X16</f>
        <v>0</v>
      </c>
      <c r="AB15" s="245">
        <f t="shared" si="5"/>
        <v>1</v>
      </c>
      <c r="AC15" s="245">
        <f>AA15*PRODUCT(AB3:AB14)*PRODUCT(AB16:AB17)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2"/>
        <v>0</v>
      </c>
      <c r="AH15" s="247">
        <f t="shared" si="6"/>
        <v>1</v>
      </c>
      <c r="AI15" s="247">
        <f>AG15*PRODUCT(AH3:AH14)*PRODUCT(AH16:AH17)</f>
        <v>0</v>
      </c>
      <c r="AJ15" s="247">
        <f>AG15*AG16*PRODUCT(AH3:AH14)*AH17+AG15*AG17*PRODUCT(AH3:AH14)*AH16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4"/>
        <v>4.9218580470099443E-2</v>
      </c>
      <c r="BQ15" s="31">
        <f>BQ11+1</f>
        <v>5</v>
      </c>
      <c r="BR15" s="31">
        <v>1</v>
      </c>
      <c r="BS15" s="107">
        <f>$H$30*H40</f>
        <v>8.980992939874477E-3</v>
      </c>
    </row>
    <row r="16" spans="1:71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40">
        <v>0.7</v>
      </c>
      <c r="H16" s="241">
        <v>0.7</v>
      </c>
      <c r="I16" s="210"/>
      <c r="J16" s="208"/>
      <c r="K16" s="208"/>
      <c r="L16" s="208"/>
      <c r="M16" s="208"/>
      <c r="N16" s="208"/>
      <c r="O16" s="208"/>
      <c r="P16" s="210"/>
      <c r="Q16" s="210"/>
      <c r="V16" s="157"/>
      <c r="W16" s="157"/>
      <c r="X16" s="157"/>
      <c r="Y16" s="157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4"/>
        <v>2.1532767214449845E-2</v>
      </c>
      <c r="BQ16" s="31">
        <f>BQ12+1</f>
        <v>5</v>
      </c>
      <c r="BR16" s="31">
        <v>2</v>
      </c>
      <c r="BS16" s="107">
        <f>$H$30*H41</f>
        <v>9.3549047245729752E-3</v>
      </c>
    </row>
    <row r="17" spans="1:71" x14ac:dyDescent="0.25">
      <c r="A17" s="161" t="s">
        <v>69</v>
      </c>
      <c r="B17" s="236" t="s">
        <v>186</v>
      </c>
      <c r="C17" s="237" t="s">
        <v>188</v>
      </c>
      <c r="E17" s="210"/>
      <c r="F17" s="210" t="s">
        <v>154</v>
      </c>
      <c r="G17" s="240">
        <v>0.56999999999999995</v>
      </c>
      <c r="H17" s="241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4"/>
        <v>6.8219980713118801E-3</v>
      </c>
      <c r="BQ17" s="31">
        <f>BQ13+1</f>
        <v>5</v>
      </c>
      <c r="BR17" s="31">
        <v>3</v>
      </c>
      <c r="BS17" s="107">
        <f>$H$30*H42</f>
        <v>5.9751385930346878E-3</v>
      </c>
    </row>
    <row r="18" spans="1:71" x14ac:dyDescent="0.25">
      <c r="A18" s="161" t="s">
        <v>73</v>
      </c>
      <c r="B18" s="236">
        <v>20</v>
      </c>
      <c r="C18" s="237">
        <v>19</v>
      </c>
      <c r="E18" s="210"/>
      <c r="F18" s="209" t="s">
        <v>3</v>
      </c>
      <c r="G18" s="240">
        <v>0.45</v>
      </c>
      <c r="H18" s="241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0.56206990234281318</v>
      </c>
      <c r="AC18" s="159">
        <f>SUM(AC3:AC17)</f>
        <v>0.35916860126835798</v>
      </c>
      <c r="AD18" s="159">
        <f>SUM(AD3:AD17)</f>
        <v>7.3375187773244394E-2</v>
      </c>
      <c r="AE18" s="159">
        <f>1-AB18-AC18-AD18</f>
        <v>5.3863086155844508E-3</v>
      </c>
      <c r="AF18" s="197"/>
      <c r="AG18" s="157"/>
      <c r="AH18" s="160">
        <f>PRODUCT(AH3:AH17)</f>
        <v>0.63478172129544774</v>
      </c>
      <c r="AI18" s="159">
        <f>SUM(AI3:AI17)</f>
        <v>0.30769233616152053</v>
      </c>
      <c r="AJ18" s="159">
        <f>SUM(AJ3:AJ17)</f>
        <v>5.323748566157669E-2</v>
      </c>
      <c r="AK18" s="159">
        <f>1-AH18-AI18-AJ18</f>
        <v>4.288456881455037E-3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4"/>
        <v>1.612060682326755E-3</v>
      </c>
      <c r="BQ18" s="31">
        <f>BM8+1</f>
        <v>5</v>
      </c>
      <c r="BR18" s="31">
        <v>4</v>
      </c>
      <c r="BS18" s="107">
        <f>$H$30*H43</f>
        <v>2.6140792190472405E-3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4"/>
        <v>2.8795554990848106E-4</v>
      </c>
      <c r="BQ19" s="31">
        <f>BQ15+1</f>
        <v>6</v>
      </c>
      <c r="BR19" s="31">
        <v>1</v>
      </c>
      <c r="BS19" s="107">
        <f>$H$31*H40</f>
        <v>2.3271107150467699E-3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4"/>
        <v>3.8910956572066612E-5</v>
      </c>
      <c r="BQ20" s="31">
        <f>BQ16+1</f>
        <v>6</v>
      </c>
      <c r="BR20" s="31">
        <v>2</v>
      </c>
      <c r="BS20" s="107">
        <f>$H$31*H41</f>
        <v>2.4239968975078262E-3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4"/>
        <v>3.9303770682280144E-6</v>
      </c>
      <c r="BQ21" s="31">
        <f>BQ17+1</f>
        <v>6</v>
      </c>
      <c r="BR21" s="31">
        <v>3</v>
      </c>
      <c r="BS21" s="107">
        <f>$H$31*H42</f>
        <v>1.5482485218315785E-3</v>
      </c>
    </row>
    <row r="22" spans="1:71" x14ac:dyDescent="0.25">
      <c r="A22" s="26" t="s">
        <v>81</v>
      </c>
      <c r="B22" s="169">
        <f>(B6)/((B6)+(C6))</f>
        <v>0.32142857142857145</v>
      </c>
      <c r="C22" s="170">
        <f>1-B22</f>
        <v>0.6785714285714286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4"/>
        <v>2.8850295787150161E-7</v>
      </c>
      <c r="BQ22" s="31">
        <f>BQ18+1</f>
        <v>6</v>
      </c>
      <c r="BR22" s="31">
        <v>4</v>
      </c>
      <c r="BS22" s="107">
        <f>$H$31*H43</f>
        <v>6.7734734915746945E-4</v>
      </c>
    </row>
    <row r="23" spans="1:71" ht="15.75" thickBot="1" x14ac:dyDescent="0.3">
      <c r="A23" s="40" t="s">
        <v>82</v>
      </c>
      <c r="B23" s="56">
        <f>((B22^2.8)/((B22^2.8)+(C22^2.8)))*B21</f>
        <v>0.54928611419894657</v>
      </c>
      <c r="C23" s="57">
        <f>B21-B23</f>
        <v>4.4507138858010533</v>
      </c>
      <c r="D23" s="149">
        <f>SUM(D25:D30)</f>
        <v>1</v>
      </c>
      <c r="E23" s="149">
        <f>SUM(E25:E30)</f>
        <v>1.0003500000000001</v>
      </c>
      <c r="H23" s="229">
        <f>SUM(H25:H35)</f>
        <v>0.99999979056956434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1.0000000000000002</v>
      </c>
      <c r="O23" s="81"/>
      <c r="P23" s="229">
        <f>SUM(P25:P35)</f>
        <v>1.0000000000000002</v>
      </c>
      <c r="Q23" s="81"/>
      <c r="R23" s="229">
        <f>SUM(R25:R35)</f>
        <v>1.0000000000000004</v>
      </c>
      <c r="S23" s="81"/>
      <c r="T23" s="229">
        <f>SUM(T25:T35)</f>
        <v>1</v>
      </c>
      <c r="V23" s="171">
        <f>SUM(V25:V34)</f>
        <v>0.99826153760086089</v>
      </c>
      <c r="Y23" s="168">
        <f>SUM(Y25:Y35)</f>
        <v>3.2108508157773332E-3</v>
      </c>
      <c r="Z23" s="81"/>
      <c r="AA23" s="168">
        <f>SUM(AA25:AA35)</f>
        <v>2.4709716664514537E-2</v>
      </c>
      <c r="AB23" s="81"/>
      <c r="AC23" s="168">
        <f>SUM(AC25:AC35)</f>
        <v>8.5259092916605994E-2</v>
      </c>
      <c r="AD23" s="81"/>
      <c r="AE23" s="168">
        <f>SUM(AE25:AE35)</f>
        <v>0.17424043759741201</v>
      </c>
      <c r="AF23" s="81"/>
      <c r="AG23" s="168">
        <f>SUM(AG25:AG35)</f>
        <v>0.23489246956877385</v>
      </c>
      <c r="AH23" s="81"/>
      <c r="AI23" s="168">
        <f>SUM(AI25:AI35)</f>
        <v>0.22046087148140217</v>
      </c>
      <c r="AJ23" s="81"/>
      <c r="AK23" s="168">
        <f>SUM(AK25:AK35)</f>
        <v>0.14848628961493984</v>
      </c>
      <c r="AL23" s="81"/>
      <c r="AM23" s="168">
        <f>SUM(AM25:AM35)</f>
        <v>7.3107109762751102E-2</v>
      </c>
      <c r="AN23" s="81"/>
      <c r="AO23" s="168">
        <f>SUM(AO25:AO35)</f>
        <v>2.6642710357180247E-2</v>
      </c>
      <c r="AP23" s="81"/>
      <c r="AQ23" s="168">
        <f>SUM(AQ25:AQ35)</f>
        <v>7.2519888215035622E-3</v>
      </c>
      <c r="AR23" s="81"/>
      <c r="AS23" s="168">
        <f>SUM(AS25:AS35)</f>
        <v>1.7384623991391055E-3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5.4582720167319278E-2</v>
      </c>
      <c r="BQ23" s="31">
        <f>BM9+1</f>
        <v>6</v>
      </c>
      <c r="BR23" s="31">
        <v>5</v>
      </c>
      <c r="BS23" s="107">
        <f>$H$31*H44</f>
        <v>2.145967707513032E-4</v>
      </c>
    </row>
    <row r="24" spans="1:71" ht="15.75" thickBot="1" x14ac:dyDescent="0.3">
      <c r="A24" s="26" t="s">
        <v>83</v>
      </c>
      <c r="B24" s="64">
        <f>B23/B21</f>
        <v>0.10985722283978931</v>
      </c>
      <c r="C24" s="65">
        <f>C23/B21</f>
        <v>0.89014277716021062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2.3879538907229447E-2</v>
      </c>
      <c r="BQ24" s="31">
        <f>BI49+1</f>
        <v>7</v>
      </c>
      <c r="BR24" s="31">
        <v>0</v>
      </c>
      <c r="BS24" s="107">
        <f t="shared" ref="BS24:BS30" si="17">$H$32*H39</f>
        <v>2.0679847139049994E-4</v>
      </c>
    </row>
    <row r="25" spans="1:71" x14ac:dyDescent="0.25">
      <c r="A25" s="26" t="s">
        <v>108</v>
      </c>
      <c r="B25" s="172">
        <f>1/(1+EXP(-3.1416*4*((B11/(B11+C8))-(3.1416/6))))</f>
        <v>4.9508071033257335E-2</v>
      </c>
      <c r="C25" s="170">
        <f>1/(1+EXP(-3.1416*4*((C11/(C11+B8))-(3.1416/6))))</f>
        <v>7.0491995855018171E-3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0.23499999999999999</v>
      </c>
      <c r="G25" s="124">
        <v>0</v>
      </c>
      <c r="H25" s="125">
        <f>L25*J25</f>
        <v>0.10987001510731127</v>
      </c>
      <c r="I25" s="97">
        <v>0</v>
      </c>
      <c r="J25" s="98">
        <f t="shared" ref="J25:J35" si="18">Y25+AA25+AC25+AE25+AG25+AI25+AK25+AM25+AO25+AQ25+AS25</f>
        <v>0.19547393420169334</v>
      </c>
      <c r="K25" s="97">
        <v>0</v>
      </c>
      <c r="L25" s="98">
        <f>AB18</f>
        <v>0.56206990234281318</v>
      </c>
      <c r="M25" s="85">
        <v>0</v>
      </c>
      <c r="N25" s="173">
        <f>(1-$B$24)^$B$21</f>
        <v>0.55885399658298696</v>
      </c>
      <c r="O25" s="72">
        <v>0</v>
      </c>
      <c r="P25" s="173">
        <f t="shared" ref="P25:P30" si="19">N25</f>
        <v>0.55885399658298696</v>
      </c>
      <c r="Q25" s="28">
        <v>0</v>
      </c>
      <c r="R25" s="174">
        <f>P25*N25</f>
        <v>0.31231778949677719</v>
      </c>
      <c r="S25" s="72">
        <v>0</v>
      </c>
      <c r="T25" s="175">
        <f>(1-$B$33)^(INT(C23*2*(1-C31)))</f>
        <v>1.0280717025280002E-2</v>
      </c>
      <c r="U25" s="138">
        <v>0</v>
      </c>
      <c r="V25" s="86">
        <f>R25*T25</f>
        <v>3.2108508157773332E-3</v>
      </c>
      <c r="W25" s="134">
        <f>B31</f>
        <v>0.34086774823074467</v>
      </c>
      <c r="X25" s="28">
        <v>0</v>
      </c>
      <c r="Y25" s="176">
        <f>V25</f>
        <v>3.2108508157773332E-3</v>
      </c>
      <c r="Z25" s="28">
        <v>0</v>
      </c>
      <c r="AA25" s="176">
        <f>((1-W25)^Z26)*V26</f>
        <v>1.6286971185661758E-2</v>
      </c>
      <c r="AB25" s="28">
        <v>0</v>
      </c>
      <c r="AC25" s="176">
        <f>(((1-$W$25)^AB27))*V27</f>
        <v>3.7041266949777552E-2</v>
      </c>
      <c r="AD25" s="28">
        <v>0</v>
      </c>
      <c r="AE25" s="176">
        <f>(((1-$W$25)^AB28))*V28</f>
        <v>4.9896104491868633E-2</v>
      </c>
      <c r="AF25" s="28">
        <v>0</v>
      </c>
      <c r="AG25" s="176">
        <f>(((1-$W$25)^AB29))*V29</f>
        <v>4.4336289457104758E-2</v>
      </c>
      <c r="AH25" s="28">
        <v>0</v>
      </c>
      <c r="AI25" s="176">
        <f>(((1-$W$25)^AB30))*V30</f>
        <v>2.7428012088492635E-2</v>
      </c>
      <c r="AJ25" s="28">
        <v>0</v>
      </c>
      <c r="AK25" s="176">
        <f>(((1-$W$25)^AB31))*V31</f>
        <v>1.2176479166387812E-2</v>
      </c>
      <c r="AL25" s="28">
        <v>0</v>
      </c>
      <c r="AM25" s="176">
        <f>(((1-$W$25)^AB32))*V32</f>
        <v>3.9515506411784531E-3</v>
      </c>
      <c r="AN25" s="28">
        <v>0</v>
      </c>
      <c r="AO25" s="176">
        <f>(((1-$W$25)^AB33))*V33</f>
        <v>9.4920256515782983E-4</v>
      </c>
      <c r="AP25" s="28">
        <v>0</v>
      </c>
      <c r="AQ25" s="176">
        <f>(((1-$W$25)^AB34))*V34</f>
        <v>1.7029825121158554E-4</v>
      </c>
      <c r="AR25" s="28">
        <v>0</v>
      </c>
      <c r="AS25" s="176">
        <f>(((1-$W$25)^AB35))*V35</f>
        <v>2.6908589074991203E-5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7.5655008363075581E-3</v>
      </c>
      <c r="BQ25" s="31">
        <f>BQ19+1</f>
        <v>7</v>
      </c>
      <c r="BR25" s="31">
        <v>1</v>
      </c>
      <c r="BS25" s="107">
        <f t="shared" si="17"/>
        <v>4.656786916833629E-4</v>
      </c>
    </row>
    <row r="26" spans="1:71" x14ac:dyDescent="0.25">
      <c r="A26" s="40" t="s">
        <v>109</v>
      </c>
      <c r="B26" s="169">
        <f>1/(1+EXP(-3.1416*4*((B10/(B10+C9))-(3.1416/6))))</f>
        <v>0.45637205100382888</v>
      </c>
      <c r="C26" s="170">
        <f>1/(1+EXP(-3.1416*4*((C10/(C10+B9))-(3.1416/6))))</f>
        <v>1.1147090851843802E-2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0.16705</v>
      </c>
      <c r="G26" s="87">
        <v>1</v>
      </c>
      <c r="H26" s="126">
        <f>L25*J26+L26*J25</f>
        <v>0.26340582919212852</v>
      </c>
      <c r="I26" s="138">
        <v>1</v>
      </c>
      <c r="J26" s="86">
        <f t="shared" si="18"/>
        <v>0.34372544919270498</v>
      </c>
      <c r="K26" s="138">
        <v>1</v>
      </c>
      <c r="L26" s="86">
        <f>AC18</f>
        <v>0.35916860126835798</v>
      </c>
      <c r="M26" s="85">
        <v>1</v>
      </c>
      <c r="N26" s="173">
        <f>(($B$24)^M26)*((1-($B$24))^($B$21-M26))*HLOOKUP($B$21,$AV$24:$BF$34,M26+1)</f>
        <v>0.34485562099030631</v>
      </c>
      <c r="O26" s="72">
        <v>1</v>
      </c>
      <c r="P26" s="173">
        <f t="shared" si="19"/>
        <v>0.34485562099030631</v>
      </c>
      <c r="Q26" s="28">
        <v>1</v>
      </c>
      <c r="R26" s="174">
        <f>N26*P25+P26*N25</f>
        <v>0.38544788406908098</v>
      </c>
      <c r="S26" s="72">
        <v>1</v>
      </c>
      <c r="T26" s="175">
        <f t="shared" ref="T26:T35" si="20">(($B$33)^S26)*((1-($B$33))^(INT($C$23*2*(1-$C$31))-S26))*HLOOKUP(INT($C$23*2*(1-$C$31)),$AV$24:$BF$34,S26+1)</f>
        <v>6.6429248471040009E-2</v>
      </c>
      <c r="U26" s="138">
        <v>1</v>
      </c>
      <c r="V26" s="86">
        <f>R26*T25+T26*R25</f>
        <v>2.4709716664514537E-2</v>
      </c>
      <c r="W26" s="177"/>
      <c r="X26" s="28">
        <v>1</v>
      </c>
      <c r="Y26" s="174"/>
      <c r="Z26" s="28">
        <v>1</v>
      </c>
      <c r="AA26" s="176">
        <f>(1-((1-W25)^Z26))*V26</f>
        <v>8.4227454788527792E-3</v>
      </c>
      <c r="AB26" s="28">
        <v>1</v>
      </c>
      <c r="AC26" s="176">
        <f>((($W$25)^M26)*((1-($W$25))^($U$27-M26))*HLOOKUP($U$27,$AV$24:$BF$34,M26+1))*V27</f>
        <v>3.8311501896298242E-2</v>
      </c>
      <c r="AD26" s="28">
        <v>1</v>
      </c>
      <c r="AE26" s="176">
        <f>((($W$25)^M26)*((1-($W$25))^($U$28-M26))*HLOOKUP($U$28,$AV$24:$BF$34,M26+1))*V28</f>
        <v>7.7410744526501693E-2</v>
      </c>
      <c r="AF26" s="28">
        <v>1</v>
      </c>
      <c r="AG26" s="176">
        <f>((($W$25)^M26)*((1-($W$25))^($U$29-M26))*HLOOKUP($U$29,$AV$24:$BF$34,M26+1))*V29</f>
        <v>9.1713376862283452E-2</v>
      </c>
      <c r="AH26" s="28">
        <v>1</v>
      </c>
      <c r="AI26" s="176">
        <f>((($W$25)^M26)*((1-($W$25))^($U$30-M26))*HLOOKUP($U$30,$AV$24:$BF$34,M26+1))*V30</f>
        <v>7.0921462983752459E-2</v>
      </c>
      <c r="AJ26" s="28">
        <v>1</v>
      </c>
      <c r="AK26" s="176">
        <f>((($W$25)^M26)*((1-($W$25))^($U$31-M26))*HLOOKUP($U$31,$AV$24:$BF$34,M26+1))*V31</f>
        <v>3.7782120571561953E-2</v>
      </c>
      <c r="AL26" s="28">
        <v>1</v>
      </c>
      <c r="AM26" s="176">
        <f>((($W$25)^Q26)*((1-($W$25))^($U$32-Q26))*HLOOKUP($U$32,$AV$24:$BF$34,Q26+1))*V32</f>
        <v>1.4304706162138334E-2</v>
      </c>
      <c r="AN26" s="28">
        <v>1</v>
      </c>
      <c r="AO26" s="176">
        <f>((($W$25)^Q26)*((1-($W$25))^($U$33-Q26))*HLOOKUP($U$33,$AV$24:$BF$34,Q26+1))*V33</f>
        <v>3.9270120997018151E-3</v>
      </c>
      <c r="AP26" s="28">
        <v>1</v>
      </c>
      <c r="AQ26" s="176">
        <f>((($W$25)^Q26)*((1-($W$25))^($U$34-Q26))*HLOOKUP($U$34,$AV$24:$BF$34,Q26+1))*V34</f>
        <v>7.926218620933678E-4</v>
      </c>
      <c r="AR26" s="28">
        <v>1</v>
      </c>
      <c r="AS26" s="176">
        <f>((($W$25)^Q26)*((1-($W$25))^($U$35-Q26))*HLOOKUP($U$35,$AV$24:$BF$34,Q26+1))*V35</f>
        <v>1.3915674952087818E-4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1.7877528420315546E-3</v>
      </c>
      <c r="BQ26" s="31">
        <f>BQ20+1</f>
        <v>7</v>
      </c>
      <c r="BR26" s="31">
        <v>2</v>
      </c>
      <c r="BS26" s="107">
        <f t="shared" si="17"/>
        <v>4.8506660924093112E-4</v>
      </c>
    </row>
    <row r="27" spans="1:71" x14ac:dyDescent="0.25">
      <c r="A27" s="26" t="s">
        <v>110</v>
      </c>
      <c r="B27" s="169">
        <f>1/(1+EXP(-3.1416*4*((B12/(B12+C7))-(3.1416/6))))</f>
        <v>0.43633980596449912</v>
      </c>
      <c r="C27" s="170">
        <f>1/(1+EXP(-3.1416*4*((C12/(C12+B7))-(3.1416/6))))</f>
        <v>8.4681573829165167E-3</v>
      </c>
      <c r="D27" s="167">
        <f>D26</f>
        <v>0.25700000000000001</v>
      </c>
      <c r="E27" s="167">
        <f>E26</f>
        <v>0.16705</v>
      </c>
      <c r="G27" s="87">
        <v>2</v>
      </c>
      <c r="H27" s="126">
        <f>L25*J27+J26*L26+J25*L27</f>
        <v>0.29211339554924798</v>
      </c>
      <c r="I27" s="138">
        <v>2</v>
      </c>
      <c r="J27" s="86">
        <f t="shared" si="18"/>
        <v>0.27454782665346023</v>
      </c>
      <c r="K27" s="138">
        <v>2</v>
      </c>
      <c r="L27" s="86">
        <f>AD18</f>
        <v>7.3375187773244394E-2</v>
      </c>
      <c r="M27" s="85">
        <v>2</v>
      </c>
      <c r="N27" s="173">
        <f>(($B$24)^M27)*((1-($B$24))^($B$21-M27))*HLOOKUP($B$21,$AV$24:$BF$34,M27+1)</f>
        <v>8.5120908184075209E-2</v>
      </c>
      <c r="O27" s="72">
        <v>2</v>
      </c>
      <c r="P27" s="173">
        <f t="shared" si="19"/>
        <v>8.5120908184075209E-2</v>
      </c>
      <c r="Q27" s="28">
        <v>2</v>
      </c>
      <c r="R27" s="174">
        <f>P25*N27+P26*N26+P27*N25</f>
        <v>0.21406571879149761</v>
      </c>
      <c r="S27" s="72">
        <v>2</v>
      </c>
      <c r="T27" s="175">
        <f t="shared" si="20"/>
        <v>0.18395791884288007</v>
      </c>
      <c r="U27" s="138">
        <v>2</v>
      </c>
      <c r="V27" s="86">
        <f>R27*T25+T26*R26+R25*T27</f>
        <v>8.5259092916605994E-2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9.9063240705301956E-3</v>
      </c>
      <c r="AD27" s="28">
        <v>2</v>
      </c>
      <c r="AE27" s="176">
        <f>((($W$25)^M27)*((1-($W$25))^($U$28-M27))*HLOOKUP($U$28,$AV$24:$BF$34,M27+1))*V28</f>
        <v>4.0032673419918473E-2</v>
      </c>
      <c r="AF27" s="28">
        <v>2</v>
      </c>
      <c r="AG27" s="176">
        <f>((($W$25)^M27)*((1-($W$25))^($U$29-M27))*HLOOKUP($U$29,$AV$24:$BF$34,M27+1))*V29</f>
        <v>7.1143838364235337E-2</v>
      </c>
      <c r="AH27" s="28">
        <v>2</v>
      </c>
      <c r="AI27" s="176">
        <f>((($W$25)^M27)*((1-($W$25))^($U$30-M27))*HLOOKUP($U$30,$AV$24:$BF$34,M27+1))*V30</f>
        <v>7.335353208285969E-2</v>
      </c>
      <c r="AJ27" s="28">
        <v>2</v>
      </c>
      <c r="AK27" s="176">
        <f>((($W$25)^M27)*((1-($W$25))^($U$31-M27))*HLOOKUP($U$31,$AV$24:$BF$34,M27+1))*V31</f>
        <v>4.8847201483623169E-2</v>
      </c>
      <c r="AL27" s="28">
        <v>2</v>
      </c>
      <c r="AM27" s="176">
        <f>((($W$25)^Q27)*((1-($W$25))^($U$32-Q27))*HLOOKUP($U$32,$AV$24:$BF$34,Q27+1))*V32</f>
        <v>2.2192873883058819E-2</v>
      </c>
      <c r="AN27" s="28">
        <v>2</v>
      </c>
      <c r="AO27" s="176">
        <f>((($W$25)^Q27)*((1-($W$25))^($U$33-Q27))*HLOOKUP($U$33,$AV$24:$BF$34,Q27+1))*V33</f>
        <v>7.1079380327318331E-3</v>
      </c>
      <c r="AP27" s="28">
        <v>2</v>
      </c>
      <c r="AQ27" s="176">
        <f>((($W$25)^Q27)*((1-($W$25))^($U$34-Q27))*HLOOKUP($U$34,$AV$24:$BF$34,Q27+1))*V34</f>
        <v>1.6396055790321648E-3</v>
      </c>
      <c r="AR27" s="28">
        <v>2</v>
      </c>
      <c r="AS27" s="176">
        <f>((($W$25)^Q27)*((1-($W$25))^($U$35-Q27))*HLOOKUP($U$35,$AV$24:$BF$34,Q27+1))*V35</f>
        <v>3.2383973747052521E-4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3.1933869386642646E-4</v>
      </c>
      <c r="BQ27" s="31">
        <f>BQ21+1</f>
        <v>7</v>
      </c>
      <c r="BR27" s="31">
        <v>3</v>
      </c>
      <c r="BS27" s="107">
        <f t="shared" si="17"/>
        <v>3.0982038859837395E-4</v>
      </c>
    </row>
    <row r="28" spans="1:71" x14ac:dyDescent="0.25">
      <c r="A28" s="26" t="s">
        <v>111</v>
      </c>
      <c r="B28" s="238">
        <v>0.9</v>
      </c>
      <c r="C28" s="239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0.19904777568785958</v>
      </c>
      <c r="I28" s="138">
        <v>3</v>
      </c>
      <c r="J28" s="86">
        <f t="shared" si="18"/>
        <v>0.13194980586127214</v>
      </c>
      <c r="K28" s="138">
        <v>3</v>
      </c>
      <c r="L28" s="86">
        <f>AE18</f>
        <v>5.3863086155844508E-3</v>
      </c>
      <c r="M28" s="85">
        <v>3</v>
      </c>
      <c r="N28" s="173">
        <f>(($B$24)^M28)*((1-($B$24))^($B$21-M28))*HLOOKUP($B$21,$AV$24:$BF$34,M28+1)</f>
        <v>1.0505220980993418E-2</v>
      </c>
      <c r="O28" s="72">
        <v>3</v>
      </c>
      <c r="P28" s="173">
        <f t="shared" si="19"/>
        <v>1.0505220980993418E-2</v>
      </c>
      <c r="Q28" s="28">
        <v>3</v>
      </c>
      <c r="R28" s="174">
        <f>P25*N28+P26*N27+P27*N26+P28*N25</f>
        <v>7.0450616762587445E-2</v>
      </c>
      <c r="S28" s="72">
        <v>3</v>
      </c>
      <c r="T28" s="175">
        <f t="shared" si="20"/>
        <v>0.28301218283520002</v>
      </c>
      <c r="U28" s="138">
        <v>3</v>
      </c>
      <c r="V28" s="86">
        <f>R28*T25+R27*T26+R26*T27+R25*T28</f>
        <v>0.17424043759741203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6.9009151591232021E-3</v>
      </c>
      <c r="AF28" s="28">
        <v>3</v>
      </c>
      <c r="AG28" s="176">
        <f>((($W$25)^M28)*((1-($W$25))^($U$29-M28))*HLOOKUP($U$29,$AV$24:$BF$34,M28+1))*V29</f>
        <v>2.4527844418288775E-2</v>
      </c>
      <c r="AH28" s="28">
        <v>3</v>
      </c>
      <c r="AI28" s="176">
        <f>((($W$25)^M28)*((1-($W$25))^($U$30-M28))*HLOOKUP($U$30,$AV$24:$BF$34,M28+1))*V30</f>
        <v>3.7934501367123605E-2</v>
      </c>
      <c r="AJ28" s="28">
        <v>3</v>
      </c>
      <c r="AK28" s="176">
        <f>((($W$25)^M28)*((1-($W$25))^($U$31-M28))*HLOOKUP($U$31,$AV$24:$BF$34,M28+1))*V31</f>
        <v>3.3681527052985605E-2</v>
      </c>
      <c r="AL28" s="28">
        <v>3</v>
      </c>
      <c r="AM28" s="176">
        <f>((($W$25)^Q28)*((1-($W$25))^($U$32-Q28))*HLOOKUP($U$32,$AV$24:$BF$34,Q28+1))*V32</f>
        <v>1.9128267827337859E-2</v>
      </c>
      <c r="AN28" s="28">
        <v>3</v>
      </c>
      <c r="AO28" s="176">
        <f>((($W$25)^Q28)*((1-($W$25))^($U$33-Q28))*HLOOKUP($U$33,$AV$24:$BF$34,Q28+1))*V33</f>
        <v>7.351686479541741E-3</v>
      </c>
      <c r="AP28" s="28">
        <v>3</v>
      </c>
      <c r="AQ28" s="176">
        <f>((($W$25)^Q28)*((1-($W$25))^($U$34-Q28))*HLOOKUP($U$34,$AV$24:$BF$34,Q28+1))*V34</f>
        <v>1.9784702394588061E-3</v>
      </c>
      <c r="AR28" s="28">
        <v>3</v>
      </c>
      <c r="AS28" s="176">
        <f>((($W$25)^Q28)*((1-($W$25))^($U$35-Q28))*HLOOKUP($U$35,$AV$24:$BF$34,Q28+1))*V35</f>
        <v>4.4659331741254998E-4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4.3151708841056172E-5</v>
      </c>
      <c r="BQ28" s="31">
        <f>BQ22+1</f>
        <v>7</v>
      </c>
      <c r="BR28" s="31">
        <v>4</v>
      </c>
      <c r="BS28" s="107">
        <f t="shared" si="17"/>
        <v>1.3554414292854346E-4</v>
      </c>
    </row>
    <row r="29" spans="1:71" x14ac:dyDescent="0.25">
      <c r="A29" s="26" t="s">
        <v>112</v>
      </c>
      <c r="B29" s="169">
        <f>1/(1+EXP(-3.1416*4*((B14/(B14+C13))-(3.1416/6))))</f>
        <v>0.42639691249266598</v>
      </c>
      <c r="C29" s="170">
        <f>1/(1+EXP(-3.1416*4*((C14/(C14+B13))-(3.1416/6))))</f>
        <v>0.3003599256256817</v>
      </c>
      <c r="D29" s="167">
        <v>0.04</v>
      </c>
      <c r="E29" s="167">
        <v>0.04</v>
      </c>
      <c r="G29" s="87">
        <v>4</v>
      </c>
      <c r="H29" s="126">
        <f>J29*L25+J28*L26+J27*L27+J26*L28</f>
        <v>9.3348022909823691E-2</v>
      </c>
      <c r="I29" s="138">
        <v>4</v>
      </c>
      <c r="J29" s="86">
        <f t="shared" si="18"/>
        <v>4.2627057451957245E-2</v>
      </c>
      <c r="K29" s="138">
        <v>4</v>
      </c>
      <c r="L29" s="86"/>
      <c r="M29" s="85">
        <v>4</v>
      </c>
      <c r="N29" s="173">
        <f>(($B$24)^M29)*((1-($B$24))^($B$21-M29))*HLOOKUP($B$21,$AV$24:$BF$34,M29+1)</f>
        <v>6.482524106818145E-4</v>
      </c>
      <c r="O29" s="72">
        <v>4</v>
      </c>
      <c r="P29" s="173">
        <f t="shared" si="19"/>
        <v>6.482524106818145E-4</v>
      </c>
      <c r="Q29" s="28">
        <v>4</v>
      </c>
      <c r="R29" s="174">
        <f>P25*N29+P26*N28+P27*N27+P28*N26+P29*N25</f>
        <v>1.5215694921171696E-2</v>
      </c>
      <c r="S29" s="72">
        <v>4</v>
      </c>
      <c r="T29" s="175">
        <f t="shared" si="20"/>
        <v>0.26124201492480004</v>
      </c>
      <c r="U29" s="138">
        <v>4</v>
      </c>
      <c r="V29" s="86">
        <f>T29*R25+T28*R26+T27*R27+T26*R28+T25*R29</f>
        <v>0.23489246956877394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3.1711204668615624E-3</v>
      </c>
      <c r="AH29" s="28">
        <v>4</v>
      </c>
      <c r="AI29" s="176">
        <f>((($W$25)^M29)*((1-($W$25))^($U$30-M29))*HLOOKUP($U$30,$AV$24:$BF$34,M29+1))*V30</f>
        <v>9.808841872445807E-3</v>
      </c>
      <c r="AJ29" s="28">
        <v>4</v>
      </c>
      <c r="AK29" s="176">
        <f>((($W$25)^M29)*((1-($W$25))^($U$31-M29))*HLOOKUP($U$31,$AV$24:$BF$34,M29+1))*V31</f>
        <v>1.3063705636509299E-2</v>
      </c>
      <c r="AL29" s="28">
        <v>4</v>
      </c>
      <c r="AM29" s="176">
        <f>((($W$25)^Q29)*((1-($W$25))^($U$32-Q29))*HLOOKUP($U$32,$AV$24:$BF$34,Q29+1))*V32</f>
        <v>9.8921112786661339E-3</v>
      </c>
      <c r="AN29" s="28">
        <v>4</v>
      </c>
      <c r="AO29" s="176">
        <f>((($W$25)^Q29)*((1-($W$25))^($U$33-Q29))*HLOOKUP($U$33,$AV$24:$BF$34,Q29+1))*V33</f>
        <v>4.7523710326214464E-3</v>
      </c>
      <c r="AP29" s="28">
        <v>4</v>
      </c>
      <c r="AQ29" s="176">
        <f>((($W$25)^Q29)*((1-($W$25))^($U$34-Q29))*HLOOKUP($U$34,$AV$24:$BF$34,Q29+1))*V34</f>
        <v>1.5347375894343746E-3</v>
      </c>
      <c r="AR29" s="28">
        <v>4</v>
      </c>
      <c r="AS29" s="176">
        <f>((($W$25)^Q29)*((1-($W$25))^($U$35-Q29))*HLOOKUP($U$35,$AV$24:$BF$34,Q29+1))*V35</f>
        <v>4.0416957541862129E-4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4.3587334217708088E-6</v>
      </c>
      <c r="BQ29" s="31">
        <f>BQ23+1</f>
        <v>7</v>
      </c>
      <c r="BR29" s="31">
        <v>5</v>
      </c>
      <c r="BS29" s="107">
        <f t="shared" si="17"/>
        <v>4.2943012034961554E-5</v>
      </c>
    </row>
    <row r="30" spans="1:71" x14ac:dyDescent="0.25">
      <c r="A30" s="26" t="s">
        <v>113</v>
      </c>
      <c r="B30" s="238">
        <v>0.15</v>
      </c>
      <c r="C30" s="239">
        <v>0.4</v>
      </c>
      <c r="D30" s="167">
        <f>IF(B17="TL",0.875*B32,0.001)</f>
        <v>1E-3</v>
      </c>
      <c r="E30" s="167">
        <f>IF(C17="TL",0.875*C32,0.001)</f>
        <v>0.30624999999999997</v>
      </c>
      <c r="G30" s="87">
        <v>5</v>
      </c>
      <c r="H30" s="126">
        <f>J30*L25+J29*L26+J28*L27+J27*L28</f>
        <v>3.1977483312269329E-2</v>
      </c>
      <c r="I30" s="138">
        <v>5</v>
      </c>
      <c r="J30" s="86">
        <f t="shared" si="18"/>
        <v>9.7968981834894581E-3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1.6000850956494406E-5</v>
      </c>
      <c r="O30" s="72">
        <v>5</v>
      </c>
      <c r="P30" s="173">
        <f t="shared" si="19"/>
        <v>1.6000850956494406E-5</v>
      </c>
      <c r="Q30" s="28">
        <v>5</v>
      </c>
      <c r="R30" s="174">
        <f>P25*N30+P26*N29+P27*N28+P28*N27+P29*N26+P30*N25</f>
        <v>2.2534191554529339E-3</v>
      </c>
      <c r="S30" s="72">
        <v>5</v>
      </c>
      <c r="T30" s="175">
        <f t="shared" si="20"/>
        <v>0.14468788518912001</v>
      </c>
      <c r="U30" s="138">
        <v>5</v>
      </c>
      <c r="V30" s="86">
        <f>T30*R25+T29*R26+T28*R27+T27*R28+T26*R29+T25*R30</f>
        <v>0.22046087148140225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1.014521086727985E-3</v>
      </c>
      <c r="AJ30" s="28">
        <v>5</v>
      </c>
      <c r="AK30" s="176">
        <f>((($W$25)^M30)*((1-($W$25))^($U$31-M30))*HLOOKUP($U$31,$AV$24:$BF$34,M30+1))*V31</f>
        <v>2.7023383619377717E-3</v>
      </c>
      <c r="AL30" s="28">
        <v>5</v>
      </c>
      <c r="AM30" s="176">
        <f>((($W$25)^Q30)*((1-($W$25))^($U$32-Q30))*HLOOKUP($U$32,$AV$24:$BF$34,Q30+1))*V32</f>
        <v>3.0694007350627623E-3</v>
      </c>
      <c r="AN30" s="28">
        <v>5</v>
      </c>
      <c r="AO30" s="176">
        <f>((($W$25)^Q30)*((1-($W$25))^($U$33-Q30))*HLOOKUP($U$33,$AV$24:$BF$34,Q30+1))*V33</f>
        <v>1.966136547921537E-3</v>
      </c>
      <c r="AP30" s="28">
        <v>5</v>
      </c>
      <c r="AQ30" s="176">
        <f>((($W$25)^Q30)*((1-($W$25))^($U$34-Q30))*HLOOKUP($U$34,$AV$24:$BF$34,Q30+1))*V34</f>
        <v>7.9368373316788437E-4</v>
      </c>
      <c r="AR30" s="28">
        <v>5</v>
      </c>
      <c r="AS30" s="176">
        <f>((($W$25)^Q30)*((1-($W$25))^($U$35-Q30))*HLOOKUP($U$35,$AV$24:$BF$34,Q30+1))*V35</f>
        <v>2.5081771867151902E-4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3.1994576167247717E-7</v>
      </c>
      <c r="BQ30" s="31">
        <f>BM10+1</f>
        <v>7</v>
      </c>
      <c r="BR30" s="31">
        <v>6</v>
      </c>
      <c r="BS30" s="107">
        <f t="shared" si="17"/>
        <v>1.0147575616205618E-5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0.34086774823074467</v>
      </c>
      <c r="C31" s="61">
        <f>(C25*E25)+(C26*E26)+(C27*E27)+(C28*E28)+(C29*E29)+(C30*E30)/(C25+C26+C27+C28+C29+C30)</f>
        <v>0.1687385066143563</v>
      </c>
      <c r="G31" s="87">
        <v>6</v>
      </c>
      <c r="H31" s="126">
        <f>J31*L25+J30*L26+J29*L27+J28*L28</f>
        <v>8.2858481856518743E-3</v>
      </c>
      <c r="I31" s="138">
        <v>6</v>
      </c>
      <c r="J31" s="86">
        <f t="shared" si="18"/>
        <v>1.6521419196354108E-3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2.3175530250495904E-4</v>
      </c>
      <c r="S31" s="72">
        <v>6</v>
      </c>
      <c r="T31" s="175">
        <f t="shared" si="20"/>
        <v>4.4519349288960001E-2</v>
      </c>
      <c r="U31" s="138">
        <v>6</v>
      </c>
      <c r="V31" s="86">
        <f>T31*R25+T30*R26+T29*R27+T28*R28+T27*R29+T26*R30+T25*R31</f>
        <v>0.14848628961493987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2.3291734193422385E-4</v>
      </c>
      <c r="AL31" s="28">
        <v>6</v>
      </c>
      <c r="AM31" s="176">
        <f>((($W$25)^Q31)*((1-($W$25))^($U$32-Q31))*HLOOKUP($U$32,$AV$24:$BF$34,Q31+1))*V32</f>
        <v>5.2910965600112684E-4</v>
      </c>
      <c r="AN31" s="28">
        <v>6</v>
      </c>
      <c r="AO31" s="176">
        <f>((($W$25)^Q31)*((1-($W$25))^($U$33-Q31))*HLOOKUP($U$33,$AV$24:$BF$34,Q31+1))*V33</f>
        <v>5.083900355393326E-4</v>
      </c>
      <c r="AP31" s="28">
        <v>6</v>
      </c>
      <c r="AQ31" s="176">
        <f>((($W$25)^Q31)*((1-($W$25))^($U$34-Q31))*HLOOKUP($U$34,$AV$24:$BF$34,Q31+1))*V34</f>
        <v>2.7363369157567001E-4</v>
      </c>
      <c r="AR31" s="28">
        <v>6</v>
      </c>
      <c r="AS31" s="176">
        <f>((($W$25)^Q31)*((1-($W$25))^($U$35-Q31))*HLOOKUP($U$35,$AV$24:$BF$34,Q31+1))*V35</f>
        <v>1.0809119458505733E-4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1.6271657432890222E-2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3.2288900288033854E-5</v>
      </c>
    </row>
    <row r="32" spans="1:71" x14ac:dyDescent="0.25">
      <c r="A32" s="26" t="s">
        <v>115</v>
      </c>
      <c r="B32" s="178">
        <f>IF(B17&lt;&gt;"TL",0.001,IF(B18&lt;5,0.1,IF(B18&lt;10,0.2,IF(B18&lt;14,0.3,0.35))))</f>
        <v>1E-3</v>
      </c>
      <c r="C32" s="179">
        <f>IF(C17&lt;&gt;"TL",0.001,IF(C18&lt;5,0.1,IF(C18&lt;10,0.2,IF(C18&lt;14,0.3,0.35))))</f>
        <v>0.35</v>
      </c>
      <c r="G32" s="87">
        <v>7</v>
      </c>
      <c r="H32" s="126">
        <f>J32*L25+J31*L26+J30*L27+J29*L28</f>
        <v>1.6580830974790054E-3</v>
      </c>
      <c r="I32" s="138">
        <v>7</v>
      </c>
      <c r="J32" s="86">
        <f t="shared" si="18"/>
        <v>2.0679610134409222E-4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1.6344083581617984E-5</v>
      </c>
      <c r="S32" s="72">
        <v>7</v>
      </c>
      <c r="T32" s="175">
        <f t="shared" si="20"/>
        <v>5.8706834227199994E-3</v>
      </c>
      <c r="U32" s="138">
        <v>7</v>
      </c>
      <c r="V32" s="86">
        <f>T32*R25+T31*R26+T30*R27+T29*R28+T28*R29+T27*R30+T26*R31+T25*R32</f>
        <v>7.3107109762751143E-2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3.9089579307627982E-5</v>
      </c>
      <c r="AN32" s="28">
        <v>7</v>
      </c>
      <c r="AO32" s="176">
        <f>((($W$25)^Q32)*((1-($W$25))^($U$33-Q32))*HLOOKUP($U$33,$AV$24:$BF$34,Q32+1))*V33</f>
        <v>7.5117709110113936E-5</v>
      </c>
      <c r="AP32" s="28">
        <v>7</v>
      </c>
      <c r="AQ32" s="176">
        <f>((($W$25)^Q32)*((1-($W$25))^($U$34-Q32))*HLOOKUP($U$34,$AV$24:$BF$34,Q32+1))*V34</f>
        <v>6.064655464195529E-5</v>
      </c>
      <c r="AR32" s="28">
        <v>7</v>
      </c>
      <c r="AS32" s="176">
        <f>((($W$25)^Q32)*((1-($W$25))^($U$35-Q32))*HLOOKUP($U$35,$AV$24:$BF$34,Q32+1))*V35</f>
        <v>3.1942258284395004E-5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5.1551765046590576E-3</v>
      </c>
      <c r="BQ32" s="31">
        <f t="shared" si="24"/>
        <v>8</v>
      </c>
      <c r="BR32" s="31">
        <v>1</v>
      </c>
      <c r="BS32" s="107">
        <f t="shared" si="25"/>
        <v>7.2709690458170928E-5</v>
      </c>
    </row>
    <row r="33" spans="1:71" x14ac:dyDescent="0.25">
      <c r="A33" s="26" t="s">
        <v>116</v>
      </c>
      <c r="B33" s="255">
        <v>0.48</v>
      </c>
      <c r="C33" s="256">
        <f>IF(C17&lt;&gt;"CA",0.005,IF((C18-C16)&lt;0,0.1,0.1+0.055*(C18-C16)))</f>
        <v>5.0000000000000001E-3</v>
      </c>
      <c r="G33" s="87">
        <v>8</v>
      </c>
      <c r="H33" s="126">
        <f>J33*L25+J32*L26+J31*L27+J30*L28</f>
        <v>2.588881796068894E-4</v>
      </c>
      <c r="I33" s="138">
        <v>8</v>
      </c>
      <c r="J33" s="86">
        <f t="shared" si="18"/>
        <v>1.8891195600572156E-5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7.5641613831861109E-7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2.6642710357180261E-2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4.8558548545998648E-6</v>
      </c>
      <c r="AP33" s="28">
        <v>8</v>
      </c>
      <c r="AQ33" s="176">
        <f>((($W$25)^Q33)*((1-($W$25))^($U$34-Q33))*HLOOKUP($U$34,$AV$24:$BF$34,Q33+1))*V34</f>
        <v>7.8407840244756361E-6</v>
      </c>
      <c r="AR33" s="28">
        <v>8</v>
      </c>
      <c r="AS33" s="176">
        <f>((($W$25)^Q33)*((1-($W$25))^($U$35-Q33))*HLOOKUP($U$35,$AV$24:$BF$34,Q33+1))*V35</f>
        <v>6.1945567214966552E-6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1.2181852393894658E-3</v>
      </c>
      <c r="BQ33" s="31">
        <f t="shared" si="24"/>
        <v>8</v>
      </c>
      <c r="BR33" s="31">
        <v>2</v>
      </c>
      <c r="BS33" s="107">
        <f t="shared" si="25"/>
        <v>7.5736862431927097E-5</v>
      </c>
    </row>
    <row r="34" spans="1:71" x14ac:dyDescent="0.25">
      <c r="A34" s="40" t="s">
        <v>117</v>
      </c>
      <c r="B34" s="56">
        <f>B23*2</f>
        <v>1.0985722283978931</v>
      </c>
      <c r="C34" s="57">
        <f>C23*2</f>
        <v>8.9014277716021066</v>
      </c>
      <c r="G34" s="87">
        <v>9</v>
      </c>
      <c r="H34" s="126">
        <f>J34*L25+J33*L26+J32*L27+J31*L28</f>
        <v>3.1511136796894318E-5</v>
      </c>
      <c r="I34" s="138">
        <v>9</v>
      </c>
      <c r="J34" s="86">
        <f t="shared" si="18"/>
        <v>1.1624238750881871E-6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2.0745180411015832E-8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7.2519888215035674E-3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4.5053686327955731E-7</v>
      </c>
      <c r="AR34" s="28">
        <v>9</v>
      </c>
      <c r="AS34" s="176">
        <f>((($W$25)^Q34)*((1-($W$25))^($U$35-Q34))*HLOOKUP($U$35,$AV$24:$BF$34,Q34+1))*V35</f>
        <v>7.1188701180862986E-7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2.1759925314504173E-4</v>
      </c>
      <c r="BQ34" s="31">
        <f t="shared" si="24"/>
        <v>8</v>
      </c>
      <c r="BR34" s="31">
        <v>3</v>
      </c>
      <c r="BS34" s="107">
        <f t="shared" si="25"/>
        <v>4.8374437041957543E-5</v>
      </c>
    </row>
    <row r="35" spans="1:71" ht="15.75" thickBot="1" x14ac:dyDescent="0.3">
      <c r="G35" s="88">
        <v>10</v>
      </c>
      <c r="H35" s="127">
        <f>J35*L25+J34*L26+J33*L27+J32*L28</f>
        <v>2.938211389142768E-6</v>
      </c>
      <c r="I35" s="94">
        <v>10</v>
      </c>
      <c r="J35" s="89">
        <f t="shared" si="18"/>
        <v>3.6814967263181324E-8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2.5602723133194795E-10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1.7384623991391068E-3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3.6814967263181324E-8</v>
      </c>
      <c r="BI35" s="31">
        <f t="shared" si="22"/>
        <v>3</v>
      </c>
      <c r="BJ35" s="31">
        <v>8</v>
      </c>
      <c r="BK35" s="107">
        <f t="shared" si="23"/>
        <v>2.9403826708434182E-5</v>
      </c>
      <c r="BQ35" s="31">
        <f t="shared" si="24"/>
        <v>8</v>
      </c>
      <c r="BR35" s="31">
        <v>4</v>
      </c>
      <c r="BS35" s="107">
        <f t="shared" si="25"/>
        <v>2.1163460668828734E-5</v>
      </c>
    </row>
    <row r="36" spans="1:71" ht="15.75" x14ac:dyDescent="0.25">
      <c r="A36" s="109" t="s">
        <v>118</v>
      </c>
      <c r="B36" s="182">
        <f>SUM(BO4:BO14)</f>
        <v>0.21884312390773045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1.0000000000000002</v>
      </c>
      <c r="BI36" s="31">
        <f t="shared" si="22"/>
        <v>3</v>
      </c>
      <c r="BJ36" s="31">
        <v>9</v>
      </c>
      <c r="BK36" s="107">
        <f t="shared" si="23"/>
        <v>2.9700664387146969E-6</v>
      </c>
      <c r="BQ36" s="31">
        <f t="shared" si="24"/>
        <v>8</v>
      </c>
      <c r="BR36" s="31">
        <v>5</v>
      </c>
      <c r="BS36" s="107">
        <f t="shared" si="25"/>
        <v>6.7049945985645689E-6</v>
      </c>
    </row>
    <row r="37" spans="1:71" ht="16.5" thickBot="1" x14ac:dyDescent="0.3">
      <c r="A37" s="110" t="s">
        <v>119</v>
      </c>
      <c r="B37" s="182">
        <f>SUM(BK4:BK59)</f>
        <v>0.36820601296675332</v>
      </c>
      <c r="G37" s="157"/>
      <c r="H37" s="229">
        <f>SUM(H39:H49)</f>
        <v>0.99999994293562644</v>
      </c>
      <c r="I37" s="230"/>
      <c r="J37" s="229">
        <f>SUM(J39:J49)</f>
        <v>1.0000000000000004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0.99999999999999989</v>
      </c>
      <c r="S37" s="230"/>
      <c r="T37" s="229">
        <f>SUM(T39:T49)</f>
        <v>1.0050760126517704</v>
      </c>
      <c r="U37" s="230"/>
      <c r="V37" s="171">
        <f>SUM(V39:V48)</f>
        <v>0.68920543556152913</v>
      </c>
      <c r="W37" s="157"/>
      <c r="X37" s="157"/>
      <c r="Y37" s="168">
        <f>SUM(Y39:Y49)</f>
        <v>2.560272313319496E-10</v>
      </c>
      <c r="Z37" s="81"/>
      <c r="AA37" s="168">
        <f>SUM(AA39:AA49)</f>
        <v>2.0746466980017619E-8</v>
      </c>
      <c r="AB37" s="81"/>
      <c r="AC37" s="168">
        <f>SUM(AC39:AC49)</f>
        <v>7.5652039838670057E-7</v>
      </c>
      <c r="AD37" s="81"/>
      <c r="AE37" s="168">
        <f>SUM(AE39:AE49)</f>
        <v>1.6347885715547652E-5</v>
      </c>
      <c r="AF37" s="81"/>
      <c r="AG37" s="168">
        <f>SUM(AG39:AG49)</f>
        <v>2.3183747178800285E-4</v>
      </c>
      <c r="AH37" s="81"/>
      <c r="AI37" s="168">
        <f>SUM(AI39:AI49)</f>
        <v>2.2545845806889449E-3</v>
      </c>
      <c r="AJ37" s="81"/>
      <c r="AK37" s="168">
        <f>SUM(AK39:AK49)</f>
        <v>1.5227030346262251E-2</v>
      </c>
      <c r="AL37" s="81"/>
      <c r="AM37" s="168">
        <f>SUM(AM39:AM49)</f>
        <v>7.0527191435526951E-2</v>
      </c>
      <c r="AN37" s="81"/>
      <c r="AO37" s="168">
        <f>SUM(AO39:AO49)</f>
        <v>0.21442051129977169</v>
      </c>
      <c r="AP37" s="81"/>
      <c r="AQ37" s="168">
        <f>SUM(AQ39:AQ49)</f>
        <v>0.38652715501888335</v>
      </c>
      <c r="AR37" s="81"/>
      <c r="AS37" s="168">
        <f>SUM(AS39:AS49)</f>
        <v>0.31079456443847092</v>
      </c>
      <c r="BI37" s="31">
        <f t="shared" si="22"/>
        <v>3</v>
      </c>
      <c r="BJ37" s="31">
        <v>10</v>
      </c>
      <c r="BK37" s="107">
        <f t="shared" si="23"/>
        <v>2.1801291269755522E-7</v>
      </c>
      <c r="BQ37" s="31">
        <f t="shared" si="24"/>
        <v>8</v>
      </c>
      <c r="BR37" s="31">
        <v>6</v>
      </c>
      <c r="BS37" s="107">
        <f t="shared" si="25"/>
        <v>1.5844123751680637E-6</v>
      </c>
    </row>
    <row r="38" spans="1:71" ht="16.5" thickBot="1" x14ac:dyDescent="0.3">
      <c r="A38" s="111" t="s">
        <v>120</v>
      </c>
      <c r="B38" s="182">
        <f>SUM(BS4:BS47)</f>
        <v>0.41294765842271536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2.417638342343203E-3</v>
      </c>
      <c r="BQ38" s="31">
        <f>BM11+1</f>
        <v>8</v>
      </c>
      <c r="BR38" s="31">
        <v>7</v>
      </c>
      <c r="BS38" s="107">
        <f t="shared" si="25"/>
        <v>2.8301685028060572E-7</v>
      </c>
    </row>
    <row r="39" spans="1:71" x14ac:dyDescent="0.25">
      <c r="G39" s="128">
        <v>0</v>
      </c>
      <c r="H39" s="129">
        <f>L39*J39</f>
        <v>0.12472141577519362</v>
      </c>
      <c r="I39" s="97">
        <v>0</v>
      </c>
      <c r="J39" s="98">
        <f t="shared" ref="J39:J49" si="29">Y39+AA39+AC39+AE39+AG39+AI39+AK39+AM39+AO39+AQ39+AS39</f>
        <v>0.1964792173294862</v>
      </c>
      <c r="K39" s="102">
        <v>0</v>
      </c>
      <c r="L39" s="98">
        <f>AH18</f>
        <v>0.63478172129544774</v>
      </c>
      <c r="M39" s="85">
        <v>0</v>
      </c>
      <c r="N39" s="173">
        <f>(1-$C$24)^$B$21</f>
        <v>1.6000850956494457E-5</v>
      </c>
      <c r="O39" s="72">
        <v>0</v>
      </c>
      <c r="P39" s="173">
        <f t="shared" ref="P39:P44" si="30">N39</f>
        <v>1.6000850956494457E-5</v>
      </c>
      <c r="Q39" s="28">
        <v>0</v>
      </c>
      <c r="R39" s="174">
        <f>P39*N39</f>
        <v>2.560272313319496E-10</v>
      </c>
      <c r="S39" s="72">
        <v>0</v>
      </c>
      <c r="T39" s="175">
        <f>(1-$C$33)^(INT(B23*2*(1-B31)))</f>
        <v>1</v>
      </c>
      <c r="U39" s="138">
        <v>0</v>
      </c>
      <c r="V39" s="86">
        <f>R39*T39</f>
        <v>2.560272313319496E-10</v>
      </c>
      <c r="W39" s="134">
        <f>C31</f>
        <v>0.1687385066143563</v>
      </c>
      <c r="X39" s="28">
        <v>0</v>
      </c>
      <c r="Y39" s="176">
        <f>V39</f>
        <v>2.560272313319496E-10</v>
      </c>
      <c r="Z39" s="28">
        <v>0</v>
      </c>
      <c r="AA39" s="176">
        <f>((1-W39)^Z40)*V40</f>
        <v>1.724573912428539E-8</v>
      </c>
      <c r="AB39" s="28">
        <v>0</v>
      </c>
      <c r="AC39" s="176">
        <f>(((1-$W$39)^AB41))*V41</f>
        <v>5.2275231984369811E-7</v>
      </c>
      <c r="AD39" s="28">
        <v>0</v>
      </c>
      <c r="AE39" s="176">
        <f>(((1-$W$39)^AB42))*V42</f>
        <v>9.3901943777592004E-6</v>
      </c>
      <c r="AF39" s="28">
        <v>0</v>
      </c>
      <c r="AG39" s="176">
        <f>(((1-$W$39)^AB43))*V43</f>
        <v>1.1069660066539973E-4</v>
      </c>
      <c r="AH39" s="28">
        <v>0</v>
      </c>
      <c r="AI39" s="176">
        <f>(((1-$W$39)^AB44))*V44</f>
        <v>8.9485948965445047E-4</v>
      </c>
      <c r="AJ39" s="28">
        <v>0</v>
      </c>
      <c r="AK39" s="176">
        <f>(((1-$W$39)^AB45))*V45</f>
        <v>5.0239023783252698E-3</v>
      </c>
      <c r="AL39" s="28">
        <v>0</v>
      </c>
      <c r="AM39" s="176">
        <f>(((1-$W$39)^AB46))*V46</f>
        <v>1.9342839633851083E-2</v>
      </c>
      <c r="AN39" s="28">
        <v>0</v>
      </c>
      <c r="AO39" s="176">
        <f>(((1-$W$39)^AB47))*V47</f>
        <v>4.8884100925729604E-2</v>
      </c>
      <c r="AP39" s="28">
        <v>0</v>
      </c>
      <c r="AQ39" s="176">
        <f>(((1-$W$39)^AB48))*V48</f>
        <v>7.3251914204156734E-2</v>
      </c>
      <c r="AR39" s="28">
        <v>0</v>
      </c>
      <c r="AS39" s="176">
        <f>(((1-$W$39)^AB49))*V49</f>
        <v>4.8960973648639702E-2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5.7129592753280228E-4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3.9301135939944594E-6</v>
      </c>
    </row>
    <row r="40" spans="1:71" x14ac:dyDescent="0.25">
      <c r="G40" s="91">
        <v>1</v>
      </c>
      <c r="H40" s="130">
        <f>L39*J40+L40*J39</f>
        <v>0.28085365105729226</v>
      </c>
      <c r="I40" s="138">
        <v>1</v>
      </c>
      <c r="J40" s="86">
        <f t="shared" si="29"/>
        <v>0.34720360444565324</v>
      </c>
      <c r="K40" s="95">
        <v>1</v>
      </c>
      <c r="L40" s="86">
        <f>AI18</f>
        <v>0.30769233616152053</v>
      </c>
      <c r="M40" s="85">
        <v>1</v>
      </c>
      <c r="N40" s="173">
        <f>(($C$24)^M26)*((1-($C$24))^($B$21-M26))*HLOOKUP($B$21,$AV$24:$BF$34,M26+1)</f>
        <v>6.4825241068181612E-4</v>
      </c>
      <c r="O40" s="72">
        <v>1</v>
      </c>
      <c r="P40" s="173">
        <f t="shared" si="30"/>
        <v>6.4825241068181612E-4</v>
      </c>
      <c r="Q40" s="28">
        <v>1</v>
      </c>
      <c r="R40" s="174">
        <f>P40*N39+P39*N40</f>
        <v>2.0745180411015951E-8</v>
      </c>
      <c r="S40" s="72">
        <v>1</v>
      </c>
      <c r="T40" s="175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2.0746466980017619E-8</v>
      </c>
      <c r="W40" s="177"/>
      <c r="X40" s="28">
        <v>1</v>
      </c>
      <c r="Y40" s="174"/>
      <c r="Z40" s="28">
        <v>1</v>
      </c>
      <c r="AA40" s="176">
        <f>(1-((1-W39)^Z40))*V40</f>
        <v>3.5007278557322275E-9</v>
      </c>
      <c r="AB40" s="28">
        <v>1</v>
      </c>
      <c r="AC40" s="176">
        <f>((($W$39)^M40)*((1-($W$39))^($U$27-M40))*HLOOKUP($U$27,$AV$24:$BF$34,M40+1))*V41</f>
        <v>2.1222791259186539E-7</v>
      </c>
      <c r="AD40" s="28">
        <v>1</v>
      </c>
      <c r="AE40" s="176">
        <f>((($W$39)^M40)*((1-($W$39))^($U$28-M40))*HLOOKUP($U$28,$AV$24:$BF$34,M40+1))*V42</f>
        <v>5.7183716149348719E-6</v>
      </c>
      <c r="AF40" s="28">
        <v>1</v>
      </c>
      <c r="AG40" s="176">
        <f>((($W$39)^M40)*((1-($W$39))^($U$29-M40))*HLOOKUP($U$29,$AV$24:$BF$34,M40+1))*V43</f>
        <v>8.9881603958285323E-5</v>
      </c>
      <c r="AH40" s="28">
        <v>1</v>
      </c>
      <c r="AI40" s="176">
        <f>((($W$39)^M40)*((1-($W$39))^($U$30-M40))*HLOOKUP($U$30,$AV$24:$BF$34,M40+1))*V44</f>
        <v>9.082416009610915E-4</v>
      </c>
      <c r="AJ40" s="28">
        <v>1</v>
      </c>
      <c r="AK40" s="176">
        <f>((($W$39)^M40)*((1-($W$39))^($U$31-M40))*HLOOKUP($U$31,$AV$24:$BF$34,M40+1))*V45</f>
        <v>6.1188383542864558E-3</v>
      </c>
      <c r="AL40" s="28">
        <v>1</v>
      </c>
      <c r="AM40" s="176">
        <f>((($W$39)^Q40)*((1-($W$39))^($U$32-Q40))*HLOOKUP($U$32,$AV$24:$BF$34,Q40+1))*V46</f>
        <v>2.7484941015882839E-2</v>
      </c>
      <c r="AN40" s="28">
        <v>1</v>
      </c>
      <c r="AO40" s="176">
        <f>((($W$39)^Q40)*((1-($W$39))^($U$33-Q40))*HLOOKUP($U$33,$AV$24:$BF$34,Q40+1))*V47</f>
        <v>7.9384215465554644E-2</v>
      </c>
      <c r="AP40" s="28">
        <v>1</v>
      </c>
      <c r="AQ40" s="176">
        <f>((($W$39)^Q40)*((1-($W$39))^($U$34-Q40))*HLOOKUP($U$34,$AV$24:$BF$34,Q40+1))*V48</f>
        <v>0.13382523835187732</v>
      </c>
      <c r="AR40" s="28">
        <v>1</v>
      </c>
      <c r="AS40" s="176">
        <f>((($W$39)^Q40)*((1-($W$39))^($U$35-Q40))*HLOOKUP($U$35,$AV$24:$BF$34,Q40+1))*V49</f>
        <v>9.9386313952877198E-2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1.0204816405282135E-4</v>
      </c>
      <c r="BQ40" s="31">
        <f t="shared" si="31"/>
        <v>9</v>
      </c>
      <c r="BR40" s="31">
        <v>1</v>
      </c>
      <c r="BS40" s="107">
        <f t="shared" si="32"/>
        <v>8.8500178183735585E-6</v>
      </c>
    </row>
    <row r="41" spans="1:71" x14ac:dyDescent="0.25">
      <c r="G41" s="91">
        <v>2</v>
      </c>
      <c r="H41" s="130">
        <f>L39*J41+J40*L40+J39*L41</f>
        <v>0.29254662204713355</v>
      </c>
      <c r="I41" s="138">
        <v>2</v>
      </c>
      <c r="J41" s="86">
        <f t="shared" si="29"/>
        <v>0.27608651679276153</v>
      </c>
      <c r="K41" s="95">
        <v>2</v>
      </c>
      <c r="L41" s="86">
        <f>AJ18</f>
        <v>5.323748566157669E-2</v>
      </c>
      <c r="M41" s="85">
        <v>2</v>
      </c>
      <c r="N41" s="173">
        <f>(($C$24)^M27)*((1-($C$24))^($B$21-M27))*HLOOKUP($B$21,$AV$24:$BF$34,M27+1)</f>
        <v>1.0505220980993437E-2</v>
      </c>
      <c r="O41" s="72">
        <v>2</v>
      </c>
      <c r="P41" s="173">
        <f t="shared" si="30"/>
        <v>1.0505220980993437E-2</v>
      </c>
      <c r="Q41" s="28">
        <v>2</v>
      </c>
      <c r="R41" s="174">
        <f>P41*N39+P40*N40+P39*N41</f>
        <v>7.564161383186149E-7</v>
      </c>
      <c r="S41" s="72">
        <v>2</v>
      </c>
      <c r="T41" s="175">
        <f t="shared" si="33"/>
        <v>5.0503775157192999E-5</v>
      </c>
      <c r="U41" s="138">
        <v>2</v>
      </c>
      <c r="V41" s="86">
        <f>R41*T39+T40*R40+R39*T41</f>
        <v>7.5652039838670047E-7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2.1540165951137021E-8</v>
      </c>
      <c r="AD41" s="28">
        <v>2</v>
      </c>
      <c r="AE41" s="176">
        <f>((($W$39)^M41)*((1-($W$39))^($U$28-M41))*HLOOKUP($U$28,$AV$24:$BF$34,M41+1))*V42</f>
        <v>1.1607773176645735E-6</v>
      </c>
      <c r="AF41" s="28">
        <v>2</v>
      </c>
      <c r="AG41" s="176">
        <f>((($W$39)^M41)*((1-($W$39))^($U$29-M41))*HLOOKUP($U$29,$AV$24:$BF$34,M41+1))*V43</f>
        <v>2.7367719564849289E-5</v>
      </c>
      <c r="AH41" s="28">
        <v>2</v>
      </c>
      <c r="AI41" s="176">
        <f>((($W$39)^M41)*((1-($W$39))^($U$30-M41))*HLOOKUP($U$30,$AV$24:$BF$34,M41+1))*V44</f>
        <v>3.6872953363210247E-4</v>
      </c>
      <c r="AJ41" s="28">
        <v>2</v>
      </c>
      <c r="AK41" s="176">
        <f>((($W$39)^M41)*((1-($W$39))^($U$31-M41))*HLOOKUP($U$31,$AV$24:$BF$34,M41+1))*V45</f>
        <v>3.1051710392350214E-3</v>
      </c>
      <c r="AL41" s="28">
        <v>2</v>
      </c>
      <c r="AM41" s="176">
        <f>((($W$39)^Q41)*((1-($W$39))^($U$32-Q41))*HLOOKUP($U$32,$AV$24:$BF$34,Q41+1))*V46</f>
        <v>1.6737577543191308E-2</v>
      </c>
      <c r="AN41" s="28">
        <v>2</v>
      </c>
      <c r="AO41" s="176">
        <f>((($W$39)^Q41)*((1-($W$39))^($U$33-Q41))*HLOOKUP($U$33,$AV$24:$BF$34,Q41+1))*V47</f>
        <v>5.63999526689066E-2</v>
      </c>
      <c r="AP41" s="28">
        <v>2</v>
      </c>
      <c r="AQ41" s="176">
        <f>((($W$39)^Q41)*((1-($W$39))^($U$34-Q41))*HLOOKUP($U$34,$AV$24:$BF$34,Q41+1))*V48</f>
        <v>0.10866121453471408</v>
      </c>
      <c r="AR41" s="28">
        <v>2</v>
      </c>
      <c r="AS41" s="176">
        <f>((($W$39)^Q41)*((1-($W$39))^($U$35-Q41))*HLOOKUP($U$35,$AV$24:$BF$34,Q41+1))*V49</f>
        <v>9.0785321436033961E-2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1.3789599405118152E-5</v>
      </c>
      <c r="BQ41" s="31">
        <f t="shared" si="31"/>
        <v>9</v>
      </c>
      <c r="BR41" s="31">
        <v>2</v>
      </c>
      <c r="BS41" s="107">
        <f t="shared" si="32"/>
        <v>9.2184766267965655E-6</v>
      </c>
    </row>
    <row r="42" spans="1:71" ht="15" customHeight="1" x14ac:dyDescent="0.25">
      <c r="G42" s="91">
        <v>3</v>
      </c>
      <c r="H42" s="130">
        <f>J42*L39+J41*L40+L42*J39+L41*J40</f>
        <v>0.18685456058832833</v>
      </c>
      <c r="I42" s="138">
        <v>3</v>
      </c>
      <c r="J42" s="86">
        <f t="shared" si="29"/>
        <v>0.13008883671098886</v>
      </c>
      <c r="K42" s="95">
        <v>3</v>
      </c>
      <c r="L42" s="86">
        <f>AK18</f>
        <v>4.288456881455037E-3</v>
      </c>
      <c r="M42" s="85">
        <v>3</v>
      </c>
      <c r="N42" s="173">
        <f>(($C$24)^M28)*((1-($C$24))^($B$21-M28))*HLOOKUP($B$21,$AV$24:$BF$34,M28+1)</f>
        <v>8.5120908184075278E-2</v>
      </c>
      <c r="O42" s="72">
        <v>3</v>
      </c>
      <c r="P42" s="173">
        <f t="shared" si="30"/>
        <v>8.5120908184075278E-2</v>
      </c>
      <c r="Q42" s="28">
        <v>3</v>
      </c>
      <c r="R42" s="174">
        <f>P42*N39+P41*N40+P40*N41+P39*N42</f>
        <v>1.6344083581618052E-5</v>
      </c>
      <c r="S42" s="72">
        <v>3</v>
      </c>
      <c r="T42" s="175">
        <f t="shared" si="33"/>
        <v>3.8068172229039952E-7</v>
      </c>
      <c r="U42" s="138">
        <v>3</v>
      </c>
      <c r="V42" s="86">
        <f>R42*T39+R41*T40+R40*T41+R39*T42</f>
        <v>1.6347885715547649E-5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7.8542405189005201E-8</v>
      </c>
      <c r="AF42" s="28">
        <v>3</v>
      </c>
      <c r="AG42" s="176">
        <f>((($W$39)^M42)*((1-($W$39))^($U$29-M42))*HLOOKUP($U$29,$AV$24:$BF$34,M42+1))*V43</f>
        <v>3.7035984188357492E-6</v>
      </c>
      <c r="AH42" s="28">
        <v>3</v>
      </c>
      <c r="AI42" s="176">
        <f>((($W$39)^M42)*((1-($W$39))^($U$30-M42))*HLOOKUP($U$30,$AV$24:$BF$34,M42+1))*V44</f>
        <v>7.4848734537525462E-5</v>
      </c>
      <c r="AJ42" s="28">
        <v>3</v>
      </c>
      <c r="AK42" s="176">
        <f>((($W$39)^M42)*((1-($W$39))^($U$31-M42))*HLOOKUP($U$31,$AV$24:$BF$34,M42+1))*V45</f>
        <v>8.4042855846098432E-4</v>
      </c>
      <c r="AL42" s="28">
        <v>3</v>
      </c>
      <c r="AM42" s="176">
        <f>((($W$39)^Q42)*((1-($W$39))^($U$32-Q42))*HLOOKUP($U$32,$AV$24:$BF$34,Q42+1))*V46</f>
        <v>5.6626261440250016E-3</v>
      </c>
      <c r="AN42" s="28">
        <v>3</v>
      </c>
      <c r="AO42" s="176">
        <f>((($W$39)^Q42)*((1-($W$39))^($U$33-Q42))*HLOOKUP($U$33,$AV$24:$BF$34,Q42+1))*V47</f>
        <v>2.2897352667475408E-2</v>
      </c>
      <c r="AP42" s="28">
        <v>3</v>
      </c>
      <c r="AQ42" s="176">
        <f>((($W$39)^Q42)*((1-($W$39))^($U$34-Q42))*HLOOKUP($U$34,$AV$24:$BF$34,Q42+1))*V48</f>
        <v>5.1466884365385136E-2</v>
      </c>
      <c r="AR42" s="28">
        <v>3</v>
      </c>
      <c r="AS42" s="176">
        <f>((($W$39)^Q42)*((1-($W$39))^($U$35-Q42))*HLOOKUP($U$35,$AV$24:$BF$34,Q42+1))*V49</f>
        <v>4.914291410028078E-2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1.3928808247503976E-6</v>
      </c>
      <c r="BQ42" s="31">
        <f t="shared" si="31"/>
        <v>9</v>
      </c>
      <c r="BR42" s="31">
        <v>3</v>
      </c>
      <c r="BS42" s="107">
        <f t="shared" si="32"/>
        <v>5.8879996198223917E-6</v>
      </c>
    </row>
    <row r="43" spans="1:71" ht="15" customHeight="1" x14ac:dyDescent="0.25">
      <c r="G43" s="91">
        <v>4</v>
      </c>
      <c r="H43" s="130">
        <f>J43*L39+J42*L40+J41*L41+J40*L42</f>
        <v>8.1747496934640049E-2</v>
      </c>
      <c r="I43" s="138">
        <v>4</v>
      </c>
      <c r="J43" s="86">
        <f t="shared" si="29"/>
        <v>4.0223337150499298E-2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0.34485562099030631</v>
      </c>
      <c r="O43" s="72">
        <v>4</v>
      </c>
      <c r="P43" s="173">
        <f t="shared" si="30"/>
        <v>0.34485562099030631</v>
      </c>
      <c r="Q43" s="28">
        <v>4</v>
      </c>
      <c r="R43" s="174">
        <f>P43*N39+P42*N40+P41*N41+P40*N42+P39*N43</f>
        <v>2.3175530250495982E-4</v>
      </c>
      <c r="S43" s="72">
        <v>4</v>
      </c>
      <c r="T43" s="175">
        <f t="shared" si="33"/>
        <v>2.5506313051283046E-9</v>
      </c>
      <c r="U43" s="138">
        <v>4</v>
      </c>
      <c r="V43" s="86">
        <f>T43*R39+T42*R40+T41*R41+T40*R42+T39*R43</f>
        <v>2.3183747178800283E-4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1.8794918063277528E-7</v>
      </c>
      <c r="AH43" s="28">
        <v>4</v>
      </c>
      <c r="AI43" s="176">
        <f>((($W$39)^M43)*((1-($W$39))^($U$30-M43))*HLOOKUP($U$30,$AV$24:$BF$34,M43+1))*V44</f>
        <v>7.5968054507109951E-6</v>
      </c>
      <c r="AJ43" s="28">
        <v>4</v>
      </c>
      <c r="AK43" s="176">
        <f>((($W$39)^M43)*((1-($W$39))^($U$31-M43))*HLOOKUP($U$31,$AV$24:$BF$34,M43+1))*V45</f>
        <v>1.2794950295349374E-4</v>
      </c>
      <c r="AL43" s="28">
        <v>4</v>
      </c>
      <c r="AM43" s="176">
        <f>((($W$39)^Q43)*((1-($W$39))^($U$32-Q43))*HLOOKUP($U$32,$AV$24:$BF$34,Q43+1))*V46</f>
        <v>1.1494614951626384E-3</v>
      </c>
      <c r="AN43" s="28">
        <v>4</v>
      </c>
      <c r="AO43" s="176">
        <f>((($W$39)^Q43)*((1-($W$39))^($U$33-Q43))*HLOOKUP($U$33,$AV$24:$BF$34,Q43+1))*V47</f>
        <v>5.809942366624808E-3</v>
      </c>
      <c r="AP43" s="28">
        <v>4</v>
      </c>
      <c r="AQ43" s="176">
        <f>((($W$39)^Q43)*((1-($W$39))^($U$34-Q43))*HLOOKUP($U$34,$AV$24:$BF$34,Q43+1))*V48</f>
        <v>1.567096264595029E-2</v>
      </c>
      <c r="AR43" s="28">
        <v>4</v>
      </c>
      <c r="AS43" s="176">
        <f>((($W$39)^Q43)*((1-($W$39))^($U$35-Q43))*HLOOKUP($U$35,$AV$24:$BF$34,Q43+1))*V49</f>
        <v>1.7457236385176725E-2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1.0224215919419611E-7</v>
      </c>
      <c r="BQ43" s="31">
        <f t="shared" si="31"/>
        <v>9</v>
      </c>
      <c r="BR43" s="31">
        <v>4</v>
      </c>
      <c r="BS43" s="107">
        <f t="shared" si="32"/>
        <v>2.5759565587111415E-6</v>
      </c>
    </row>
    <row r="44" spans="1:71" ht="15" customHeight="1" thickBot="1" x14ac:dyDescent="0.3">
      <c r="G44" s="91">
        <v>5</v>
      </c>
      <c r="H44" s="130">
        <f>J44*L39+J43*L40+J42*L41+J41*L42</f>
        <v>2.5899191723414393E-2</v>
      </c>
      <c r="I44" s="138">
        <v>5</v>
      </c>
      <c r="J44" s="86">
        <f t="shared" si="29"/>
        <v>8.5276422805123306E-3</v>
      </c>
      <c r="K44" s="95">
        <v>5</v>
      </c>
      <c r="L44" s="86"/>
      <c r="M44" s="85">
        <v>5</v>
      </c>
      <c r="N44" s="173">
        <f>(($C$24)^M30)*((1-($C$24))^($B$21-M30))*HLOOKUP($B$21,$AV$24:$BF$34,M30+1)</f>
        <v>0.55885399658298662</v>
      </c>
      <c r="O44" s="72">
        <v>5</v>
      </c>
      <c r="P44" s="173">
        <f t="shared" si="30"/>
        <v>0.55885399658298662</v>
      </c>
      <c r="Q44" s="28">
        <v>5</v>
      </c>
      <c r="R44" s="174">
        <f>P44*N39+P43*N40+P42*N41+P41*N42+P40*N43+P39*N44</f>
        <v>2.25341915545294E-3</v>
      </c>
      <c r="S44" s="72">
        <v>5</v>
      </c>
      <c r="T44" s="175">
        <f t="shared" si="33"/>
        <v>1.6021553424172769E-11</v>
      </c>
      <c r="U44" s="138">
        <v>5</v>
      </c>
      <c r="V44" s="86">
        <f>T44*R39+T43*R40+T42*R41+T41*R42+T40*R43+T39*R44</f>
        <v>2.2545845806889444E-3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3.084164530638449E-7</v>
      </c>
      <c r="AJ44" s="28">
        <v>5</v>
      </c>
      <c r="AK44" s="176">
        <f>((($W$39)^M44)*((1-($W$39))^($U$31-M44))*HLOOKUP($U$31,$AV$24:$BF$34,M44+1))*V45</f>
        <v>1.0389033160907187E-5</v>
      </c>
      <c r="AL44" s="28">
        <v>5</v>
      </c>
      <c r="AM44" s="176">
        <f>((($W$39)^Q44)*((1-($W$39))^($U$32-Q44))*HLOOKUP($U$32,$AV$24:$BF$34,Q44+1))*V46</f>
        <v>1.3999812404239423E-4</v>
      </c>
      <c r="AN44" s="28">
        <v>5</v>
      </c>
      <c r="AO44" s="176">
        <f>((($W$39)^Q44)*((1-($W$39))^($U$33-Q44))*HLOOKUP($U$33,$AV$24:$BF$34,Q44+1))*V47</f>
        <v>9.4349227650792602E-4</v>
      </c>
      <c r="AP44" s="28">
        <v>5</v>
      </c>
      <c r="AQ44" s="176">
        <f>((($W$39)^Q44)*((1-($W$39))^($U$34-Q44))*HLOOKUP($U$34,$AV$24:$BF$34,Q44+1))*V48</f>
        <v>3.1810625839494484E-3</v>
      </c>
      <c r="AR44" s="28">
        <v>5</v>
      </c>
      <c r="AS44" s="176">
        <f>((($W$39)^Q44)*((1-($W$39))^($U$35-Q44))*HLOOKUP($U$35,$AV$24:$BF$34,Q44+1))*V49</f>
        <v>4.2523918463985922E-3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1.9570426260334941E-4</v>
      </c>
      <c r="BQ44" s="31">
        <f t="shared" si="31"/>
        <v>9</v>
      </c>
      <c r="BR44" s="31">
        <v>5</v>
      </c>
      <c r="BS44" s="107">
        <f t="shared" si="32"/>
        <v>8.1611297332550402E-7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6.1200645683164292E-3</v>
      </c>
      <c r="I45" s="138">
        <v>6</v>
      </c>
      <c r="J45" s="86">
        <f t="shared" si="29"/>
        <v>1.2553995563157297E-3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1.5215694921171722E-2</v>
      </c>
      <c r="S45" s="72">
        <v>6</v>
      </c>
      <c r="T45" s="175">
        <f t="shared" si="33"/>
        <v>9.6612382457323207E-14</v>
      </c>
      <c r="U45" s="138">
        <v>6</v>
      </c>
      <c r="V45" s="86">
        <f>T45*R39+T44*R40+T43*R41+T42*R42+T41*R43+T40*R44+T39*R45</f>
        <v>1.5227030346262245E-2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3.5147984011597265E-7</v>
      </c>
      <c r="AL45" s="28">
        <v>6</v>
      </c>
      <c r="AM45" s="176">
        <f>((($W$39)^Q45)*((1-($W$39))^($U$32-Q45))*HLOOKUP($U$32,$AV$24:$BF$34,Q45+1))*V46</f>
        <v>9.472781055337406E-6</v>
      </c>
      <c r="AN45" s="28">
        <v>6</v>
      </c>
      <c r="AO45" s="176">
        <f>((($W$39)^Q45)*((1-($W$39))^($U$33-Q45))*HLOOKUP($U$33,$AV$24:$BF$34,Q45+1))*V47</f>
        <v>9.5760166329675122E-5</v>
      </c>
      <c r="AP45" s="28">
        <v>6</v>
      </c>
      <c r="AQ45" s="176">
        <f>((($W$39)^Q45)*((1-($W$39))^($U$34-Q45))*HLOOKUP($U$34,$AV$24:$BF$34,Q45+1))*V48</f>
        <v>4.3048447380557693E-4</v>
      </c>
      <c r="AR45" s="28">
        <v>6</v>
      </c>
      <c r="AS45" s="176">
        <f>((($W$39)^Q45)*((1-($W$39))^($U$35-Q45))*HLOOKUP($U$35,$AV$24:$BF$34,Q45+1))*V49</f>
        <v>7.1933065528502428E-4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3.4957820865677946E-5</v>
      </c>
      <c r="BQ45" s="31">
        <f t="shared" si="31"/>
        <v>9</v>
      </c>
      <c r="BR45" s="31">
        <v>6</v>
      </c>
      <c r="BS45" s="107">
        <f t="shared" si="32"/>
        <v>1.9285019181804498E-7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1.0932011291915865E-3</v>
      </c>
      <c r="I46" s="138">
        <v>7</v>
      </c>
      <c r="J46" s="86">
        <f t="shared" si="29"/>
        <v>1.2671761577276046E-4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7.0450616762587515E-2</v>
      </c>
      <c r="S46" s="72">
        <v>7</v>
      </c>
      <c r="T46" s="175">
        <f t="shared" si="33"/>
        <v>5.6640425226236405E-16</v>
      </c>
      <c r="U46" s="138">
        <v>7</v>
      </c>
      <c r="V46" s="86">
        <f>T46*R39+T45*R40+T44*R41+T43*R42+T42*R43+T41*R44+T40*R45+T39*R46</f>
        <v>7.0527191435526937E-2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2.7469831635086595E-7</v>
      </c>
      <c r="AN46" s="28">
        <v>7</v>
      </c>
      <c r="AO46" s="176">
        <f>((($W$39)^Q46)*((1-($W$39))^($U$33-Q46))*HLOOKUP($U$33,$AV$24:$BF$34,Q46+1))*V47</f>
        <v>5.5538402736372957E-6</v>
      </c>
      <c r="AP46" s="28">
        <v>7</v>
      </c>
      <c r="AQ46" s="176">
        <f>((($W$39)^Q46)*((1-($W$39))^($U$34-Q46))*HLOOKUP($U$34,$AV$24:$BF$34,Q46+1))*V48</f>
        <v>3.7450467654253771E-5</v>
      </c>
      <c r="AR46" s="28">
        <v>7</v>
      </c>
      <c r="AS46" s="176">
        <f>((($W$39)^Q46)*((1-($W$39))^($U$35-Q46))*HLOOKUP($U$35,$AV$24:$BF$34,Q46+1))*V49</f>
        <v>8.3438609528518529E-5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4.7237924394608653E-6</v>
      </c>
      <c r="BQ46" s="31">
        <f t="shared" si="31"/>
        <v>9</v>
      </c>
      <c r="BR46" s="31">
        <v>7</v>
      </c>
      <c r="BS46" s="107">
        <f t="shared" si="32"/>
        <v>3.4448010328475421E-8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1.4772245812253804E-4</v>
      </c>
      <c r="I47" s="138">
        <v>8</v>
      </c>
      <c r="J47" s="86">
        <f t="shared" si="29"/>
        <v>8.3929272291716598E-6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0.21406571879149761</v>
      </c>
      <c r="S47" s="72">
        <v>8</v>
      </c>
      <c r="T47" s="175">
        <f t="shared" si="33"/>
        <v>3.2528600273502595E-18</v>
      </c>
      <c r="U47" s="138">
        <v>8</v>
      </c>
      <c r="V47" s="86">
        <f>T47*R39+T46*R40+T45*R41+T44*R42+T43*R43+T42*R44+T41*R45+T40*R46+T39*R47</f>
        <v>0.21442051129977163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1.4092236937550806E-7</v>
      </c>
      <c r="AP47" s="28">
        <v>8</v>
      </c>
      <c r="AQ47" s="176">
        <f>((($W$39)^Q47)*((1-($W$39))^($U$34-Q47))*HLOOKUP($U$34,$AV$24:$BF$34,Q47+1))*V48</f>
        <v>1.9005258977683485E-6</v>
      </c>
      <c r="AR47" s="28">
        <v>8</v>
      </c>
      <c r="AS47" s="176">
        <f>((($W$39)^Q47)*((1-($W$39))^($U$35-Q47))*HLOOKUP($U$35,$AV$24:$BF$34,Q47+1))*V49</f>
        <v>6.3514789620278028E-6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4.7714800957769853E-7</v>
      </c>
      <c r="BQ47" s="31">
        <f>BM12+1</f>
        <v>9</v>
      </c>
      <c r="BR47" s="31">
        <v>8</v>
      </c>
      <c r="BS47" s="107">
        <f t="shared" si="32"/>
        <v>4.654902585872788E-9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1.4921374672240805E-5</v>
      </c>
      <c r="I48" s="138">
        <v>9</v>
      </c>
      <c r="J48" s="86">
        <f t="shared" si="29"/>
        <v>3.2937490135560538E-7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0.38544788406908076</v>
      </c>
      <c r="S48" s="72">
        <v>9</v>
      </c>
      <c r="T48" s="175">
        <f t="shared" si="33"/>
        <v>1.8389284074216291E-20</v>
      </c>
      <c r="U48" s="138">
        <v>9</v>
      </c>
      <c r="V48" s="86">
        <f>T48*R39+T47*R40+T46*R41+T45*R42+T44*R43+T43*R44+T42*R45+T41*R46+T40*R47+T39*R48</f>
        <v>0.38652715501888324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4.2865492764522983E-8</v>
      </c>
      <c r="AR48" s="28">
        <v>9</v>
      </c>
      <c r="AS48" s="176">
        <f>((($W$39)^Q48)*((1-($W$39))^($U$35-Q48))*HLOOKUP($U$35,$AV$24:$BF$34,Q48+1))*V49</f>
        <v>2.8650940859108237E-7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3.5024276224908911E-8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1.095279321480267E-6</v>
      </c>
      <c r="I49" s="94">
        <v>10</v>
      </c>
      <c r="J49" s="89">
        <f t="shared" si="29"/>
        <v>5.8158798550521929E-9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0.3123177894967768</v>
      </c>
      <c r="S49" s="72">
        <v>10</v>
      </c>
      <c r="T49" s="175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0.31079456443847087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5.8158798550521929E-9</v>
      </c>
      <c r="BI49" s="31">
        <f>BQ14+1</f>
        <v>6</v>
      </c>
      <c r="BJ49" s="31">
        <v>0</v>
      </c>
      <c r="BK49" s="107">
        <f>$H$31*H39</f>
        <v>1.0334227166128212E-3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65"/>
      <c r="J50" s="265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65"/>
      <c r="X50" s="157"/>
      <c r="Y50" s="157"/>
      <c r="BI50" s="31">
        <f>BI45+1</f>
        <v>6</v>
      </c>
      <c r="BJ50" s="31">
        <v>7</v>
      </c>
      <c r="BK50" s="107">
        <f>$H$31*H46</f>
        <v>9.0580985928646874E-6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1.2240058616146669E-6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1.2363624525541831E-7</v>
      </c>
    </row>
    <row r="53" spans="1:63" x14ac:dyDescent="0.25">
      <c r="BI53" s="31">
        <f>BI48+1</f>
        <v>6</v>
      </c>
      <c r="BJ53" s="31">
        <v>10</v>
      </c>
      <c r="BK53" s="107">
        <f>$H$31*H49</f>
        <v>9.0753181786692858E-9</v>
      </c>
    </row>
    <row r="54" spans="1:63" x14ac:dyDescent="0.25">
      <c r="BI54" s="31">
        <f>BI51+1</f>
        <v>7</v>
      </c>
      <c r="BJ54" s="31">
        <v>8</v>
      </c>
      <c r="BK54" s="107">
        <f>$H$32*H47</f>
        <v>2.4493611093103055E-7</v>
      </c>
    </row>
    <row r="55" spans="1:63" x14ac:dyDescent="0.25">
      <c r="BI55" s="31">
        <f>BI52+1</f>
        <v>7</v>
      </c>
      <c r="BJ55" s="31">
        <v>9</v>
      </c>
      <c r="BK55" s="107">
        <f>$H$32*H48</f>
        <v>2.4740879135193814E-8</v>
      </c>
    </row>
    <row r="56" spans="1:63" x14ac:dyDescent="0.25">
      <c r="BI56" s="31">
        <f>BI53+1</f>
        <v>7</v>
      </c>
      <c r="BJ56" s="31">
        <v>10</v>
      </c>
      <c r="BK56" s="107">
        <f>$H$32*H49</f>
        <v>1.8160641299647044E-9</v>
      </c>
    </row>
    <row r="57" spans="1:63" x14ac:dyDescent="0.25">
      <c r="BI57" s="31">
        <f>BI55+1</f>
        <v>8</v>
      </c>
      <c r="BJ57" s="31">
        <v>9</v>
      </c>
      <c r="BK57" s="107">
        <f>$H$33*H48</f>
        <v>3.8629675261287678E-9</v>
      </c>
    </row>
    <row r="58" spans="1:63" x14ac:dyDescent="0.25">
      <c r="BI58" s="31">
        <f>BI56+1</f>
        <v>8</v>
      </c>
      <c r="BJ58" s="31">
        <v>10</v>
      </c>
      <c r="BK58" s="107">
        <f>$H$33*H49</f>
        <v>2.8355486969909532E-10</v>
      </c>
    </row>
    <row r="59" spans="1:63" x14ac:dyDescent="0.25">
      <c r="BI59" s="31">
        <f>BI58+1</f>
        <v>9</v>
      </c>
      <c r="BJ59" s="31">
        <v>10</v>
      </c>
      <c r="BK59" s="107">
        <f>$H$34*H49</f>
        <v>3.4513496529974283E-11</v>
      </c>
    </row>
  </sheetData>
  <mergeCells count="1">
    <mergeCell ref="B3:C3"/>
  </mergeCells>
  <conditionalFormatting sqref="H49">
    <cfRule type="cellIs" dxfId="153" priority="1" operator="greaterThan">
      <formula>0.15</formula>
    </cfRule>
  </conditionalFormatting>
  <conditionalFormatting sqref="H39:H49">
    <cfRule type="cellIs" dxfId="152" priority="2" operator="greaterThan">
      <formula>0.15</formula>
    </cfRule>
  </conditionalFormatting>
  <conditionalFormatting sqref="H49">
    <cfRule type="cellIs" dxfId="151" priority="3" operator="greaterThan">
      <formula>0.15</formula>
    </cfRule>
  </conditionalFormatting>
  <conditionalFormatting sqref="H39:H49">
    <cfRule type="cellIs" dxfId="150" priority="4" operator="greaterThan">
      <formula>0.15</formula>
    </cfRule>
  </conditionalFormatting>
  <conditionalFormatting sqref="H35">
    <cfRule type="cellIs" dxfId="149" priority="5" operator="greaterThan">
      <formula>0.15</formula>
    </cfRule>
  </conditionalFormatting>
  <conditionalFormatting sqref="H25:H35">
    <cfRule type="cellIs" dxfId="148" priority="6" operator="greaterThan">
      <formula>0.15</formula>
    </cfRule>
  </conditionalFormatting>
  <conditionalFormatting sqref="H35">
    <cfRule type="cellIs" dxfId="147" priority="7" operator="greaterThan">
      <formula>0.15</formula>
    </cfRule>
  </conditionalFormatting>
  <conditionalFormatting sqref="H25:H35">
    <cfRule type="cellIs" dxfId="146" priority="8" operator="greaterThan">
      <formula>0.15</formula>
    </cfRule>
  </conditionalFormatting>
  <conditionalFormatting sqref="V49">
    <cfRule type="cellIs" dxfId="145" priority="9" operator="greaterThan">
      <formula>0.15</formula>
    </cfRule>
  </conditionalFormatting>
  <conditionalFormatting sqref="V35">
    <cfRule type="cellIs" dxfId="144" priority="10" operator="greaterThan">
      <formula>0.15</formula>
    </cfRule>
  </conditionalFormatting>
  <conditionalFormatting sqref="V25:V35 V39:V49">
    <cfRule type="cellIs" dxfId="143" priority="11" operator="greaterThan">
      <formula>0.15</formula>
    </cfRule>
  </conditionalFormatting>
  <conditionalFormatting sqref="V49">
    <cfRule type="cellIs" dxfId="142" priority="12" operator="greaterThan">
      <formula>0.15</formula>
    </cfRule>
  </conditionalFormatting>
  <conditionalFormatting sqref="V35">
    <cfRule type="cellIs" dxfId="141" priority="13" operator="greaterThan">
      <formula>0.15</formula>
    </cfRule>
  </conditionalFormatting>
  <conditionalFormatting sqref="V25:V35 V39:V49">
    <cfRule type="cellIs" dxfId="14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B5CB-05F9-492D-868C-5B5715EDC3BE}">
  <sheetPr>
    <tabColor theme="9" tint="-0.249977111117893"/>
  </sheetPr>
  <dimension ref="A1:BS59"/>
  <sheetViews>
    <sheetView zoomScale="90" zoomScaleNormal="90" workbookViewId="0">
      <selection activeCell="W10" sqref="W10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70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2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70" t="s">
        <v>193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1.1066101542134021</v>
      </c>
      <c r="U2" s="219">
        <f>SUM(U4:U16)</f>
        <v>0.44424005474867861</v>
      </c>
      <c r="V2" s="157"/>
      <c r="W2" s="157"/>
      <c r="X2" s="253">
        <f>SUM(X4:X16)</f>
        <v>0.61509459447369552</v>
      </c>
      <c r="Y2" s="254">
        <f>SUM(Y4:Y16)</f>
        <v>0.24613944844473862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9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33</v>
      </c>
      <c r="F4" s="283" t="s">
        <v>151</v>
      </c>
      <c r="G4" s="283" t="s">
        <v>151</v>
      </c>
      <c r="H4" s="283" t="s">
        <v>151</v>
      </c>
      <c r="I4" s="283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0.17931596091205212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0.10221009771986971</v>
      </c>
      <c r="Y4" s="252">
        <f>W4*U4</f>
        <v>0</v>
      </c>
      <c r="Z4" s="190"/>
      <c r="AA4" s="244">
        <f>X4</f>
        <v>0.10221009771986971</v>
      </c>
      <c r="AB4" s="245">
        <f>1-AA4</f>
        <v>0.89778990228013034</v>
      </c>
      <c r="AC4" s="245">
        <f>PRODUCT(AB5:AB16)*AA4</f>
        <v>5.8369401110691548E-2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3.2741422246612938E-2</v>
      </c>
      <c r="BM4" s="31">
        <v>0</v>
      </c>
      <c r="BN4" s="31">
        <v>0</v>
      </c>
      <c r="BO4" s="107">
        <f>H25*H39</f>
        <v>1.3629357610735707E-2</v>
      </c>
      <c r="BQ4" s="31">
        <v>1</v>
      </c>
      <c r="BR4" s="31">
        <v>0</v>
      </c>
      <c r="BS4" s="107">
        <f>$H$26*H39</f>
        <v>3.1127629736146259E-2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</v>
      </c>
      <c r="F5" s="283" t="s">
        <v>185</v>
      </c>
      <c r="G5" s="283" t="s">
        <v>1</v>
      </c>
      <c r="H5" s="283" t="s">
        <v>151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5.2300488599348528E-2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2.9811278501628659E-2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2.9811278501628659E-2</v>
      </c>
      <c r="AH5" s="247">
        <f t="shared" si="2"/>
        <v>0.97018872149837132</v>
      </c>
      <c r="AI5" s="247">
        <f>AG5*PRODUCT(AH3:AH4)*PRODUCT(AH6:AH17)</f>
        <v>2.3870677972205715E-2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5.4523409222855491E-3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3.6102303885892716E-2</v>
      </c>
      <c r="BM5" s="31">
        <v>1</v>
      </c>
      <c r="BN5" s="31">
        <v>1</v>
      </c>
      <c r="BO5" s="107">
        <f>$H$26*H40</f>
        <v>7.4777028957300623E-2</v>
      </c>
      <c r="BQ5" s="31">
        <f>BQ4+1</f>
        <v>2</v>
      </c>
      <c r="BR5" s="31">
        <v>0</v>
      </c>
      <c r="BS5" s="107">
        <f>$H$27*H39</f>
        <v>3.2310228109530298E-2</v>
      </c>
    </row>
    <row r="6" spans="1:71" ht="15.75" x14ac:dyDescent="0.25">
      <c r="A6" s="2" t="s">
        <v>31</v>
      </c>
      <c r="B6" s="271">
        <v>3.5</v>
      </c>
      <c r="C6" s="272">
        <v>10</v>
      </c>
      <c r="E6" s="211"/>
      <c r="F6" s="283" t="s">
        <v>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2</v>
      </c>
      <c r="Q6" s="214">
        <f>COUNTIF(E9:I11,"IMP")</f>
        <v>1</v>
      </c>
      <c r="R6" s="221">
        <f t="shared" si="0"/>
        <v>0.45</v>
      </c>
      <c r="S6" s="221">
        <f t="shared" si="1"/>
        <v>0.53794788273615635</v>
      </c>
      <c r="T6" s="226">
        <f t="shared" si="5"/>
        <v>7.1723469180264565E-2</v>
      </c>
      <c r="U6" s="228">
        <f t="shared" si="6"/>
        <v>5.5188717741874371E-3</v>
      </c>
      <c r="V6" s="218">
        <f>$G$18</f>
        <v>0.45</v>
      </c>
      <c r="W6" s="216">
        <v>0.56999999999999995</v>
      </c>
      <c r="X6" s="251">
        <f t="shared" si="7"/>
        <v>3.2275561131119054E-2</v>
      </c>
      <c r="Y6" s="252">
        <f t="shared" si="7"/>
        <v>3.1457569112868389E-3</v>
      </c>
      <c r="Z6" s="199"/>
      <c r="AA6" s="244">
        <f t="shared" si="8"/>
        <v>3.2275561131119054E-2</v>
      </c>
      <c r="AB6" s="245">
        <f t="shared" si="9"/>
        <v>0.96772443886888093</v>
      </c>
      <c r="AC6" s="245">
        <f>PRODUCT(AB7:AB16)*AA6*PRODUCT(AB4:AB5)</f>
        <v>1.7099690227430003E-2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9.940536202081211E-3</v>
      </c>
      <c r="AE6" s="183"/>
      <c r="AF6" s="197"/>
      <c r="AG6" s="246">
        <f t="shared" si="10"/>
        <v>3.1457569112868389E-3</v>
      </c>
      <c r="AH6" s="247">
        <f t="shared" si="2"/>
        <v>0.99685424308871318</v>
      </c>
      <c r="AI6" s="247">
        <f>AG6*PRODUCT(AH3:AH5)*PRODUCT(AH7:AH17)</f>
        <v>2.451511142005515E-3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5.5221750858374286E-4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2.4196983232538237E-2</v>
      </c>
      <c r="BM6" s="31">
        <f>BI14+1</f>
        <v>2</v>
      </c>
      <c r="BN6" s="31">
        <v>2</v>
      </c>
      <c r="BO6" s="107">
        <f>$H$27*H41</f>
        <v>8.5585374391670271E-2</v>
      </c>
      <c r="BQ6" s="31">
        <f>BM5+1</f>
        <v>2</v>
      </c>
      <c r="BR6" s="31">
        <v>1</v>
      </c>
      <c r="BS6" s="107">
        <f>$H$27*H40</f>
        <v>7.7617951750362069E-2</v>
      </c>
    </row>
    <row r="7" spans="1:71" ht="15.75" x14ac:dyDescent="0.25">
      <c r="A7" s="5" t="s">
        <v>36</v>
      </c>
      <c r="B7" s="271">
        <v>22.25</v>
      </c>
      <c r="C7" s="272">
        <v>15.75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2</v>
      </c>
      <c r="R7" s="221">
        <f t="shared" si="0"/>
        <v>0.04</v>
      </c>
      <c r="S7" s="221">
        <f t="shared" si="1"/>
        <v>4.7817589576547234E-2</v>
      </c>
      <c r="T7" s="226">
        <f t="shared" si="5"/>
        <v>0</v>
      </c>
      <c r="U7" s="228">
        <f t="shared" si="6"/>
        <v>1.1954397394136809E-2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5.3794788273615638E-3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5.3794788273615638E-3</v>
      </c>
      <c r="AH7" s="247">
        <f t="shared" si="2"/>
        <v>0.99462052117263844</v>
      </c>
      <c r="AI7" s="247">
        <f>AG7*PRODUCT(AH3:AH6)*PRODUCT(AH8:AH17)</f>
        <v>4.2016818135106274E-3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9.2372878493434318E-4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1.100276023185599E-2</v>
      </c>
      <c r="BM7" s="31">
        <f>BI23+1</f>
        <v>3</v>
      </c>
      <c r="BN7" s="31">
        <v>3</v>
      </c>
      <c r="BO7" s="107">
        <f>$H$28*H42</f>
        <v>3.691204257102762E-2</v>
      </c>
      <c r="BQ7" s="31">
        <f>BQ5+1</f>
        <v>3</v>
      </c>
      <c r="BR7" s="31">
        <v>0</v>
      </c>
      <c r="BS7" s="107">
        <f>$H$28*H39</f>
        <v>2.0791328551516393E-2</v>
      </c>
    </row>
    <row r="8" spans="1:71" ht="15.75" x14ac:dyDescent="0.25">
      <c r="A8" s="5" t="s">
        <v>39</v>
      </c>
      <c r="B8" s="271">
        <v>21.5</v>
      </c>
      <c r="C8" s="272">
        <v>16.5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5</v>
      </c>
      <c r="Q8" s="214">
        <f>COUNTIF(E10:I11,"RAP")</f>
        <v>2</v>
      </c>
      <c r="R8" s="221">
        <f t="shared" si="0"/>
        <v>0.5</v>
      </c>
      <c r="S8" s="221">
        <f t="shared" si="1"/>
        <v>0.59771986970684043</v>
      </c>
      <c r="T8" s="226">
        <f t="shared" si="5"/>
        <v>0.34454733576062718</v>
      </c>
      <c r="U8" s="228">
        <f t="shared" si="6"/>
        <v>1.161103312245922E-2</v>
      </c>
      <c r="V8" s="218">
        <f>$G$17</f>
        <v>0.56999999999999995</v>
      </c>
      <c r="W8" s="216">
        <f>$H$17</f>
        <v>0.56999999999999995</v>
      </c>
      <c r="X8" s="251">
        <f t="shared" si="7"/>
        <v>0.19639198138355748</v>
      </c>
      <c r="Y8" s="252">
        <f t="shared" si="7"/>
        <v>6.6182888798017548E-3</v>
      </c>
      <c r="Z8" s="199"/>
      <c r="AA8" s="244">
        <f t="shared" si="8"/>
        <v>0.19639198138355748</v>
      </c>
      <c r="AB8" s="245">
        <f t="shared" si="9"/>
        <v>0.80360801861644249</v>
      </c>
      <c r="AC8" s="245">
        <f>PRODUCT(AB9:AB$16)*AA8*PRODUCT(AB$4:AB7)</f>
        <v>0.12529843320485873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4.2218136202197762E-2</v>
      </c>
      <c r="AE8" s="183"/>
      <c r="AF8" s="197"/>
      <c r="AG8" s="246">
        <f t="shared" si="10"/>
        <v>6.6182888798017548E-3</v>
      </c>
      <c r="AH8" s="247">
        <f t="shared" si="2"/>
        <v>0.99338171112019824</v>
      </c>
      <c r="AI8" s="247">
        <f>AG8*PRODUCT(AH3:AH7)*PRODUCT(AH9:AH17)</f>
        <v>5.1757099874839849E-3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1.1033837784460475E-3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3.5873254190477346E-3</v>
      </c>
      <c r="BM8" s="31">
        <f>BI31+1</f>
        <v>4</v>
      </c>
      <c r="BN8" s="31">
        <v>4</v>
      </c>
      <c r="BO8" s="107">
        <f>$H$29*H43</f>
        <v>7.5992922860612724E-3</v>
      </c>
      <c r="BQ8" s="31">
        <f>BQ6+1</f>
        <v>3</v>
      </c>
      <c r="BR8" s="31">
        <v>1</v>
      </c>
      <c r="BS8" s="107">
        <f>$H$28*H40</f>
        <v>4.9946423493727056E-2</v>
      </c>
    </row>
    <row r="9" spans="1:71" ht="15.75" x14ac:dyDescent="0.25">
      <c r="A9" s="5" t="s">
        <v>42</v>
      </c>
      <c r="B9" s="271">
        <v>22.25</v>
      </c>
      <c r="C9" s="272">
        <v>15.25</v>
      </c>
      <c r="E9" s="284" t="s">
        <v>1</v>
      </c>
      <c r="F9" s="284" t="s">
        <v>151</v>
      </c>
      <c r="G9" s="284" t="s">
        <v>6</v>
      </c>
      <c r="H9" s="284" t="s">
        <v>151</v>
      </c>
      <c r="I9" s="284" t="s">
        <v>138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5</v>
      </c>
      <c r="Q9" s="214">
        <f>COUNTIF(E10:I11,"RAP")</f>
        <v>2</v>
      </c>
      <c r="R9" s="221">
        <f t="shared" si="0"/>
        <v>0.5</v>
      </c>
      <c r="S9" s="221">
        <f t="shared" si="1"/>
        <v>0.59771986970684043</v>
      </c>
      <c r="T9" s="226">
        <f t="shared" si="5"/>
        <v>0.34454733576062718</v>
      </c>
      <c r="U9" s="228">
        <f t="shared" si="6"/>
        <v>1.161103312245922E-2</v>
      </c>
      <c r="V9" s="218">
        <f>$G$17</f>
        <v>0.56999999999999995</v>
      </c>
      <c r="W9" s="216">
        <f>$H$17</f>
        <v>0.56999999999999995</v>
      </c>
      <c r="X9" s="251">
        <f t="shared" si="7"/>
        <v>0.19639198138355748</v>
      </c>
      <c r="Y9" s="252">
        <f t="shared" si="7"/>
        <v>6.6182888798017548E-3</v>
      </c>
      <c r="Z9" s="199"/>
      <c r="AA9" s="244">
        <f t="shared" si="8"/>
        <v>0.19639198138355748</v>
      </c>
      <c r="AB9" s="245">
        <f t="shared" si="9"/>
        <v>0.80360801861644249</v>
      </c>
      <c r="AC9" s="245">
        <f>PRODUCT(AB10:AB$16)*AA9*PRODUCT(AB$4:AB8)</f>
        <v>0.12529843320485873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1.1596730005027134E-2</v>
      </c>
      <c r="AE9" s="183"/>
      <c r="AF9" s="197"/>
      <c r="AG9" s="246">
        <f t="shared" si="10"/>
        <v>6.6182888798017548E-3</v>
      </c>
      <c r="AH9" s="247">
        <f t="shared" si="2"/>
        <v>0.99338171112019824</v>
      </c>
      <c r="AI9" s="247">
        <f>AG9*PRODUCT(AH3:AH8)*PRODUCT(AH10:AH17)</f>
        <v>5.1757099874839849E-3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1.068901219051415E-3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8.6398610925153053E-4</v>
      </c>
      <c r="BM9" s="31">
        <f>BI38+1</f>
        <v>5</v>
      </c>
      <c r="BN9" s="31">
        <v>5</v>
      </c>
      <c r="BO9" s="107">
        <f>$H$30*H44</f>
        <v>8.3519716323732273E-4</v>
      </c>
      <c r="BQ9" s="31">
        <f>BM6+1</f>
        <v>3</v>
      </c>
      <c r="BR9" s="31">
        <v>2</v>
      </c>
      <c r="BS9" s="107">
        <f>$H$28*H41</f>
        <v>5.5073385187797169E-2</v>
      </c>
    </row>
    <row r="10" spans="1:71" ht="15.75" x14ac:dyDescent="0.25">
      <c r="A10" s="6" t="s">
        <v>45</v>
      </c>
      <c r="B10" s="271">
        <v>16</v>
      </c>
      <c r="C10" s="272">
        <v>12.5</v>
      </c>
      <c r="E10" s="284" t="s">
        <v>151</v>
      </c>
      <c r="F10" s="284" t="s">
        <v>6</v>
      </c>
      <c r="G10" s="284" t="s">
        <v>151</v>
      </c>
      <c r="H10" s="284" t="s">
        <v>138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5.8886476052599827E-2</v>
      </c>
      <c r="U10" s="228">
        <f>S10*G14</f>
        <v>0.16824707443599951</v>
      </c>
      <c r="V10" s="218">
        <f>$G$18</f>
        <v>0.45</v>
      </c>
      <c r="W10" s="216">
        <f>$H$18</f>
        <v>0.45</v>
      </c>
      <c r="X10" s="251">
        <f t="shared" si="7"/>
        <v>2.6498914223669921E-2</v>
      </c>
      <c r="Y10" s="252">
        <f t="shared" si="7"/>
        <v>7.5711183496199777E-2</v>
      </c>
      <c r="Z10" s="199"/>
      <c r="AA10" s="244">
        <f t="shared" si="8"/>
        <v>2.6498914223669921E-2</v>
      </c>
      <c r="AB10" s="245">
        <f t="shared" si="9"/>
        <v>0.9735010857763301</v>
      </c>
      <c r="AC10" s="245">
        <f>PRODUCT(AB11:AB$16)*AA10*PRODUCT(AB$4:AB9)</f>
        <v>1.3955898088404174E-2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9.1177584325311011E-4</v>
      </c>
      <c r="AE10" s="183"/>
      <c r="AF10" s="197"/>
      <c r="AG10" s="246">
        <f t="shared" si="10"/>
        <v>7.5711183496199777E-2</v>
      </c>
      <c r="AH10" s="247">
        <f t="shared" si="2"/>
        <v>0.92428881650380024</v>
      </c>
      <c r="AI10" s="247">
        <f>AG10*PRODUCT(AH3:AH9)*PRODUCT(AH11:AH17)</f>
        <v>6.3634510908334982E-2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7.9294785611099747E-3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1.5597846728347957E-4</v>
      </c>
      <c r="BM10" s="31">
        <f>BI44+1</f>
        <v>6</v>
      </c>
      <c r="BN10" s="31">
        <v>6</v>
      </c>
      <c r="BO10" s="107">
        <f>$H$31*H45</f>
        <v>5.1420882985329743E-5</v>
      </c>
      <c r="BQ10" s="31">
        <f>BQ7+1</f>
        <v>4</v>
      </c>
      <c r="BR10" s="31">
        <v>0</v>
      </c>
      <c r="BS10" s="107">
        <f>$H$29*H39</f>
        <v>9.4134080878506207E-3</v>
      </c>
    </row>
    <row r="11" spans="1:71" ht="15.75" x14ac:dyDescent="0.25">
      <c r="A11" s="6" t="s">
        <v>48</v>
      </c>
      <c r="B11" s="271">
        <v>6</v>
      </c>
      <c r="C11" s="272">
        <v>12.25</v>
      </c>
      <c r="E11" s="213"/>
      <c r="F11" s="284" t="s">
        <v>1</v>
      </c>
      <c r="G11" s="284" t="s">
        <v>151</v>
      </c>
      <c r="H11" s="284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0</v>
      </c>
      <c r="Q11" s="214">
        <f>COUNTIF(E9:I11,"CAB")</f>
        <v>2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0</v>
      </c>
      <c r="U11" s="228">
        <f>IF(Q11&gt;0,IF(P11&gt;0,G14^2.7/(G14^2.7+G13^2.7),1),0)*Q11/L11*S11</f>
        <v>5.0474122330799849E-2</v>
      </c>
      <c r="V11" s="218">
        <f>IF(P11-Q11&gt;3,0.9,IF(P11-Q11=3,0.83,IF(P11-Q11=2,0.75,IF(P11-Q11=1,0.65,IF(P11-Q11=0,0.44,IF(P11-Q11=-1,0.16,IF(P11-Q11&lt;-1,0.05,0.02)))))))</f>
        <v>0.05</v>
      </c>
      <c r="W11" s="216">
        <f>IF(Q11-P11&gt;3,0.9,IF(Q11-P11=3,0.83,IF(Q11-P11=2,0.75,IF(Q11-P11=1,0.65,IF(Q11-P11=0,0.44,IF(Q11-P11=-1,0.16,IF(Q11-P11&lt;-1,0.05,0.02)))))))</f>
        <v>0.75</v>
      </c>
      <c r="X11" s="251">
        <f t="shared" si="7"/>
        <v>0</v>
      </c>
      <c r="Y11" s="252">
        <f t="shared" si="7"/>
        <v>3.7855591748099889E-2</v>
      </c>
      <c r="Z11" s="199"/>
      <c r="AA11" s="244">
        <f t="shared" si="8"/>
        <v>0</v>
      </c>
      <c r="AB11" s="245">
        <f t="shared" si="9"/>
        <v>1</v>
      </c>
      <c r="AC11" s="245">
        <f>PRODUCT(AB12:AB$16)*AA11*PRODUCT(AB$4:AB10)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0"/>
        <v>3.7855591748099889E-2</v>
      </c>
      <c r="AH11" s="247">
        <f t="shared" si="2"/>
        <v>0.96214440825190006</v>
      </c>
      <c r="AI11" s="247">
        <f>AG11*PRODUCT(AH3:AH10)*PRODUCT(AH12:AH17)</f>
        <v>3.0565404876761623E-2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2.6061500407158619E-3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2.1177483506107436E-5</v>
      </c>
      <c r="BM11" s="31">
        <f>BI50+1</f>
        <v>7</v>
      </c>
      <c r="BN11" s="31">
        <v>7</v>
      </c>
      <c r="BO11" s="107">
        <f>$H$32*H46</f>
        <v>1.7967585122086627E-6</v>
      </c>
      <c r="BQ11" s="31">
        <f>BQ8+1</f>
        <v>4</v>
      </c>
      <c r="BR11" s="31">
        <v>1</v>
      </c>
      <c r="BS11" s="107">
        <f>$H$29*H40</f>
        <v>2.2613565348173555E-2</v>
      </c>
    </row>
    <row r="12" spans="1:71" ht="15.75" x14ac:dyDescent="0.25">
      <c r="A12" s="6" t="s">
        <v>52</v>
      </c>
      <c r="B12" s="271">
        <v>16.5</v>
      </c>
      <c r="C12" s="272">
        <v>12.25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0</v>
      </c>
      <c r="U12" s="228">
        <f>IF(S12=0,0,S12*Q12^2.7/(P12^2.7+Q12^2.7)*Q12/L12)</f>
        <v>9.5635179153094468E-3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4.3035830618892513E-3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4.3035830618892513E-3</v>
      </c>
      <c r="AH12" s="247">
        <f t="shared" si="2"/>
        <v>0.99569641693811073</v>
      </c>
      <c r="AI12" s="247">
        <f>AG12*PRODUCT(AH3:AH11)*PRODUCT(AH13:AH17)</f>
        <v>3.3577133624778689E-3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2.7178176376155749E-4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2.145541246081003E-6</v>
      </c>
      <c r="BM12" s="31">
        <f>BI54+1</f>
        <v>8</v>
      </c>
      <c r="BN12" s="31">
        <v>8</v>
      </c>
      <c r="BO12" s="107">
        <f>$H$33*H47</f>
        <v>3.5398608532179232E-8</v>
      </c>
      <c r="BQ12" s="31">
        <f>BQ9+1</f>
        <v>4</v>
      </c>
      <c r="BR12" s="31">
        <v>2</v>
      </c>
      <c r="BS12" s="107">
        <f>$H$29*H41</f>
        <v>2.4934830319648403E-2</v>
      </c>
    </row>
    <row r="13" spans="1:71" ht="15.75" x14ac:dyDescent="0.25">
      <c r="A13" s="7" t="s">
        <v>55</v>
      </c>
      <c r="B13" s="271">
        <v>14</v>
      </c>
      <c r="C13" s="272">
        <v>13</v>
      </c>
      <c r="E13" s="210"/>
      <c r="F13" s="210" t="s">
        <v>152</v>
      </c>
      <c r="G13" s="217">
        <f>B22</f>
        <v>0.25925925925925924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1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0</v>
      </c>
      <c r="U13" s="228">
        <f>IF(P13+Q13=0,0,S13*Q14/4*Q13/L13)</f>
        <v>1.5369939506747324E-2</v>
      </c>
      <c r="V13" s="218">
        <v>1</v>
      </c>
      <c r="W13" s="216">
        <v>1</v>
      </c>
      <c r="X13" s="251">
        <f t="shared" si="7"/>
        <v>0</v>
      </c>
      <c r="Y13" s="252">
        <f t="shared" si="7"/>
        <v>1.5369939506747324E-2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1.5369939506747324E-2</v>
      </c>
      <c r="AH13" s="247">
        <f t="shared" si="2"/>
        <v>0.98463006049325263</v>
      </c>
      <c r="AI13" s="247">
        <f>AG13*PRODUCT(AH3:AH12)*PRODUCT(AH14:AH17)</f>
        <v>1.2126610861522138E-2</v>
      </c>
      <c r="AJ13" s="247">
        <f>AG13*AG14*PRODUCT(AH3:AH12)*PRODUCT(AH15:AH17)+AG13*AG15*PRODUCT(AH3:AH12)*AH14*PRODUCT(AH16:AH17)+AG13*AG16*PRODUCT(AH3:AH12)*AH14*AH15*AH17+AG13*AG17*PRODUCT(AH3:AH12)*AH14*AH15*AH16</f>
        <v>7.9226365612784344E-4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1.5859681124978997E-7</v>
      </c>
      <c r="BM13" s="31">
        <f>BI57+1</f>
        <v>9</v>
      </c>
      <c r="BN13" s="31">
        <v>9</v>
      </c>
      <c r="BO13" s="107">
        <f>$H$34*H48</f>
        <v>3.8542672274390125E-10</v>
      </c>
      <c r="BQ13" s="31">
        <f>BM7+1</f>
        <v>4</v>
      </c>
      <c r="BR13" s="31">
        <v>3</v>
      </c>
      <c r="BS13" s="107">
        <f>$H$29*H42</f>
        <v>1.6712165324897221E-2</v>
      </c>
    </row>
    <row r="14" spans="1:71" ht="15.75" x14ac:dyDescent="0.25">
      <c r="A14" s="7" t="s">
        <v>58</v>
      </c>
      <c r="B14" s="271">
        <v>11</v>
      </c>
      <c r="C14" s="272">
        <v>11</v>
      </c>
      <c r="E14" s="210"/>
      <c r="F14" s="210" t="s">
        <v>153</v>
      </c>
      <c r="G14" s="215">
        <f>C22</f>
        <v>0.7407407407407407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3.3496269541439465E-2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5.0754045669295575E-2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8.2452833073857673E-2</v>
      </c>
      <c r="BM14" s="31">
        <f>BQ39+1</f>
        <v>10</v>
      </c>
      <c r="BN14" s="31">
        <v>10</v>
      </c>
      <c r="BO14" s="107">
        <f>$H$35*H49</f>
        <v>2.2392301303984525E-12</v>
      </c>
      <c r="BQ14" s="31">
        <f>BQ10+1</f>
        <v>5</v>
      </c>
      <c r="BR14" s="31">
        <v>0</v>
      </c>
      <c r="BS14" s="107">
        <f>$H$30*H39</f>
        <v>3.1731720665183418E-3</v>
      </c>
    </row>
    <row r="15" spans="1:71" ht="15.75" x14ac:dyDescent="0.25">
      <c r="A15" s="162" t="s">
        <v>62</v>
      </c>
      <c r="B15" s="273">
        <v>7</v>
      </c>
      <c r="C15" s="274">
        <v>10.5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5.5262673143223258E-2</v>
      </c>
      <c r="BQ15" s="31">
        <f>BQ11+1</f>
        <v>5</v>
      </c>
      <c r="BR15" s="31">
        <v>1</v>
      </c>
      <c r="BS15" s="107">
        <f>$H$30*H40</f>
        <v>7.6228219596496628E-3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2.5128832653347671E-2</v>
      </c>
      <c r="BQ16" s="31">
        <f>BQ12+1</f>
        <v>5</v>
      </c>
      <c r="BR16" s="31">
        <v>2</v>
      </c>
      <c r="BS16" s="107">
        <f>$H$30*H41</f>
        <v>8.4052987308392696E-3</v>
      </c>
    </row>
    <row r="17" spans="1:71" x14ac:dyDescent="0.25">
      <c r="A17" s="161" t="s">
        <v>69</v>
      </c>
      <c r="B17" s="275" t="s">
        <v>186</v>
      </c>
      <c r="C17" s="276" t="s">
        <v>70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8.1929714206945645E-3</v>
      </c>
      <c r="BQ17" s="31">
        <f>BQ13+1</f>
        <v>5</v>
      </c>
      <c r="BR17" s="31">
        <v>3</v>
      </c>
      <c r="BS17" s="107">
        <f>$H$30*H42</f>
        <v>5.6335150548125074E-3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0.5127033442717297</v>
      </c>
      <c r="AC18" s="159">
        <f>SUM(AC4:AC16)</f>
        <v>0.37351812537768264</v>
      </c>
      <c r="AD18" s="159">
        <v>8.5000000000000006E-2</v>
      </c>
      <c r="AE18" s="159">
        <f>IF((1-AB18-AC18-AD18)&lt;0,(1-AB18-AC18-AD18)-1,1-AB18-AC18-AD18)</f>
        <v>2.8778530350587653E-2</v>
      </c>
      <c r="AF18" s="197"/>
      <c r="AG18" s="157"/>
      <c r="AH18" s="160">
        <f>PRODUCT(AH3:AH17)</f>
        <v>0.776855730688919</v>
      </c>
      <c r="AI18" s="159">
        <f>SUM(AI3:AI17)</f>
        <v>0.20131357658108201</v>
      </c>
      <c r="AJ18" s="159">
        <f>SUM(AJ3:AJ17)</f>
        <v>2.0700246235016338E-2</v>
      </c>
      <c r="AK18" s="159">
        <f>IF((1-AH18-AI18-AJ18)&lt;0,(1-AH18-AI18-AJ18)-1,(1-AH18-AI18-AJ18))</f>
        <v>1.1304464949826523E-3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1.9732287077691207E-3</v>
      </c>
      <c r="BQ18" s="31">
        <f>BM8+1</f>
        <v>5</v>
      </c>
      <c r="BR18" s="31">
        <v>4</v>
      </c>
      <c r="BS18" s="107">
        <f>$H$30*H43</f>
        <v>2.5616505501934424E-3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3.5623395577993579E-4</v>
      </c>
      <c r="BQ19" s="31">
        <f>BQ15+1</f>
        <v>6</v>
      </c>
      <c r="BR19" s="31">
        <v>1</v>
      </c>
      <c r="BS19" s="107">
        <f>$H$31*H40</f>
        <v>1.9486341552121123E-3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4.8366539652771882E-5</v>
      </c>
      <c r="BQ20" s="31">
        <f>BQ16+1</f>
        <v>6</v>
      </c>
      <c r="BR20" s="31">
        <v>2</v>
      </c>
      <c r="BS20" s="107">
        <f>$H$31*H41</f>
        <v>2.1486599422593858E-3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4.9001292209863932E-6</v>
      </c>
      <c r="BQ21" s="31">
        <f>BQ17+1</f>
        <v>6</v>
      </c>
      <c r="BR21" s="31">
        <v>3</v>
      </c>
      <c r="BS21" s="107">
        <f>$H$31*H42</f>
        <v>1.440104453156323E-3</v>
      </c>
    </row>
    <row r="22" spans="1:71" x14ac:dyDescent="0.25">
      <c r="A22" s="26" t="s">
        <v>81</v>
      </c>
      <c r="B22" s="169">
        <f>(B6)/((B6)+(C6))</f>
        <v>0.25925925925925924</v>
      </c>
      <c r="C22" s="170">
        <f>1-B22</f>
        <v>0.7407407407407407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2"/>
        <v>3.6221390317239279E-7</v>
      </c>
      <c r="BQ22" s="31">
        <f>BQ18+1</f>
        <v>6</v>
      </c>
      <c r="BR22" s="31">
        <v>4</v>
      </c>
      <c r="BS22" s="107">
        <f>$H$31*H43</f>
        <v>6.5483882245286713E-4</v>
      </c>
    </row>
    <row r="23" spans="1:71" ht="15.75" thickBot="1" x14ac:dyDescent="0.3">
      <c r="A23" s="40" t="s">
        <v>82</v>
      </c>
      <c r="B23" s="56">
        <f>((B22^2.8)/((B22^2.8)+(C22^2.8)))*B21</f>
        <v>0.25117515316865469</v>
      </c>
      <c r="C23" s="57">
        <f>B21-B23</f>
        <v>4.7488248468313454</v>
      </c>
      <c r="D23" s="149">
        <f>SUM(D25:D30)</f>
        <v>1</v>
      </c>
      <c r="E23" s="149">
        <f>SUM(E25:E30)</f>
        <v>1</v>
      </c>
      <c r="H23" s="229">
        <f>SUM(H25:H35)</f>
        <v>0.99999989863121319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1.0000000000000002</v>
      </c>
      <c r="O23" s="81"/>
      <c r="P23" s="229">
        <f>SUM(P25:P35)</f>
        <v>1.0000000000000002</v>
      </c>
      <c r="Q23" s="81"/>
      <c r="R23" s="229">
        <f>SUM(R25:R35)</f>
        <v>1.0000000000000002</v>
      </c>
      <c r="S23" s="81"/>
      <c r="T23" s="229">
        <f>SUM(T25:T35)</f>
        <v>1</v>
      </c>
      <c r="V23" s="171">
        <f>SUM(V25:V34)</f>
        <v>0.99986845716896922</v>
      </c>
      <c r="Y23" s="168">
        <f>SUM(Y25:Y35)</f>
        <v>5.8171382305317251E-3</v>
      </c>
      <c r="Z23" s="81"/>
      <c r="AA23" s="168">
        <f>SUM(AA25:AA35)</f>
        <v>4.1271502846907747E-2</v>
      </c>
      <c r="AB23" s="81"/>
      <c r="AC23" s="168">
        <f>SUM(AC25:AC35)</f>
        <v>0.12841239269891971</v>
      </c>
      <c r="AD23" s="81"/>
      <c r="AE23" s="168">
        <f>SUM(AE25:AE35)</f>
        <v>0.22978036255570061</v>
      </c>
      <c r="AF23" s="81"/>
      <c r="AG23" s="168">
        <f>SUM(AG25:AG35)</f>
        <v>0.2606895972246332</v>
      </c>
      <c r="AH23" s="81"/>
      <c r="AI23" s="168">
        <f>SUM(AI25:AI35)</f>
        <v>0.19517935057713245</v>
      </c>
      <c r="AJ23" s="81"/>
      <c r="AK23" s="168">
        <f>SUM(AK25:AK35)</f>
        <v>9.7650118476449665E-2</v>
      </c>
      <c r="AL23" s="81"/>
      <c r="AM23" s="168">
        <f>SUM(AM25:AM35)</f>
        <v>3.26360958284376E-2</v>
      </c>
      <c r="AN23" s="81"/>
      <c r="AO23" s="168">
        <f>SUM(AO25:AO35)</f>
        <v>7.3086622982592494E-3</v>
      </c>
      <c r="AP23" s="81"/>
      <c r="AQ23" s="168">
        <f>SUM(AQ25:AQ35)</f>
        <v>1.1232364319971287E-3</v>
      </c>
      <c r="AR23" s="81"/>
      <c r="AS23" s="168">
        <f>SUM(AS25:AS35)</f>
        <v>1.3154283103078418E-4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5.7362208119769824E-2</v>
      </c>
      <c r="BQ23" s="31">
        <f>BM9+1</f>
        <v>6</v>
      </c>
      <c r="BR23" s="31">
        <v>5</v>
      </c>
      <c r="BS23" s="107">
        <f>$H$31*H44</f>
        <v>2.135027850887011E-4</v>
      </c>
    </row>
    <row r="24" spans="1:71" ht="15.75" thickBot="1" x14ac:dyDescent="0.3">
      <c r="A24" s="26" t="s">
        <v>83</v>
      </c>
      <c r="B24" s="64">
        <f>B23/B21</f>
        <v>5.0235030633730936E-2</v>
      </c>
      <c r="C24" s="65">
        <f>C23/B21</f>
        <v>0.94976496936626909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2.6083525216603787E-2</v>
      </c>
      <c r="BQ24" s="31">
        <f>BI49+1</f>
        <v>7</v>
      </c>
      <c r="BR24" s="31">
        <v>0</v>
      </c>
      <c r="BS24" s="107">
        <f t="shared" ref="BS24:BS30" si="17">$H$32*H39</f>
        <v>1.5700028811360819E-4</v>
      </c>
    </row>
    <row r="25" spans="1:71" x14ac:dyDescent="0.25">
      <c r="A25" s="26" t="s">
        <v>108</v>
      </c>
      <c r="B25" s="172">
        <f>1/(1+EXP(-3.1416*4*((B11/(B11+C8))-(3.1416/6))))</f>
        <v>3.8098870257117695E-2</v>
      </c>
      <c r="C25" s="170">
        <f>1/(1+EXP(-3.1416*4*((C11/(C11+B8))-(3.1416/6))))</f>
        <v>0.11726080249029283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0.12230360724809816</v>
      </c>
      <c r="I25" s="97">
        <v>0</v>
      </c>
      <c r="J25" s="98">
        <f t="shared" ref="J25:J35" si="18">Y25+AA25+AC25+AE25+AG25+AI25+AK25+AM25+AO25+AQ25+AS25</f>
        <v>0.23854653692931244</v>
      </c>
      <c r="K25" s="97">
        <v>0</v>
      </c>
      <c r="L25" s="98">
        <f>AB18</f>
        <v>0.5127033442717297</v>
      </c>
      <c r="M25" s="85">
        <v>0</v>
      </c>
      <c r="N25" s="173">
        <f>(1-$B$24)^$B$21</f>
        <v>0.77282424139106232</v>
      </c>
      <c r="O25" s="72">
        <v>0</v>
      </c>
      <c r="P25" s="173">
        <f t="shared" ref="P25:P30" si="19">N25</f>
        <v>0.77282424139106232</v>
      </c>
      <c r="Q25" s="28">
        <v>0</v>
      </c>
      <c r="R25" s="174">
        <f>P25*N25</f>
        <v>0.59725730808167099</v>
      </c>
      <c r="S25" s="72">
        <v>0</v>
      </c>
      <c r="T25" s="175">
        <f>(1-$B$33)^(INT(C23*2*(1-C31)))</f>
        <v>9.7397522840126892E-3</v>
      </c>
      <c r="U25" s="138">
        <v>0</v>
      </c>
      <c r="V25" s="86">
        <f>R25*T25</f>
        <v>5.8171382305317251E-3</v>
      </c>
      <c r="W25" s="134">
        <f>B31</f>
        <v>0.34051221870965825</v>
      </c>
      <c r="X25" s="28">
        <v>0</v>
      </c>
      <c r="Y25" s="176">
        <f>V25</f>
        <v>5.8171382305317251E-3</v>
      </c>
      <c r="Z25" s="28">
        <v>0</v>
      </c>
      <c r="AA25" s="176">
        <f>((1-W25)^Z26)*V26</f>
        <v>2.7218051843025212E-2</v>
      </c>
      <c r="AB25" s="28">
        <v>0</v>
      </c>
      <c r="AC25" s="176">
        <f>(((1-$W$25)^AB27))*V27</f>
        <v>5.5849648647230986E-2</v>
      </c>
      <c r="AD25" s="28">
        <v>0</v>
      </c>
      <c r="AE25" s="176">
        <f>(((1-$W$25)^AB28))*V28</f>
        <v>6.5907246964622024E-2</v>
      </c>
      <c r="AF25" s="28">
        <v>0</v>
      </c>
      <c r="AG25" s="176">
        <f>(((1-$W$25)^AB29))*V29</f>
        <v>4.9311784055748278E-2</v>
      </c>
      <c r="AH25" s="28">
        <v>0</v>
      </c>
      <c r="AI25" s="176">
        <f>(((1-$W$25)^AB30))*V30</f>
        <v>2.4348243496571723E-2</v>
      </c>
      <c r="AJ25" s="28">
        <v>0</v>
      </c>
      <c r="AK25" s="176">
        <f>(((1-$W$25)^AB31))*V31</f>
        <v>8.0336571908263162E-3</v>
      </c>
      <c r="AL25" s="28">
        <v>0</v>
      </c>
      <c r="AM25" s="176">
        <f>(((1-$W$25)^AB32))*V32</f>
        <v>1.7707019860392795E-3</v>
      </c>
      <c r="AN25" s="28">
        <v>0</v>
      </c>
      <c r="AO25" s="176">
        <f>(((1-$W$25)^AB33))*V33</f>
        <v>2.615121816152609E-4</v>
      </c>
      <c r="AP25" s="28">
        <v>0</v>
      </c>
      <c r="AQ25" s="176">
        <f>(((1-$W$25)^AB34))*V34</f>
        <v>2.6505253551831062E-5</v>
      </c>
      <c r="AR25" s="28">
        <v>0</v>
      </c>
      <c r="AS25" s="176">
        <f>(((1-$W$25)^AB35))*V35</f>
        <v>2.0470795497683788E-6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8.5042381235378023E-3</v>
      </c>
      <c r="BQ25" s="31">
        <f>BQ19+1</f>
        <v>7</v>
      </c>
      <c r="BR25" s="31">
        <v>1</v>
      </c>
      <c r="BS25" s="107">
        <f t="shared" si="17"/>
        <v>3.7715737401434687E-4</v>
      </c>
    </row>
    <row r="26" spans="1:71" x14ac:dyDescent="0.25">
      <c r="A26" s="40" t="s">
        <v>109</v>
      </c>
      <c r="B26" s="169">
        <f>1/(1+EXP(-3.1416*4*((B10/(B10+C9))-(3.1416/6))))</f>
        <v>0.46362183372383559</v>
      </c>
      <c r="C26" s="170">
        <f>1/(1+EXP(-3.1416*4*((C10/(C10+B9))-(3.1416/6))))</f>
        <v>0.11309805233108734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0.27932507976862397</v>
      </c>
      <c r="I26" s="138">
        <v>1</v>
      </c>
      <c r="J26" s="86">
        <f t="shared" si="18"/>
        <v>0.37102083808260017</v>
      </c>
      <c r="K26" s="138">
        <v>1</v>
      </c>
      <c r="L26" s="86">
        <f>AC18</f>
        <v>0.37351812537768264</v>
      </c>
      <c r="M26" s="85">
        <v>1</v>
      </c>
      <c r="N26" s="173">
        <f>(($B$24)^M26)*((1-($B$24))^($B$21-M26))*HLOOKUP($B$21,$AV$24:$BF$34,M26+1)</f>
        <v>0.20438135061284921</v>
      </c>
      <c r="O26" s="72">
        <v>1</v>
      </c>
      <c r="P26" s="173">
        <f t="shared" si="19"/>
        <v>0.20438135061284921</v>
      </c>
      <c r="Q26" s="28">
        <v>1</v>
      </c>
      <c r="R26" s="174">
        <f>N26*P25+P26*N25</f>
        <v>0.31590172448371184</v>
      </c>
      <c r="S26" s="72">
        <v>1</v>
      </c>
      <c r="T26" s="175">
        <f t="shared" ref="T26:T35" si="20">(($B$33)^S26)*((1-($B$33))^(INT($C$23*2*(1-$C$31))-S26))*HLOOKUP(INT($C$23*2*(1-$C$31)),$AV$24:$BF$34,S26+1)</f>
        <v>6.3950156469447655E-2</v>
      </c>
      <c r="U26" s="138">
        <v>1</v>
      </c>
      <c r="V26" s="86">
        <f>R26*T25+T26*R25</f>
        <v>4.1271502846907747E-2</v>
      </c>
      <c r="W26" s="177"/>
      <c r="X26" s="28">
        <v>1</v>
      </c>
      <c r="Y26" s="174"/>
      <c r="Z26" s="28">
        <v>1</v>
      </c>
      <c r="AA26" s="176">
        <f>(1-((1-W25)^Z26))*V26</f>
        <v>1.4053451003882536E-2</v>
      </c>
      <c r="AB26" s="28">
        <v>1</v>
      </c>
      <c r="AC26" s="176">
        <f>((($W$25)^M26)*((1-($W$25))^($U$27-M26))*HLOOKUP($U$27,$AV$24:$BF$34,M26+1))*V27</f>
        <v>5.7673510607927317E-2</v>
      </c>
      <c r="AD26" s="28">
        <v>1</v>
      </c>
      <c r="AE26" s="176">
        <f>((($W$25)^M26)*((1-($W$25))^($U$28-M26))*HLOOKUP($U$28,$AV$24:$BF$34,M26+1))*V28</f>
        <v>0.10208933446375061</v>
      </c>
      <c r="AF26" s="28">
        <v>1</v>
      </c>
      <c r="AG26" s="176">
        <f>((($W$25)^M26)*((1-($W$25))^($U$29-M26))*HLOOKUP($U$29,$AV$24:$BF$34,M26+1))*V29</f>
        <v>0.10184428263098924</v>
      </c>
      <c r="AH26" s="28">
        <v>1</v>
      </c>
      <c r="AI26" s="176">
        <f>((($W$25)^M26)*((1-($W$25))^($U$30-M26))*HLOOKUP($U$30,$AV$24:$BF$34,M26+1))*V30</f>
        <v>6.2858438396530047E-2</v>
      </c>
      <c r="AJ26" s="28">
        <v>1</v>
      </c>
      <c r="AK26" s="176">
        <f>((($W$25)^M26)*((1-($W$25))^($U$31-M26))*HLOOKUP($U$31,$AV$24:$BF$34,M26+1))*V31</f>
        <v>2.4888028363910478E-2</v>
      </c>
      <c r="AL26" s="28">
        <v>1</v>
      </c>
      <c r="AM26" s="176">
        <f>((($W$25)^Q26)*((1-($W$25))^($U$32-Q26))*HLOOKUP($U$32,$AV$24:$BF$34,Q26+1))*V32</f>
        <v>6.399845081770654E-3</v>
      </c>
      <c r="AN26" s="28">
        <v>1</v>
      </c>
      <c r="AO26" s="176">
        <f>((($W$25)^Q26)*((1-($W$25))^($U$33-Q26))*HLOOKUP($U$33,$AV$24:$BF$34,Q26+1))*V33</f>
        <v>1.0802091648422745E-3</v>
      </c>
      <c r="AP26" s="28">
        <v>1</v>
      </c>
      <c r="AQ26" s="176">
        <f>((($W$25)^Q26)*((1-($W$25))^($U$34-Q26))*HLOOKUP($U$34,$AV$24:$BF$34,Q26+1))*V34</f>
        <v>1.2316871753201351E-4</v>
      </c>
      <c r="AR26" s="28">
        <v>1</v>
      </c>
      <c r="AS26" s="176">
        <f>((($W$25)^Q26)*((1-($W$25))^($U$35-Q26))*HLOOKUP($U$35,$AV$24:$BF$34,Q26+1))*V35</f>
        <v>1.0569651465004441E-5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2.0481954521021366E-3</v>
      </c>
      <c r="BQ26" s="31">
        <f>BQ20+1</f>
        <v>7</v>
      </c>
      <c r="BR26" s="31">
        <v>2</v>
      </c>
      <c r="BS26" s="107">
        <f t="shared" si="17"/>
        <v>4.1587228639341817E-4</v>
      </c>
    </row>
    <row r="27" spans="1:71" x14ac:dyDescent="0.25">
      <c r="A27" s="26" t="s">
        <v>110</v>
      </c>
      <c r="B27" s="169">
        <f>1/(1+EXP(-3.1416*4*((B12/(B12+C7))-(3.1416/6))))</f>
        <v>0.46245925406483274</v>
      </c>
      <c r="C27" s="170">
        <f>1/(1+EXP(-3.1416*4*((C12/(C12+B7))-(3.1416/6))))</f>
        <v>0.10738024749318698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0.28993717544631559</v>
      </c>
      <c r="I27" s="138">
        <v>2</v>
      </c>
      <c r="J27" s="86">
        <f t="shared" si="18"/>
        <v>0.25565995103239286</v>
      </c>
      <c r="K27" s="138">
        <v>2</v>
      </c>
      <c r="L27" s="86">
        <f>AD18</f>
        <v>8.5000000000000006E-2</v>
      </c>
      <c r="M27" s="85">
        <v>2</v>
      </c>
      <c r="N27" s="173">
        <f>(($B$24)^M27)*((1-($B$24))^($B$21-M27))*HLOOKUP($B$21,$AV$24:$BF$34,M27+1)</f>
        <v>2.1620303422752073E-2</v>
      </c>
      <c r="O27" s="72">
        <v>2</v>
      </c>
      <c r="P27" s="173">
        <f t="shared" si="19"/>
        <v>2.1620303422752073E-2</v>
      </c>
      <c r="Q27" s="28">
        <v>2</v>
      </c>
      <c r="R27" s="174">
        <f>P25*N27+P26*N26+P27*N25</f>
        <v>7.5189125660998307E-2</v>
      </c>
      <c r="S27" s="72">
        <v>2</v>
      </c>
      <c r="T27" s="175">
        <f t="shared" si="20"/>
        <v>0.17995276587914344</v>
      </c>
      <c r="U27" s="138">
        <v>2</v>
      </c>
      <c r="V27" s="86">
        <f>R27*T25+T26*R26+R25*T27</f>
        <v>0.12841239269891974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1.4889233443761418E-2</v>
      </c>
      <c r="AD27" s="28">
        <v>2</v>
      </c>
      <c r="AE27" s="176">
        <f>((($W$25)^M27)*((1-($W$25))^($U$28-M27))*HLOOKUP($U$28,$AV$24:$BF$34,M27+1))*V28</f>
        <v>5.2711614636480615E-2</v>
      </c>
      <c r="AF27" s="28">
        <v>2</v>
      </c>
      <c r="AG27" s="176">
        <f>((($W$25)^M27)*((1-($W$25))^($U$29-M27))*HLOOKUP($U$29,$AV$24:$BF$34,M27+1))*V29</f>
        <v>7.8877631152738562E-2</v>
      </c>
      <c r="AH27" s="28">
        <v>2</v>
      </c>
      <c r="AI27" s="176">
        <f>((($W$25)^M27)*((1-($W$25))^($U$30-M27))*HLOOKUP($U$30,$AV$24:$BF$34,M27+1))*V30</f>
        <v>6.4911183892286867E-2</v>
      </c>
      <c r="AJ27" s="28">
        <v>2</v>
      </c>
      <c r="AK27" s="176">
        <f>((($W$25)^M27)*((1-($W$25))^($U$31-M27))*HLOOKUP($U$31,$AV$24:$BF$34,M27+1))*V31</f>
        <v>3.2125984733646862E-2</v>
      </c>
      <c r="AL27" s="28">
        <v>2</v>
      </c>
      <c r="AM27" s="176">
        <f>((($W$25)^Q27)*((1-($W$25))^($U$32-Q27))*HLOOKUP($U$32,$AV$24:$BF$34,Q27+1))*V32</f>
        <v>9.9132637935822904E-3</v>
      </c>
      <c r="AN27" s="28">
        <v>2</v>
      </c>
      <c r="AO27" s="176">
        <f>((($W$25)^Q27)*((1-($W$25))^($U$33-Q27))*HLOOKUP($U$33,$AV$24:$BF$34,Q27+1))*V33</f>
        <v>1.9520990447305182E-3</v>
      </c>
      <c r="AP27" s="28">
        <v>2</v>
      </c>
      <c r="AQ27" s="176">
        <f>((($W$25)^Q27)*((1-($W$25))^($U$34-Q27))*HLOOKUP($U$34,$AV$24:$BF$34,Q27+1))*V34</f>
        <v>2.5438198839947682E-4</v>
      </c>
      <c r="AR27" s="28">
        <v>2</v>
      </c>
      <c r="AS27" s="176">
        <f>((($W$25)^Q27)*((1-($W$25))^($U$35-Q27))*HLOOKUP($U$35,$AV$24:$BF$34,Q27+1))*V35</f>
        <v>2.4558346766221167E-5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3.697679672103118E-4</v>
      </c>
      <c r="BQ27" s="31">
        <f>BQ21+1</f>
        <v>7</v>
      </c>
      <c r="BR27" s="31">
        <v>3</v>
      </c>
      <c r="BS27" s="107">
        <f t="shared" si="17"/>
        <v>2.7873165027207653E-4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0.18657185129017745</v>
      </c>
      <c r="I28" s="138">
        <v>3</v>
      </c>
      <c r="J28" s="86">
        <f t="shared" si="18"/>
        <v>0.10274252400511144</v>
      </c>
      <c r="K28" s="138">
        <v>3</v>
      </c>
      <c r="L28" s="86">
        <f>AE18</f>
        <v>2.8778530350587653E-2</v>
      </c>
      <c r="M28" s="85">
        <v>3</v>
      </c>
      <c r="N28" s="173">
        <f>(($B$24)^M28)*((1-($B$24))^($B$21-M28))*HLOOKUP($B$21,$AV$24:$BF$34,M28+1)</f>
        <v>1.143542497126638E-3</v>
      </c>
      <c r="O28" s="72">
        <v>3</v>
      </c>
      <c r="P28" s="173">
        <f t="shared" si="19"/>
        <v>1.143542497126638E-3</v>
      </c>
      <c r="Q28" s="28">
        <v>3</v>
      </c>
      <c r="R28" s="174">
        <f>P25*N28+P26*N27+P27*N26+P28*N25</f>
        <v>1.0605088354084019E-2</v>
      </c>
      <c r="S28" s="72">
        <v>3</v>
      </c>
      <c r="T28" s="175">
        <f t="shared" si="20"/>
        <v>0.28132150738212341</v>
      </c>
      <c r="U28" s="138">
        <v>3</v>
      </c>
      <c r="V28" s="86">
        <f>R28*T25+R27*T26+R26*T27+R25*T28</f>
        <v>0.22978036255570067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9.0721664908473502E-3</v>
      </c>
      <c r="AF28" s="28">
        <v>3</v>
      </c>
      <c r="AG28" s="176">
        <f>((($W$25)^M28)*((1-($W$25))^($U$29-M28))*HLOOKUP($U$29,$AV$24:$BF$34,M28+1))*V29</f>
        <v>2.715116989514664E-2</v>
      </c>
      <c r="AH28" s="28">
        <v>3</v>
      </c>
      <c r="AI28" s="176">
        <f>((($W$25)^M28)*((1-($W$25))^($U$30-M28))*HLOOKUP($U$30,$AV$24:$BF$34,M28+1))*V30</f>
        <v>3.351548258102191E-2</v>
      </c>
      <c r="AJ28" s="28">
        <v>3</v>
      </c>
      <c r="AK28" s="176">
        <f>((($W$25)^M28)*((1-($W$25))^($U$31-M28))*HLOOKUP($U$31,$AV$24:$BF$34,M28+1))*V31</f>
        <v>2.2116741002606768E-2</v>
      </c>
      <c r="AL28" s="28">
        <v>3</v>
      </c>
      <c r="AM28" s="176">
        <f>((($W$25)^Q28)*((1-($W$25))^($U$32-Q28))*HLOOKUP($U$32,$AV$24:$BF$34,Q28+1))*V32</f>
        <v>8.5308314138441803E-3</v>
      </c>
      <c r="AN28" s="28">
        <v>3</v>
      </c>
      <c r="AO28" s="176">
        <f>((($W$25)^Q28)*((1-($W$25))^($U$33-Q28))*HLOOKUP($U$33,$AV$24:$BF$34,Q28+1))*V33</f>
        <v>2.0158480436487445E-3</v>
      </c>
      <c r="AP28" s="28">
        <v>3</v>
      </c>
      <c r="AQ28" s="176">
        <f>((($W$25)^Q28)*((1-($W$25))^($U$34-Q28))*HLOOKUP($U$34,$AV$24:$BF$34,Q28+1))*V34</f>
        <v>3.0647079146859838E-4</v>
      </c>
      <c r="AR28" s="28">
        <v>3</v>
      </c>
      <c r="AS28" s="176">
        <f>((($W$25)^Q28)*((1-($W$25))^($U$35-Q28))*HLOOKUP($U$35,$AV$24:$BF$34,Q28+1))*V35</f>
        <v>3.3813786527256563E-5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5.0204077287484967E-5</v>
      </c>
      <c r="BQ28" s="31">
        <f>BQ22+1</f>
        <v>7</v>
      </c>
      <c r="BR28" s="31">
        <v>4</v>
      </c>
      <c r="BS28" s="107">
        <f t="shared" si="17"/>
        <v>1.2674379642703458E-4</v>
      </c>
    </row>
    <row r="29" spans="1:71" x14ac:dyDescent="0.25">
      <c r="A29" s="26" t="s">
        <v>112</v>
      </c>
      <c r="B29" s="169">
        <f>1/(1+EXP(-3.1416*4*((B14/(B14+C13))-(3.1416/6))))</f>
        <v>0.30572820308678844</v>
      </c>
      <c r="C29" s="170">
        <f>1/(1+EXP(-3.1416*4*((C14/(C14+B13))-(3.1416/6))))</f>
        <v>0.25911930005290518</v>
      </c>
      <c r="D29" s="167">
        <v>0.04</v>
      </c>
      <c r="E29" s="167">
        <v>0.04</v>
      </c>
      <c r="G29" s="87">
        <v>4</v>
      </c>
      <c r="H29" s="126">
        <f>J29*L25+J28*L26+J27*L27+J26*L28</f>
        <v>8.4471608899284484E-2</v>
      </c>
      <c r="I29" s="138">
        <v>4</v>
      </c>
      <c r="J29" s="86">
        <f t="shared" si="18"/>
        <v>2.6695522473237004E-2</v>
      </c>
      <c r="K29" s="138">
        <v>4</v>
      </c>
      <c r="L29" s="86"/>
      <c r="M29" s="85">
        <v>4</v>
      </c>
      <c r="N29" s="173">
        <f>(($B$24)^M29)*((1-($B$24))^($B$21-M29))*HLOOKUP($B$21,$AV$24:$BF$34,M29+1)</f>
        <v>3.0242162127995006E-5</v>
      </c>
      <c r="O29" s="72">
        <v>4</v>
      </c>
      <c r="P29" s="173">
        <f t="shared" si="19"/>
        <v>3.0242162127995006E-5</v>
      </c>
      <c r="Q29" s="28">
        <v>4</v>
      </c>
      <c r="R29" s="174">
        <f>P25*N29+P26*N28+P27*N27+P28*N26+P29*N25</f>
        <v>9.8161879219291659E-4</v>
      </c>
      <c r="S29" s="72">
        <v>4</v>
      </c>
      <c r="T29" s="175">
        <f t="shared" si="20"/>
        <v>0.2638752123506739</v>
      </c>
      <c r="U29" s="138">
        <v>4</v>
      </c>
      <c r="V29" s="86">
        <f>T29*R25+T28*R26+T27*R27+T26*R28+T25*R29</f>
        <v>0.26068959722463325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3.5047294900104396E-3</v>
      </c>
      <c r="AH29" s="28">
        <v>4</v>
      </c>
      <c r="AI29" s="176">
        <f>((($W$25)^M29)*((1-($W$25))^($U$30-M29))*HLOOKUP($U$30,$AV$24:$BF$34,M29+1))*V30</f>
        <v>8.6524964211310493E-3</v>
      </c>
      <c r="AJ29" s="28">
        <v>4</v>
      </c>
      <c r="AK29" s="176">
        <f>((($W$25)^M29)*((1-($W$25))^($U$31-M29))*HLOOKUP($U$31,$AV$24:$BF$34,M29+1))*V31</f>
        <v>8.5646248077820113E-3</v>
      </c>
      <c r="AL29" s="28">
        <v>4</v>
      </c>
      <c r="AM29" s="176">
        <f>((($W$25)^Q29)*((1-($W$25))^($U$32-Q29))*HLOOKUP($U$32,$AV$24:$BF$34,Q29+1))*V32</f>
        <v>4.4047098590402267E-3</v>
      </c>
      <c r="AN29" s="28">
        <v>4</v>
      </c>
      <c r="AO29" s="176">
        <f>((($W$25)^Q29)*((1-($W$25))^($U$33-Q29))*HLOOKUP($U$33,$AV$24:$BF$34,Q29+1))*V33</f>
        <v>1.3010492942365807E-3</v>
      </c>
      <c r="AP29" s="28">
        <v>4</v>
      </c>
      <c r="AQ29" s="176">
        <f>((($W$25)^Q29)*((1-($W$25))^($U$34-Q29))*HLOOKUP($U$34,$AV$24:$BF$34,Q29+1))*V34</f>
        <v>2.3735932370534834E-4</v>
      </c>
      <c r="AR29" s="28">
        <v>4</v>
      </c>
      <c r="AS29" s="176">
        <f>((($W$25)^Q29)*((1-($W$25))^($U$35-Q29))*HLOOKUP($U$35,$AV$24:$BF$34,Q29+1))*V35</f>
        <v>3.0553277331347798E-5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5.0862945312021254E-6</v>
      </c>
      <c r="BQ29" s="31">
        <f>BQ23+1</f>
        <v>7</v>
      </c>
      <c r="BR29" s="31">
        <v>5</v>
      </c>
      <c r="BS29" s="107">
        <f t="shared" si="17"/>
        <v>4.132338004720992E-5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2.8474591483930282E-2</v>
      </c>
      <c r="I30" s="138">
        <v>5</v>
      </c>
      <c r="J30" s="86">
        <f t="shared" si="18"/>
        <v>4.7058358406578699E-3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3.1991408188991933E-7</v>
      </c>
      <c r="O30" s="72">
        <v>5</v>
      </c>
      <c r="P30" s="173">
        <f t="shared" si="19"/>
        <v>3.1991408188991933E-7</v>
      </c>
      <c r="Q30" s="28">
        <v>5</v>
      </c>
      <c r="R30" s="174">
        <f>P25*N30+P26*N29+P27*N28+P28*N27+P29*N26+P30*N25</f>
        <v>6.2303814127017554E-5</v>
      </c>
      <c r="S30" s="72">
        <v>5</v>
      </c>
      <c r="T30" s="175">
        <f t="shared" si="20"/>
        <v>0.14850651485782113</v>
      </c>
      <c r="U30" s="138">
        <v>5</v>
      </c>
      <c r="V30" s="86">
        <f>T30*R25+T29*R26+T28*R27+T27*R28+T26*R29+T25*R30</f>
        <v>0.19517935057713251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8.9350578959084632E-4</v>
      </c>
      <c r="AJ30" s="28">
        <v>5</v>
      </c>
      <c r="AK30" s="176">
        <f>((($W$25)^M30)*((1-($W$25))^($U$31-M30))*HLOOKUP($U$31,$AV$24:$BF$34,M30+1))*V31</f>
        <v>1.7688633381546738E-3</v>
      </c>
      <c r="AL30" s="28">
        <v>5</v>
      </c>
      <c r="AM30" s="176">
        <f>((($W$25)^Q30)*((1-($W$25))^($U$32-Q30))*HLOOKUP($U$32,$AV$24:$BF$34,Q30+1))*V32</f>
        <v>1.3645658671093191E-3</v>
      </c>
      <c r="AN30" s="28">
        <v>5</v>
      </c>
      <c r="AO30" s="176">
        <f>((($W$25)^Q30)*((1-($W$25))^($U$33-Q30))*HLOOKUP($U$33,$AV$24:$BF$34,Q30+1))*V33</f>
        <v>5.3741487790942468E-4</v>
      </c>
      <c r="AP30" s="28">
        <v>5</v>
      </c>
      <c r="AQ30" s="176">
        <f>((($W$25)^Q30)*((1-($W$25))^($U$34-Q30))*HLOOKUP($U$34,$AV$24:$BF$34,Q30+1))*V34</f>
        <v>1.2255534103784889E-4</v>
      </c>
      <c r="AR30" s="28">
        <v>5</v>
      </c>
      <c r="AS30" s="176">
        <f>((($W$25)^Q30)*((1-($W$25))^($U$35-Q30))*HLOOKUP($U$35,$AV$24:$BF$34,Q30+1))*V35</f>
        <v>1.8930626855756925E-5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3.759751042769967E-7</v>
      </c>
      <c r="BQ30" s="31">
        <f>BM10+1</f>
        <v>7</v>
      </c>
      <c r="BR30" s="31">
        <v>6</v>
      </c>
      <c r="BS30" s="107">
        <f t="shared" si="17"/>
        <v>9.952491669291781E-6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0.34051221870965825</v>
      </c>
      <c r="C31" s="61">
        <f>(C25*E25)+(C26*E26)+(C27*E27)+(C28*E28)+(C29*E29)+(C30*E30)/(C25+C26+C27+C28+C29+C30)</f>
        <v>0.18583266646534116</v>
      </c>
      <c r="G31" s="87">
        <v>6</v>
      </c>
      <c r="H31" s="126">
        <f>J31*L25+J30*L26+J29*L27+J28*L28</f>
        <v>7.2790053099769112E-3</v>
      </c>
      <c r="I31" s="138">
        <v>6</v>
      </c>
      <c r="J31" s="86">
        <f t="shared" si="18"/>
        <v>5.7614617914505007E-4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2.7461478297427171E-6</v>
      </c>
      <c r="S31" s="72">
        <v>6</v>
      </c>
      <c r="T31" s="175">
        <f t="shared" si="20"/>
        <v>4.6432269503349763E-2</v>
      </c>
      <c r="U31" s="138">
        <v>6</v>
      </c>
      <c r="V31" s="86">
        <f>T31*R25+T30*R26+T29*R27+T28*R28+T27*R29+T26*R30+T25*R31</f>
        <v>9.7650118476449693E-2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1.5221903952254508E-4</v>
      </c>
      <c r="AL31" s="28">
        <v>6</v>
      </c>
      <c r="AM31" s="176">
        <f>((($W$25)^Q31)*((1-($W$25))^($U$32-Q31))*HLOOKUP($U$32,$AV$24:$BF$34,Q31+1))*V32</f>
        <v>2.3485466760063121E-4</v>
      </c>
      <c r="AN31" s="28">
        <v>6</v>
      </c>
      <c r="AO31" s="176">
        <f>((($W$25)^Q31)*((1-($W$25))^($U$33-Q31))*HLOOKUP($U$33,$AV$24:$BF$34,Q31+1))*V33</f>
        <v>1.3874126074517337E-4</v>
      </c>
      <c r="AP31" s="28">
        <v>6</v>
      </c>
      <c r="AQ31" s="176">
        <f>((($W$25)^Q31)*((1-($W$25))^($U$34-Q31))*HLOOKUP($U$34,$AV$24:$BF$34,Q31+1))*V34</f>
        <v>4.2185862296407777E-5</v>
      </c>
      <c r="AR31" s="28">
        <v>6</v>
      </c>
      <c r="AS31" s="176">
        <f>((($W$25)^Q31)*((1-($W$25))^($U$35-Q31))*HLOOKUP($U$35,$AV$24:$BF$34,Q31+1))*V35</f>
        <v>8.1453489802925694E-6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1.6784503678580056E-2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2.2781757543023124E-5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1.4088486136837443E-3</v>
      </c>
      <c r="I32" s="138">
        <v>7</v>
      </c>
      <c r="J32" s="86">
        <f t="shared" si="18"/>
        <v>4.9528880614727051E-5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8.2999674236054527E-8</v>
      </c>
      <c r="S32" s="72">
        <v>7</v>
      </c>
      <c r="T32" s="175">
        <f t="shared" si="20"/>
        <v>6.2218212734278192E-3</v>
      </c>
      <c r="U32" s="138">
        <v>7</v>
      </c>
      <c r="V32" s="86">
        <f>T32*R25+T31*R26+T30*R27+T29*R28+T28*R29+T27*R30+T26*R31+T25*R32</f>
        <v>3.2636095828437607E-2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1.7323159451012696E-5</v>
      </c>
      <c r="AN32" s="28">
        <v>7</v>
      </c>
      <c r="AO32" s="176">
        <f>((($W$25)^Q32)*((1-($W$25))^($U$33-Q32))*HLOOKUP($U$33,$AV$24:$BF$34,Q32+1))*V33</f>
        <v>2.0467440625111995E-5</v>
      </c>
      <c r="AP32" s="28">
        <v>7</v>
      </c>
      <c r="AQ32" s="176">
        <f>((($W$25)^Q32)*((1-($W$25))^($U$34-Q32))*HLOOKUP($U$34,$AV$24:$BF$34,Q32+1))*V34</f>
        <v>9.3350380463612152E-6</v>
      </c>
      <c r="AR32" s="28">
        <v>7</v>
      </c>
      <c r="AS32" s="176">
        <f>((($W$25)^Q32)*((1-($W$25))^($U$35-Q32))*HLOOKUP($U$35,$AV$24:$BF$34,Q32+1))*V35</f>
        <v>2.4032424922411479E-6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5.4723974187805896E-3</v>
      </c>
      <c r="BQ32" s="31">
        <f t="shared" si="24"/>
        <v>8</v>
      </c>
      <c r="BR32" s="31">
        <v>1</v>
      </c>
      <c r="BS32" s="107">
        <f t="shared" si="25"/>
        <v>5.4727975047667396E-5</v>
      </c>
    </row>
    <row r="33" spans="1:71" x14ac:dyDescent="0.25">
      <c r="A33" s="26" t="s">
        <v>116</v>
      </c>
      <c r="B33" s="279">
        <f>IF(B17&lt;&gt;"CA",0.005,IF((B18-B16)&lt;0,0.1,0.1+0.048*(B18-B16)))</f>
        <v>0.48399999999999999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2.0443304861034425E-4</v>
      </c>
      <c r="I33" s="138">
        <v>8</v>
      </c>
      <c r="J33" s="86">
        <f t="shared" si="18"/>
        <v>2.9912993461548381E-6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1.6462590663166837E-9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7.3086622982592529E-3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1.320989906160364E-6</v>
      </c>
      <c r="AP33" s="28">
        <v>8</v>
      </c>
      <c r="AQ33" s="176">
        <f>((($W$25)^Q33)*((1-($W$25))^($U$34-Q33))*HLOOKUP($U$34,$AV$24:$BF$34,Q33+1))*V34</f>
        <v>1.2049861297984004E-6</v>
      </c>
      <c r="AR33" s="28">
        <v>8</v>
      </c>
      <c r="AS33" s="176">
        <f>((($W$25)^Q33)*((1-($W$25))^($U$35-Q33))*HLOOKUP($U$35,$AV$24:$BF$34,Q33+1))*V35</f>
        <v>4.6532331019607323E-7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1.3179945507663035E-3</v>
      </c>
      <c r="BQ33" s="31">
        <f t="shared" si="24"/>
        <v>8</v>
      </c>
      <c r="BR33" s="31">
        <v>2</v>
      </c>
      <c r="BS33" s="107">
        <f t="shared" si="25"/>
        <v>6.0345759306006849E-5</v>
      </c>
    </row>
    <row r="34" spans="1:71" x14ac:dyDescent="0.25">
      <c r="A34" s="40" t="s">
        <v>117</v>
      </c>
      <c r="B34" s="56">
        <f>B23*2</f>
        <v>0.50235030633730937</v>
      </c>
      <c r="C34" s="57">
        <f>C23*2</f>
        <v>9.4976496936626909</v>
      </c>
      <c r="G34" s="87">
        <v>9</v>
      </c>
      <c r="H34" s="126">
        <f>J34*L25+J33*L26+J32*L27+J31*L28</f>
        <v>2.1970716530150559E-5</v>
      </c>
      <c r="I34" s="138">
        <v>9</v>
      </c>
      <c r="J34" s="86">
        <f t="shared" si="18"/>
        <v>1.2252085241966097E-7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1.9349787063087223E-11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1.1232364319971296E-3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6.9129829444503422E-8</v>
      </c>
      <c r="AR34" s="28">
        <v>9</v>
      </c>
      <c r="AS34" s="176">
        <f>((($W$25)^Q34)*((1-($W$25))^($U$35-Q34))*HLOOKUP($U$35,$AV$24:$BF$34,Q34+1))*V35</f>
        <v>5.3391022975157565E-8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2.3794221656479953E-4</v>
      </c>
      <c r="BQ34" s="31">
        <f t="shared" si="24"/>
        <v>8</v>
      </c>
      <c r="BR34" s="31">
        <v>3</v>
      </c>
      <c r="BS34" s="107">
        <f t="shared" si="25"/>
        <v>4.0445765752163417E-5</v>
      </c>
    </row>
    <row r="35" spans="1:71" ht="15.75" thickBot="1" x14ac:dyDescent="0.3">
      <c r="G35" s="88">
        <v>10</v>
      </c>
      <c r="H35" s="127">
        <f>J35*L25+J34*L26+J33*L27+J32*L28</f>
        <v>1.7268059820888904E-6</v>
      </c>
      <c r="I35" s="94">
        <v>10</v>
      </c>
      <c r="J35" s="89">
        <f t="shared" si="18"/>
        <v>2.7567297239196771E-9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1.0234501979147001E-13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1.3154283103078424E-4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2.7567297239196771E-9</v>
      </c>
      <c r="BI35" s="31">
        <f t="shared" si="22"/>
        <v>3</v>
      </c>
      <c r="BJ35" s="31">
        <v>8</v>
      </c>
      <c r="BK35" s="107">
        <f t="shared" si="23"/>
        <v>3.2305852560723248E-5</v>
      </c>
      <c r="BQ35" s="31">
        <f t="shared" si="24"/>
        <v>8</v>
      </c>
      <c r="BR35" s="31">
        <v>4</v>
      </c>
      <c r="BS35" s="107">
        <f t="shared" si="25"/>
        <v>1.8391344850230945E-5</v>
      </c>
    </row>
    <row r="36" spans="1:71" ht="15.75" x14ac:dyDescent="0.25">
      <c r="A36" s="285" t="s">
        <v>118</v>
      </c>
      <c r="B36" s="182">
        <f>SUM(BO4:BO14)</f>
        <v>0.21939154640780481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3.2729827950924284E-6</v>
      </c>
      <c r="BQ36" s="31">
        <f t="shared" si="24"/>
        <v>8</v>
      </c>
      <c r="BR36" s="31">
        <v>5</v>
      </c>
      <c r="BS36" s="107">
        <f t="shared" si="25"/>
        <v>5.9962897928729165E-6</v>
      </c>
    </row>
    <row r="37" spans="1:71" ht="16.5" thickBot="1" x14ac:dyDescent="0.3">
      <c r="A37" s="110" t="s">
        <v>119</v>
      </c>
      <c r="B37" s="182">
        <f>SUM(BK4:BK59)</f>
        <v>0.40463029676523338</v>
      </c>
      <c r="G37" s="157"/>
      <c r="H37" s="229">
        <f>SUM(H39:H49)</f>
        <v>0.99999993112781749</v>
      </c>
      <c r="I37" s="230"/>
      <c r="J37" s="229">
        <f>SUM(J39:J49)</f>
        <v>0.99999999999999978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1.0050760126517704</v>
      </c>
      <c r="U37" s="230"/>
      <c r="V37" s="171">
        <f>SUM(V39:V48)</f>
        <v>0.40317966755000045</v>
      </c>
      <c r="W37" s="157"/>
      <c r="X37" s="157"/>
      <c r="Y37" s="168">
        <f>SUM(Y39:Y49)</f>
        <v>1.0234501979146957E-13</v>
      </c>
      <c r="Z37" s="81"/>
      <c r="AA37" s="168">
        <f>SUM(AA39:AA49)</f>
        <v>1.9350301359669012E-11</v>
      </c>
      <c r="AB37" s="81"/>
      <c r="AC37" s="168">
        <f>SUM(AC39:AC49)</f>
        <v>1.6463563065963575E-9</v>
      </c>
      <c r="AD37" s="81"/>
      <c r="AE37" s="168">
        <f>SUM(AE39:AE49)</f>
        <v>8.3007947871955242E-8</v>
      </c>
      <c r="AF37" s="81"/>
      <c r="AG37" s="168">
        <f>SUM(AG39:AG49)</f>
        <v>2.7465649966825046E-6</v>
      </c>
      <c r="AH37" s="81"/>
      <c r="AI37" s="168">
        <f>SUM(AI39:AI49)</f>
        <v>6.231761805727896E-5</v>
      </c>
      <c r="AJ37" s="81"/>
      <c r="AK37" s="168">
        <f>SUM(AK39:AK49)</f>
        <v>9.8193201540844864E-4</v>
      </c>
      <c r="AL37" s="81"/>
      <c r="AM37" s="168">
        <f>SUM(AM39:AM49)</f>
        <v>1.0610024259457163E-2</v>
      </c>
      <c r="AN37" s="81"/>
      <c r="AO37" s="168">
        <f>SUM(AO39:AO49)</f>
        <v>7.5242467161454774E-2</v>
      </c>
      <c r="AP37" s="81"/>
      <c r="AQ37" s="168">
        <f>SUM(AQ39:AQ49)</f>
        <v>0.31628009525686923</v>
      </c>
      <c r="AR37" s="81"/>
      <c r="AS37" s="168">
        <f>SUM(AS39:AS49)</f>
        <v>0.59682033244999944</v>
      </c>
      <c r="BI37" s="31">
        <f t="shared" si="22"/>
        <v>3</v>
      </c>
      <c r="BJ37" s="31">
        <v>10</v>
      </c>
      <c r="BK37" s="107">
        <f t="shared" si="23"/>
        <v>2.41936451012178E-7</v>
      </c>
      <c r="BQ37" s="31">
        <f t="shared" si="24"/>
        <v>8</v>
      </c>
      <c r="BR37" s="31">
        <v>6</v>
      </c>
      <c r="BS37" s="107">
        <f t="shared" si="25"/>
        <v>1.4441709304042372E-6</v>
      </c>
    </row>
    <row r="38" spans="1:71" ht="16.5" thickBot="1" x14ac:dyDescent="0.3">
      <c r="A38" s="111" t="s">
        <v>120</v>
      </c>
      <c r="B38" s="182">
        <f>SUM(BS4:BS47)</f>
        <v>0.37597625978237526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2.4776632236002522E-3</v>
      </c>
      <c r="BQ38" s="31">
        <f>BM11+1</f>
        <v>8</v>
      </c>
      <c r="BR38" s="31">
        <v>7</v>
      </c>
      <c r="BS38" s="107">
        <f t="shared" si="25"/>
        <v>2.6072128452962225E-7</v>
      </c>
    </row>
    <row r="39" spans="1:71" x14ac:dyDescent="0.25">
      <c r="G39" s="128">
        <v>0</v>
      </c>
      <c r="H39" s="129">
        <f>L39*J39</f>
        <v>0.11143872137056403</v>
      </c>
      <c r="I39" s="97">
        <v>0</v>
      </c>
      <c r="J39" s="98">
        <f t="shared" ref="J39:J49" si="29">Y39+AA39+AC39+AE39+AG39+AI39+AK39+AM39+AO39+AQ39+AS39</f>
        <v>0.14344841257943697</v>
      </c>
      <c r="K39" s="102">
        <v>0</v>
      </c>
      <c r="L39" s="98">
        <f>AH18</f>
        <v>0.776855730688919</v>
      </c>
      <c r="M39" s="85">
        <v>0</v>
      </c>
      <c r="N39" s="173">
        <f>(1-$C$24)^$B$21</f>
        <v>3.1991408188991864E-7</v>
      </c>
      <c r="O39" s="72">
        <v>0</v>
      </c>
      <c r="P39" s="173">
        <f t="shared" ref="P39:P44" si="30">N39</f>
        <v>3.1991408188991864E-7</v>
      </c>
      <c r="Q39" s="28">
        <v>0</v>
      </c>
      <c r="R39" s="174">
        <f>P39*N39</f>
        <v>1.0234501979146957E-13</v>
      </c>
      <c r="S39" s="72">
        <v>0</v>
      </c>
      <c r="T39" s="175">
        <f>(1-$C$33)^(INT(B23*2*(1-B31)))</f>
        <v>1</v>
      </c>
      <c r="U39" s="138">
        <v>0</v>
      </c>
      <c r="V39" s="86">
        <f>R39*T39</f>
        <v>1.0234501979146957E-13</v>
      </c>
      <c r="W39" s="134">
        <f>C31</f>
        <v>0.18583266646534116</v>
      </c>
      <c r="X39" s="28">
        <v>0</v>
      </c>
      <c r="Y39" s="176">
        <f>V39</f>
        <v>1.0234501979146957E-13</v>
      </c>
      <c r="Z39" s="28">
        <v>0</v>
      </c>
      <c r="AA39" s="176">
        <f>((1-W39)^Z40)*V40</f>
        <v>1.5754383261093803E-11</v>
      </c>
      <c r="AB39" s="28">
        <v>0</v>
      </c>
      <c r="AC39" s="176">
        <f>(((1-$W$39)^AB41))*V41</f>
        <v>1.0913176481538468E-9</v>
      </c>
      <c r="AD39" s="28">
        <v>0</v>
      </c>
      <c r="AE39" s="176">
        <f>(((1-$W$39)^AB42))*V42</f>
        <v>4.479821373977298E-8</v>
      </c>
      <c r="AF39" s="28">
        <v>0</v>
      </c>
      <c r="AG39" s="176">
        <f>(((1-$W$39)^AB43))*V43</f>
        <v>1.2068257677258734E-6</v>
      </c>
      <c r="AH39" s="28">
        <v>0</v>
      </c>
      <c r="AI39" s="176">
        <f>(((1-$W$39)^AB44))*V44</f>
        <v>2.229354905129619E-5</v>
      </c>
      <c r="AJ39" s="28">
        <v>0</v>
      </c>
      <c r="AK39" s="176">
        <f>(((1-$W$39)^AB45))*V45</f>
        <v>2.8599830587654505E-4</v>
      </c>
      <c r="AL39" s="28">
        <v>0</v>
      </c>
      <c r="AM39" s="176">
        <f>(((1-$W$39)^AB46))*V46</f>
        <v>2.5160084227861469E-3</v>
      </c>
      <c r="AN39" s="28">
        <v>0</v>
      </c>
      <c r="AO39" s="176">
        <f>(((1-$W$39)^AB47))*V47</f>
        <v>1.4526882191376256E-2</v>
      </c>
      <c r="AP39" s="28">
        <v>0</v>
      </c>
      <c r="AQ39" s="176">
        <f>(((1-$W$39)^AB48))*V48</f>
        <v>4.9715856003755818E-2</v>
      </c>
      <c r="AR39" s="28">
        <v>0</v>
      </c>
      <c r="AS39" s="176">
        <f>(((1-$W$39)^AB49))*V49</f>
        <v>7.6380121375435081E-2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5.9673053278847291E-4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2.4483885577150936E-6</v>
      </c>
    </row>
    <row r="40" spans="1:71" x14ac:dyDescent="0.25">
      <c r="G40" s="91">
        <v>1</v>
      </c>
      <c r="H40" s="130">
        <f>L39*J40+L40*J39</f>
        <v>0.267706104368578</v>
      </c>
      <c r="I40" s="138">
        <v>1</v>
      </c>
      <c r="J40" s="86">
        <f t="shared" si="29"/>
        <v>0.30742901409189477</v>
      </c>
      <c r="K40" s="95">
        <v>1</v>
      </c>
      <c r="L40" s="86">
        <f>AI18</f>
        <v>0.20131357658108201</v>
      </c>
      <c r="M40" s="85">
        <v>1</v>
      </c>
      <c r="N40" s="173">
        <f>(($C$24)^M26)*((1-($C$24))^($B$21-M26))*HLOOKUP($B$21,$AV$24:$BF$34,M26+1)</f>
        <v>3.0242162127994951E-5</v>
      </c>
      <c r="O40" s="72">
        <v>1</v>
      </c>
      <c r="P40" s="173">
        <f t="shared" si="30"/>
        <v>3.0242162127994951E-5</v>
      </c>
      <c r="Q40" s="28">
        <v>1</v>
      </c>
      <c r="R40" s="174">
        <f>P40*N39+P39*N40</f>
        <v>1.9349787063087146E-11</v>
      </c>
      <c r="S40" s="72">
        <v>1</v>
      </c>
      <c r="T40" s="175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1.9350301359669012E-11</v>
      </c>
      <c r="W40" s="177"/>
      <c r="X40" s="28">
        <v>1</v>
      </c>
      <c r="Y40" s="174"/>
      <c r="Z40" s="28">
        <v>1</v>
      </c>
      <c r="AA40" s="176">
        <f>(1-((1-W39)^Z40))*V40</f>
        <v>3.5959180985752085E-12</v>
      </c>
      <c r="AB40" s="28">
        <v>1</v>
      </c>
      <c r="AC40" s="176">
        <f>((($W$39)^M40)*((1-($W$39))^($U$27-M40))*HLOOKUP($U$27,$AV$24:$BF$34,M40+1))*V41</f>
        <v>4.9818375207135754E-10</v>
      </c>
      <c r="AD40" s="28">
        <v>1</v>
      </c>
      <c r="AE40" s="176">
        <f>((($W$39)^M40)*((1-($W$39))^($U$28-M40))*HLOOKUP($U$28,$AV$24:$BF$34,M40+1))*V42</f>
        <v>3.0675407263039877E-8</v>
      </c>
      <c r="AF40" s="28">
        <v>1</v>
      </c>
      <c r="AG40" s="176">
        <f>((($W$39)^M40)*((1-($W$39))^($U$29-M40))*HLOOKUP($U$29,$AV$24:$BF$34,M40+1))*V43</f>
        <v>1.1018258342640054E-6</v>
      </c>
      <c r="AH40" s="28">
        <v>1</v>
      </c>
      <c r="AI40" s="176">
        <f>((($W$39)^M40)*((1-($W$39))^($U$30-M40))*HLOOKUP($U$30,$AV$24:$BF$34,M40+1))*V44</f>
        <v>2.5442372191427937E-5</v>
      </c>
      <c r="AJ40" s="28">
        <v>1</v>
      </c>
      <c r="AK40" s="176">
        <f>((($W$39)^M40)*((1-($W$39))^($U$31-M40))*HLOOKUP($U$31,$AV$24:$BF$34,M40+1))*V45</f>
        <v>3.9167251445623957E-4</v>
      </c>
      <c r="AL40" s="28">
        <v>1</v>
      </c>
      <c r="AM40" s="176">
        <f>((($W$39)^Q40)*((1-($W$39))^($U$32-Q40))*HLOOKUP($U$32,$AV$24:$BF$34,Q40+1))*V46</f>
        <v>4.0199302324992183E-3</v>
      </c>
      <c r="AN40" s="28">
        <v>1</v>
      </c>
      <c r="AO40" s="176">
        <f>((($W$39)^Q40)*((1-($W$39))^($U$33-Q40))*HLOOKUP($U$33,$AV$24:$BF$34,Q40+1))*V47</f>
        <v>2.6525940227361468E-2</v>
      </c>
      <c r="AP40" s="28">
        <v>1</v>
      </c>
      <c r="AQ40" s="176">
        <f>((($W$39)^Q40)*((1-($W$39))^($U$34-Q40))*HLOOKUP($U$34,$AV$24:$BF$34,Q40+1))*V48</f>
        <v>0.10212823255887152</v>
      </c>
      <c r="AR40" s="28">
        <v>1</v>
      </c>
      <c r="AS40" s="176">
        <f>((($W$39)^Q40)*((1-($W$39))^($U$35-Q40))*HLOOKUP($U$35,$AV$24:$BF$34,Q40+1))*V49</f>
        <v>0.1743366631834937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1.0772987307195562E-4</v>
      </c>
      <c r="BQ40" s="31">
        <f t="shared" si="31"/>
        <v>9</v>
      </c>
      <c r="BR40" s="31">
        <v>1</v>
      </c>
      <c r="BS40" s="107">
        <f t="shared" si="32"/>
        <v>5.8816949324729279E-6</v>
      </c>
    </row>
    <row r="41" spans="1:71" x14ac:dyDescent="0.25">
      <c r="G41" s="91">
        <v>2</v>
      </c>
      <c r="H41" s="130">
        <f>L39*J41+J40*L40+J39*L41</f>
        <v>0.29518592867549387</v>
      </c>
      <c r="I41" s="138">
        <v>2</v>
      </c>
      <c r="J41" s="86">
        <f t="shared" si="29"/>
        <v>0.29648603690827796</v>
      </c>
      <c r="K41" s="95">
        <v>2</v>
      </c>
      <c r="L41" s="86">
        <f>AJ18</f>
        <v>2.0700246235016338E-2</v>
      </c>
      <c r="M41" s="85">
        <v>2</v>
      </c>
      <c r="N41" s="173">
        <f>(($C$24)^M27)*((1-($C$24))^($B$21-M27))*HLOOKUP($B$21,$AV$24:$BF$34,M27+1)</f>
        <v>1.1435424971266365E-3</v>
      </c>
      <c r="O41" s="72">
        <v>2</v>
      </c>
      <c r="P41" s="173">
        <f t="shared" si="30"/>
        <v>1.1435424971266365E-3</v>
      </c>
      <c r="Q41" s="28">
        <v>2</v>
      </c>
      <c r="R41" s="174">
        <f>P41*N39+P40*N40+P39*N41</f>
        <v>1.6462590663166779E-9</v>
      </c>
      <c r="S41" s="72">
        <v>2</v>
      </c>
      <c r="T41" s="175">
        <f t="shared" si="33"/>
        <v>5.0503775157192999E-5</v>
      </c>
      <c r="U41" s="138">
        <v>2</v>
      </c>
      <c r="V41" s="86">
        <f>R41*T39+T40*R40+R39*T41</f>
        <v>1.6463563065963575E-9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5.6854906371153095E-11</v>
      </c>
      <c r="AD41" s="28">
        <v>2</v>
      </c>
      <c r="AE41" s="176">
        <f>((($W$39)^M41)*((1-($W$39))^($U$28-M41))*HLOOKUP($U$28,$AV$24:$BF$34,M41+1))*V42</f>
        <v>7.0016229978825659E-9</v>
      </c>
      <c r="AF41" s="28">
        <v>2</v>
      </c>
      <c r="AG41" s="176">
        <f>((($W$39)^M41)*((1-($W$39))^($U$29-M41))*HLOOKUP($U$29,$AV$24:$BF$34,M41+1))*V43</f>
        <v>3.772355343822502E-7</v>
      </c>
      <c r="AH41" s="28">
        <v>2</v>
      </c>
      <c r="AI41" s="176">
        <f>((($W$39)^M41)*((1-($W$39))^($U$30-M41))*HLOOKUP($U$30,$AV$24:$BF$34,M41+1))*V44</f>
        <v>1.1614378692916277E-5</v>
      </c>
      <c r="AJ41" s="28">
        <v>2</v>
      </c>
      <c r="AK41" s="176">
        <f>((($W$39)^M41)*((1-($W$39))^($U$31-M41))*HLOOKUP($U$31,$AV$24:$BF$34,M41+1))*V45</f>
        <v>2.2349689291325953E-4</v>
      </c>
      <c r="AL41" s="28">
        <v>2</v>
      </c>
      <c r="AM41" s="176">
        <f>((($W$39)^Q41)*((1-($W$39))^($U$32-Q41))*HLOOKUP($U$32,$AV$24:$BF$34,Q41+1))*V46</f>
        <v>2.7526320082141972E-3</v>
      </c>
      <c r="AN41" s="28">
        <v>2</v>
      </c>
      <c r="AO41" s="176">
        <f>((($W$39)^Q41)*((1-($W$39))^($U$33-Q41))*HLOOKUP($U$33,$AV$24:$BF$34,Q41+1))*V47</f>
        <v>2.1190793341493708E-2</v>
      </c>
      <c r="AP41" s="28">
        <v>2</v>
      </c>
      <c r="AQ41" s="176">
        <f>((($W$39)^Q41)*((1-($W$39))^($U$34-Q41))*HLOOKUP($U$34,$AV$24:$BF$34,Q41+1))*V48</f>
        <v>9.324256081566136E-2</v>
      </c>
      <c r="AR41" s="28">
        <v>2</v>
      </c>
      <c r="AS41" s="176">
        <f>((($W$39)^Q41)*((1-($W$39))^($U$35-Q41))*HLOOKUP($U$35,$AV$24:$BF$34,Q41+1))*V49</f>
        <v>0.17906455517729025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1.4626683091775879E-5</v>
      </c>
      <c r="BQ41" s="31">
        <f t="shared" si="31"/>
        <v>9</v>
      </c>
      <c r="BR41" s="31">
        <v>2</v>
      </c>
      <c r="BS41" s="107">
        <f t="shared" si="32"/>
        <v>6.485446362618517E-6</v>
      </c>
    </row>
    <row r="42" spans="1:71" ht="15" customHeight="1" x14ac:dyDescent="0.25">
      <c r="G42" s="91">
        <v>3</v>
      </c>
      <c r="H42" s="130">
        <f>J42*L39+J41*L40+L42*J39+L41*J40</f>
        <v>0.19784357777325087</v>
      </c>
      <c r="I42" s="138">
        <v>3</v>
      </c>
      <c r="J42" s="86">
        <f t="shared" si="29"/>
        <v>0.16944059370388131</v>
      </c>
      <c r="K42" s="95">
        <v>3</v>
      </c>
      <c r="L42" s="86">
        <f>AK18</f>
        <v>1.1304464949826523E-3</v>
      </c>
      <c r="M42" s="85">
        <v>3</v>
      </c>
      <c r="N42" s="173">
        <f>(($C$24)^M28)*((1-($C$24))^($B$21-M28))*HLOOKUP($B$21,$AV$24:$BF$34,M28+1)</f>
        <v>2.1620303422752056E-2</v>
      </c>
      <c r="O42" s="72">
        <v>3</v>
      </c>
      <c r="P42" s="173">
        <f t="shared" si="30"/>
        <v>2.1620303422752056E-2</v>
      </c>
      <c r="Q42" s="28">
        <v>3</v>
      </c>
      <c r="R42" s="174">
        <f>P42*N39+P41*N40+P40*N41+P39*N42</f>
        <v>8.2999674236054263E-8</v>
      </c>
      <c r="S42" s="72">
        <v>3</v>
      </c>
      <c r="T42" s="175">
        <f t="shared" si="33"/>
        <v>3.8068172229039952E-7</v>
      </c>
      <c r="U42" s="138">
        <v>3</v>
      </c>
      <c r="V42" s="86">
        <f>R42*T39+R41*T40+R40*T41+R39*T42</f>
        <v>8.3007947871955228E-8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5.3270387125981169E-10</v>
      </c>
      <c r="AF42" s="28">
        <v>3</v>
      </c>
      <c r="AG42" s="176">
        <f>((($W$39)^M42)*((1-($W$39))^($U$29-M42))*HLOOKUP($U$29,$AV$24:$BF$34,M42+1))*V43</f>
        <v>5.7402356454485283E-8</v>
      </c>
      <c r="AH42" s="28">
        <v>3</v>
      </c>
      <c r="AI42" s="176">
        <f>((($W$39)^M42)*((1-($W$39))^($U$30-M42))*HLOOKUP($U$30,$AV$24:$BF$34,M42+1))*V44</f>
        <v>2.6509672802427601E-6</v>
      </c>
      <c r="AJ42" s="28">
        <v>3</v>
      </c>
      <c r="AK42" s="176">
        <f>((($W$39)^M42)*((1-($W$39))^($U$31-M42))*HLOOKUP($U$31,$AV$24:$BF$34,M42+1))*V45</f>
        <v>6.8017178363038622E-5</v>
      </c>
      <c r="AL42" s="28">
        <v>3</v>
      </c>
      <c r="AM42" s="176">
        <f>((($W$39)^Q42)*((1-($W$39))^($U$32-Q42))*HLOOKUP($U$32,$AV$24:$BF$34,Q42+1))*V46</f>
        <v>1.0471413037897233E-3</v>
      </c>
      <c r="AN42" s="28">
        <v>3</v>
      </c>
      <c r="AO42" s="176">
        <f>((($W$39)^Q42)*((1-($W$39))^($U$33-Q42))*HLOOKUP($U$33,$AV$24:$BF$34,Q42+1))*V47</f>
        <v>9.6735436782250522E-3</v>
      </c>
      <c r="AP42" s="28">
        <v>3</v>
      </c>
      <c r="AQ42" s="176">
        <f>((($W$39)^Q42)*((1-($W$39))^($U$34-Q42))*HLOOKUP($U$34,$AV$24:$BF$34,Q42+1))*V48</f>
        <v>4.9659159296911379E-2</v>
      </c>
      <c r="AR42" s="28">
        <v>3</v>
      </c>
      <c r="AS42" s="176">
        <f>((($W$39)^Q42)*((1-($W$39))^($U$35-Q42))*HLOOKUP($U$35,$AV$24:$BF$34,Q42+1))*V49</f>
        <v>0.10899002334425155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1.4818640683965292E-6</v>
      </c>
      <c r="BQ42" s="31">
        <f t="shared" si="31"/>
        <v>9</v>
      </c>
      <c r="BR42" s="31">
        <v>3</v>
      </c>
      <c r="BS42" s="107">
        <f t="shared" si="32"/>
        <v>4.3467651645668911E-6</v>
      </c>
    </row>
    <row r="43" spans="1:71" ht="15" customHeight="1" x14ac:dyDescent="0.25">
      <c r="G43" s="91">
        <v>4</v>
      </c>
      <c r="H43" s="130">
        <f>J43*L39+J42*L40+J41*L41+J40*L42</f>
        <v>8.9962679592404948E-2</v>
      </c>
      <c r="I43" s="138">
        <v>4</v>
      </c>
      <c r="J43" s="86">
        <f t="shared" si="29"/>
        <v>6.3547348220491351E-2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0.20438135061284912</v>
      </c>
      <c r="O43" s="72">
        <v>4</v>
      </c>
      <c r="P43" s="173">
        <f t="shared" si="30"/>
        <v>0.20438135061284912</v>
      </c>
      <c r="Q43" s="28">
        <v>4</v>
      </c>
      <c r="R43" s="174">
        <f>P43*N39+P42*N40+P41*N41+P40*N42+P39*N43</f>
        <v>2.7461478297427094E-6</v>
      </c>
      <c r="S43" s="72">
        <v>4</v>
      </c>
      <c r="T43" s="175">
        <f t="shared" si="33"/>
        <v>2.5506313051283046E-9</v>
      </c>
      <c r="U43" s="138">
        <v>4</v>
      </c>
      <c r="V43" s="86">
        <f>T43*R39+T42*R40+T41*R41+T40*R42+T39*R43</f>
        <v>2.7465649966825046E-6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3.2755038558903586E-9</v>
      </c>
      <c r="AH43" s="28">
        <v>4</v>
      </c>
      <c r="AI43" s="176">
        <f>((($W$39)^M43)*((1-($W$39))^($U$30-M43))*HLOOKUP($U$30,$AV$24:$BF$34,M43+1))*V44</f>
        <v>3.0253996820354752E-7</v>
      </c>
      <c r="AJ43" s="28">
        <v>4</v>
      </c>
      <c r="AK43" s="176">
        <f>((($W$39)^M43)*((1-($W$39))^($U$31-M43))*HLOOKUP($U$31,$AV$24:$BF$34,M43+1))*V45</f>
        <v>1.1643626346850452E-5</v>
      </c>
      <c r="AL43" s="28">
        <v>4</v>
      </c>
      <c r="AM43" s="176">
        <f>((($W$39)^Q43)*((1-($W$39))^($U$32-Q43))*HLOOKUP($U$32,$AV$24:$BF$34,Q43+1))*V46</f>
        <v>2.390086811815748E-4</v>
      </c>
      <c r="AN43" s="28">
        <v>4</v>
      </c>
      <c r="AO43" s="176">
        <f>((($W$39)^Q43)*((1-($W$39))^($U$33-Q43))*HLOOKUP($U$33,$AV$24:$BF$34,Q43+1))*V47</f>
        <v>2.7599676716472247E-3</v>
      </c>
      <c r="AP43" s="28">
        <v>4</v>
      </c>
      <c r="AQ43" s="176">
        <f>((($W$39)^Q43)*((1-($W$39))^($U$34-Q43))*HLOOKUP($U$34,$AV$24:$BF$34,Q43+1))*V48</f>
        <v>1.7001960665459444E-2</v>
      </c>
      <c r="AR43" s="28">
        <v>4</v>
      </c>
      <c r="AS43" s="176">
        <f>((($W$39)^Q43)*((1-($W$39))^($U$35-Q43))*HLOOKUP($U$35,$AV$24:$BF$34,Q43+1))*V49</f>
        <v>4.3534461760384204E-2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1.0953828847737624E-7</v>
      </c>
      <c r="BQ43" s="31">
        <f t="shared" si="31"/>
        <v>9</v>
      </c>
      <c r="BR43" s="31">
        <v>4</v>
      </c>
      <c r="BS43" s="107">
        <f t="shared" si="32"/>
        <v>1.9765445316174899E-6</v>
      </c>
    </row>
    <row r="44" spans="1:71" ht="15" customHeight="1" thickBot="1" x14ac:dyDescent="0.3">
      <c r="G44" s="91">
        <v>5</v>
      </c>
      <c r="H44" s="130">
        <f>J44*L39+J43*L40+J42*L41+J41*L42</f>
        <v>2.9331313276563378E-2</v>
      </c>
      <c r="I44" s="138">
        <v>5</v>
      </c>
      <c r="J44" s="86">
        <f t="shared" si="29"/>
        <v>1.6342475455104387E-2</v>
      </c>
      <c r="K44" s="95">
        <v>5</v>
      </c>
      <c r="L44" s="86"/>
      <c r="M44" s="85">
        <v>5</v>
      </c>
      <c r="N44" s="173">
        <f>(($C$24)^M30)*((1-($C$24))^($B$21-M30))*HLOOKUP($B$21,$AV$24:$BF$34,M30+1)</f>
        <v>0.77282424139106232</v>
      </c>
      <c r="O44" s="72">
        <v>5</v>
      </c>
      <c r="P44" s="173">
        <f t="shared" si="30"/>
        <v>0.77282424139106232</v>
      </c>
      <c r="Q44" s="28">
        <v>5</v>
      </c>
      <c r="R44" s="174">
        <f>P44*N39+P43*N40+P42*N41+P41*N42+P40*N43+P39*N44</f>
        <v>6.2303814127017418E-5</v>
      </c>
      <c r="S44" s="72">
        <v>5</v>
      </c>
      <c r="T44" s="175">
        <f t="shared" si="33"/>
        <v>1.6021553424172769E-11</v>
      </c>
      <c r="U44" s="138">
        <v>5</v>
      </c>
      <c r="V44" s="86">
        <f>T44*R39+T43*R40+T42*R41+T41*R42+T40*R43+T39*R44</f>
        <v>6.231761805727896E-5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1.3810873192251804E-8</v>
      </c>
      <c r="AJ44" s="28">
        <v>5</v>
      </c>
      <c r="AK44" s="176">
        <f>((($W$39)^M44)*((1-($W$39))^($U$31-M44))*HLOOKUP($U$31,$AV$24:$BF$34,M44+1))*V45</f>
        <v>1.0630572081380162E-6</v>
      </c>
      <c r="AL44" s="28">
        <v>5</v>
      </c>
      <c r="AM44" s="176">
        <f>((($W$39)^Q44)*((1-($W$39))^($U$32-Q44))*HLOOKUP($U$32,$AV$24:$BF$34,Q44+1))*V46</f>
        <v>3.2732057921932744E-5</v>
      </c>
      <c r="AN44" s="28">
        <v>5</v>
      </c>
      <c r="AO44" s="176">
        <f>((($W$39)^Q44)*((1-($W$39))^($U$33-Q44))*HLOOKUP($U$33,$AV$24:$BF$34,Q44+1))*V47</f>
        <v>5.0396731055632254E-4</v>
      </c>
      <c r="AP44" s="28">
        <v>5</v>
      </c>
      <c r="AQ44" s="176">
        <f>((($W$39)^Q44)*((1-($W$39))^($U$34-Q44))*HLOOKUP($U$34,$AV$24:$BF$34,Q44+1))*V48</f>
        <v>3.8806760667789366E-3</v>
      </c>
      <c r="AR44" s="28">
        <v>5</v>
      </c>
      <c r="AS44" s="176">
        <f>((($W$39)^Q44)*((1-($W$39))^($U$35-Q44))*HLOOKUP($U$35,$AV$24:$BF$34,Q44+1))*V49</f>
        <v>1.1924023151765864E-2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2.0115229683145955E-4</v>
      </c>
      <c r="BQ44" s="31">
        <f t="shared" si="31"/>
        <v>9</v>
      </c>
      <c r="BR44" s="31">
        <v>5</v>
      </c>
      <c r="BS44" s="107">
        <f t="shared" si="32"/>
        <v>6.4442996945641555E-7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7.0642733169668272E-3</v>
      </c>
      <c r="I45" s="138">
        <v>6</v>
      </c>
      <c r="J45" s="86">
        <f t="shared" si="29"/>
        <v>2.9185880496674908E-3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9.8161879219291486E-4</v>
      </c>
      <c r="S45" s="72">
        <v>6</v>
      </c>
      <c r="T45" s="175">
        <f t="shared" si="33"/>
        <v>9.6612382457323207E-14</v>
      </c>
      <c r="U45" s="138">
        <v>6</v>
      </c>
      <c r="V45" s="86">
        <f>T45*R39+T44*R40+T43*R41+T42*R42+T41*R43+T40*R44+T39*R45</f>
        <v>9.8193201540844864E-4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4.044024437741275E-8</v>
      </c>
      <c r="AL45" s="28">
        <v>6</v>
      </c>
      <c r="AM45" s="176">
        <f>((($W$39)^Q45)*((1-($W$39))^($U$32-Q45))*HLOOKUP($U$32,$AV$24:$BF$34,Q45+1))*V46</f>
        <v>2.4903503051488359E-6</v>
      </c>
      <c r="AN45" s="28">
        <v>6</v>
      </c>
      <c r="AO45" s="176">
        <f>((($W$39)^Q45)*((1-($W$39))^($U$33-Q45))*HLOOKUP($U$33,$AV$24:$BF$34,Q45+1))*V47</f>
        <v>5.7514951334056005E-5</v>
      </c>
      <c r="AP45" s="28">
        <v>6</v>
      </c>
      <c r="AQ45" s="176">
        <f>((($W$39)^Q45)*((1-($W$39))^($U$34-Q45))*HLOOKUP($U$34,$AV$24:$BF$34,Q45+1))*V48</f>
        <v>5.905062767600079E-4</v>
      </c>
      <c r="AR45" s="28">
        <v>6</v>
      </c>
      <c r="AS45" s="176">
        <f>((($W$39)^Q45)*((1-($W$39))^($U$35-Q45))*HLOOKUP($U$35,$AV$24:$BF$34,Q45+1))*V49</f>
        <v>2.2680360310239006E-3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3.6314735404140997E-5</v>
      </c>
      <c r="BQ45" s="31">
        <f t="shared" si="31"/>
        <v>9</v>
      </c>
      <c r="BR45" s="31">
        <v>6</v>
      </c>
      <c r="BS45" s="107">
        <f t="shared" si="32"/>
        <v>1.552071465385846E-7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1.2753382405726636E-3</v>
      </c>
      <c r="I46" s="138">
        <v>7</v>
      </c>
      <c r="J46" s="86">
        <f t="shared" si="29"/>
        <v>3.5741089070605341E-4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1.0605088354084007E-2</v>
      </c>
      <c r="S46" s="72">
        <v>7</v>
      </c>
      <c r="T46" s="175">
        <f t="shared" si="33"/>
        <v>5.6640425226236405E-16</v>
      </c>
      <c r="U46" s="138">
        <v>7</v>
      </c>
      <c r="V46" s="86">
        <f>T46*R39+T45*R40+T44*R41+T43*R42+T42*R43+T41*R44+T40*R45+T39*R46</f>
        <v>1.061002425945716E-2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8.1202759218237273E-8</v>
      </c>
      <c r="AN46" s="28">
        <v>7</v>
      </c>
      <c r="AO46" s="176">
        <f>((($W$39)^Q46)*((1-($W$39))^($U$33-Q46))*HLOOKUP($U$33,$AV$24:$BF$34,Q46+1))*V47</f>
        <v>3.750775732210781E-6</v>
      </c>
      <c r="AP46" s="28">
        <v>7</v>
      </c>
      <c r="AQ46" s="176">
        <f>((($W$39)^Q46)*((1-($W$39))^($U$34-Q46))*HLOOKUP($U$34,$AV$24:$BF$34,Q46+1))*V48</f>
        <v>5.7763848213797657E-5</v>
      </c>
      <c r="AR46" s="28">
        <v>7</v>
      </c>
      <c r="AS46" s="176">
        <f>((($W$39)^Q46)*((1-($W$39))^($U$35-Q46))*HLOOKUP($U$35,$AV$24:$BF$34,Q46+1))*V49</f>
        <v>2.9581506400082672E-4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4.9305184455502465E-6</v>
      </c>
      <c r="BQ46" s="31">
        <f t="shared" si="31"/>
        <v>9</v>
      </c>
      <c r="BR46" s="31">
        <v>7</v>
      </c>
      <c r="BS46" s="107">
        <f t="shared" si="32"/>
        <v>2.8020094963682949E-8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1.7315501956657742E-4</v>
      </c>
      <c r="I47" s="138">
        <v>8</v>
      </c>
      <c r="J47" s="86">
        <f t="shared" si="29"/>
        <v>2.8722925742554412E-5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7.5189125660998252E-2</v>
      </c>
      <c r="S47" s="72">
        <v>8</v>
      </c>
      <c r="T47" s="175">
        <f t="shared" si="33"/>
        <v>3.2528600273502595E-18</v>
      </c>
      <c r="U47" s="138">
        <v>8</v>
      </c>
      <c r="V47" s="86">
        <f>T47*R39+T46*R40+T45*R41+T44*R42+T43*R43+T42*R44+T41*R45+T40*R46+T39*R47</f>
        <v>7.524246716145476E-2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1.0701372846233061E-7</v>
      </c>
      <c r="AP47" s="28">
        <v>8</v>
      </c>
      <c r="AQ47" s="176">
        <f>((($W$39)^Q47)*((1-($W$39))^($U$34-Q47))*HLOOKUP($U$34,$AV$24:$BF$34,Q47+1))*V48</f>
        <v>3.2961313653627125E-6</v>
      </c>
      <c r="AR47" s="28">
        <v>8</v>
      </c>
      <c r="AS47" s="176">
        <f>((($W$39)^Q47)*((1-($W$39))^($U$35-Q47))*HLOOKUP($U$35,$AV$24:$BF$34,Q47+1))*V49</f>
        <v>2.5319780648729368E-5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4.9952255594676506E-7</v>
      </c>
      <c r="BQ47" s="31">
        <f>BM12+1</f>
        <v>9</v>
      </c>
      <c r="BR47" s="31">
        <v>8</v>
      </c>
      <c r="BS47" s="107">
        <f t="shared" si="32"/>
        <v>3.8043398506699465E-9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1.7542747056746084E-5</v>
      </c>
      <c r="I48" s="138">
        <v>9</v>
      </c>
      <c r="J48" s="86">
        <f t="shared" si="29"/>
        <v>1.3678615319740139E-6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0.31590172448371168</v>
      </c>
      <c r="S48" s="72">
        <v>9</v>
      </c>
      <c r="T48" s="175">
        <f t="shared" si="33"/>
        <v>1.8389284074216291E-20</v>
      </c>
      <c r="U48" s="138">
        <v>9</v>
      </c>
      <c r="V48" s="86">
        <f>T48*R39+T47*R40+T46*R41+T45*R42+T44*R43+T43*R44+T42*R45+T41*R46+T40*R47+T39*R48</f>
        <v>0.31628009525686929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8.3593091632259828E-8</v>
      </c>
      <c r="AR48" s="28">
        <v>9</v>
      </c>
      <c r="AS48" s="176">
        <f>((($W$39)^Q48)*((1-($W$39))^($U$35-Q48))*HLOOKUP($U$35,$AV$24:$BF$34,Q48+1))*V49</f>
        <v>1.2842684403417541E-6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3.6924335370018221E-8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1.2967467993652017E-6</v>
      </c>
      <c r="I49" s="94">
        <v>10</v>
      </c>
      <c r="J49" s="89">
        <f t="shared" si="29"/>
        <v>2.9313265086412784E-8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0.59725730808167099</v>
      </c>
      <c r="S49" s="72">
        <v>10</v>
      </c>
      <c r="T49" s="175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0.59682033244999955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2.9313265086412784E-8</v>
      </c>
      <c r="BI49" s="31">
        <f>BQ14+1</f>
        <v>6</v>
      </c>
      <c r="BJ49" s="31">
        <v>0</v>
      </c>
      <c r="BK49" s="107">
        <f>$H$31*H39</f>
        <v>8.111630445933731E-4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70"/>
      <c r="J50" s="270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70"/>
      <c r="X50" s="157"/>
      <c r="Y50" s="157"/>
      <c r="BI50" s="31">
        <f>BI45+1</f>
        <v>6</v>
      </c>
      <c r="BJ50" s="31">
        <v>7</v>
      </c>
      <c r="BK50" s="107">
        <f>$H$31*H46</f>
        <v>9.2831938251450301E-6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1.2603963068742731E-6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1.2769374897763658E-7</v>
      </c>
    </row>
    <row r="53" spans="1:63" x14ac:dyDescent="0.25">
      <c r="BI53" s="31">
        <f>BI48+1</f>
        <v>6</v>
      </c>
      <c r="BJ53" s="31">
        <v>10</v>
      </c>
      <c r="BK53" s="107">
        <f>$H$31*H49</f>
        <v>9.4390268382748675E-9</v>
      </c>
    </row>
    <row r="54" spans="1:63" x14ac:dyDescent="0.25">
      <c r="BI54" s="31">
        <f>BI51+1</f>
        <v>7</v>
      </c>
      <c r="BJ54" s="31">
        <v>8</v>
      </c>
      <c r="BK54" s="107">
        <f>$H$32*H47</f>
        <v>2.4394920926875424E-7</v>
      </c>
    </row>
    <row r="55" spans="1:63" x14ac:dyDescent="0.25">
      <c r="BI55" s="31">
        <f>BI52+1</f>
        <v>7</v>
      </c>
      <c r="BJ55" s="31">
        <v>9</v>
      </c>
      <c r="BK55" s="107">
        <f>$H$32*H48</f>
        <v>2.4715074871101306E-8</v>
      </c>
    </row>
    <row r="56" spans="1:63" x14ac:dyDescent="0.25">
      <c r="BI56" s="31">
        <f>BI53+1</f>
        <v>7</v>
      </c>
      <c r="BJ56" s="31">
        <v>10</v>
      </c>
      <c r="BK56" s="107">
        <f>$H$32*H49</f>
        <v>1.826919930584497E-9</v>
      </c>
    </row>
    <row r="57" spans="1:63" x14ac:dyDescent="0.25">
      <c r="BI57" s="31">
        <f>BI55+1</f>
        <v>8</v>
      </c>
      <c r="BJ57" s="31">
        <v>9</v>
      </c>
      <c r="BK57" s="107">
        <f>$H$33*H48</f>
        <v>3.5863172618107458E-9</v>
      </c>
    </row>
    <row r="58" spans="1:63" x14ac:dyDescent="0.25">
      <c r="BI58" s="31">
        <f>BI56+1</f>
        <v>8</v>
      </c>
      <c r="BJ58" s="31">
        <v>10</v>
      </c>
      <c r="BK58" s="107">
        <f>$H$33*H49</f>
        <v>2.6509790146993458E-10</v>
      </c>
    </row>
    <row r="59" spans="1:63" x14ac:dyDescent="0.25">
      <c r="BI59" s="31">
        <f>BI58+1</f>
        <v>9</v>
      </c>
      <c r="BJ59" s="31">
        <v>10</v>
      </c>
      <c r="BK59" s="107">
        <f>$H$34*H49</f>
        <v>2.8490456340232868E-11</v>
      </c>
    </row>
  </sheetData>
  <mergeCells count="1">
    <mergeCell ref="B3:C3"/>
  </mergeCells>
  <conditionalFormatting sqref="H49">
    <cfRule type="cellIs" dxfId="139" priority="1" operator="greaterThan">
      <formula>0.15</formula>
    </cfRule>
  </conditionalFormatting>
  <conditionalFormatting sqref="H39:H49">
    <cfRule type="cellIs" dxfId="138" priority="2" operator="greaterThan">
      <formula>0.15</formula>
    </cfRule>
  </conditionalFormatting>
  <conditionalFormatting sqref="H49">
    <cfRule type="cellIs" dxfId="137" priority="3" operator="greaterThan">
      <formula>0.15</formula>
    </cfRule>
  </conditionalFormatting>
  <conditionalFormatting sqref="H39:H49">
    <cfRule type="cellIs" dxfId="136" priority="4" operator="greaterThan">
      <formula>0.15</formula>
    </cfRule>
  </conditionalFormatting>
  <conditionalFormatting sqref="H35">
    <cfRule type="cellIs" dxfId="135" priority="5" operator="greaterThan">
      <formula>0.15</formula>
    </cfRule>
  </conditionalFormatting>
  <conditionalFormatting sqref="H25:H35">
    <cfRule type="cellIs" dxfId="134" priority="6" operator="greaterThan">
      <formula>0.15</formula>
    </cfRule>
  </conditionalFormatting>
  <conditionalFormatting sqref="H35">
    <cfRule type="cellIs" dxfId="133" priority="7" operator="greaterThan">
      <formula>0.15</formula>
    </cfRule>
  </conditionalFormatting>
  <conditionalFormatting sqref="H25:H35">
    <cfRule type="cellIs" dxfId="132" priority="8" operator="greaterThan">
      <formula>0.15</formula>
    </cfRule>
  </conditionalFormatting>
  <conditionalFormatting sqref="V49">
    <cfRule type="cellIs" dxfId="131" priority="9" operator="greaterThan">
      <formula>0.15</formula>
    </cfRule>
  </conditionalFormatting>
  <conditionalFormatting sqref="V35">
    <cfRule type="cellIs" dxfId="130" priority="10" operator="greaterThan">
      <formula>0.15</formula>
    </cfRule>
  </conditionalFormatting>
  <conditionalFormatting sqref="V25:V35 V39:V49">
    <cfRule type="cellIs" dxfId="129" priority="11" operator="greaterThan">
      <formula>0.15</formula>
    </cfRule>
  </conditionalFormatting>
  <conditionalFormatting sqref="V49">
    <cfRule type="cellIs" dxfId="128" priority="12" operator="greaterThan">
      <formula>0.15</formula>
    </cfRule>
  </conditionalFormatting>
  <conditionalFormatting sqref="V35">
    <cfRule type="cellIs" dxfId="127" priority="13" operator="greaterThan">
      <formula>0.15</formula>
    </cfRule>
  </conditionalFormatting>
  <conditionalFormatting sqref="V25:V35 V39:V49">
    <cfRule type="cellIs" dxfId="12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4AA2-000A-4B33-A5E3-DEB7A430C4AB}">
  <sheetPr>
    <tabColor theme="9" tint="-0.249977111117893"/>
  </sheetPr>
  <dimension ref="A1:BS59"/>
  <sheetViews>
    <sheetView zoomScale="90" zoomScaleNormal="90" workbookViewId="0">
      <selection activeCell="C5" sqref="C5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7" t="s">
        <v>194</v>
      </c>
      <c r="B1" s="31" t="s">
        <v>187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87" t="s">
        <v>195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0.4264336662014836</v>
      </c>
      <c r="U2" s="219">
        <f>SUM(U4:U16)</f>
        <v>0.89956303834443851</v>
      </c>
      <c r="V2" s="157"/>
      <c r="W2" s="157"/>
      <c r="X2" s="253">
        <f>SUM(X4:X16)</f>
        <v>0.24995066695385898</v>
      </c>
      <c r="Y2" s="254">
        <f>SUM(Y4:Y16)</f>
        <v>0.4937714433675785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86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</v>
      </c>
      <c r="F4" s="283" t="s">
        <v>138</v>
      </c>
      <c r="G4" s="283" t="s">
        <v>138</v>
      </c>
      <c r="H4" s="283" t="s">
        <v>6</v>
      </c>
      <c r="I4" s="283" t="s">
        <v>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</v>
      </c>
      <c r="U4" s="228">
        <f>IF(S4=0,0,S4*Q4^2.7/(P4^2.7+Q4^2.7)*Q4/L4)</f>
        <v>8.9657980456026062E-2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5.1105048859934853E-2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5.1105048859934853E-2</v>
      </c>
      <c r="AH4" s="247">
        <f t="shared" ref="AH4:AH16" si="2">(1-AG4)</f>
        <v>0.94889495114006517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3.551516055978219E-2</v>
      </c>
      <c r="BM4" s="31">
        <v>0</v>
      </c>
      <c r="BN4" s="31">
        <v>0</v>
      </c>
      <c r="BO4" s="107">
        <f>H25*H39</f>
        <v>1.7394672973732293E-2</v>
      </c>
      <c r="BQ4" s="31">
        <v>1</v>
      </c>
      <c r="BR4" s="31">
        <v>0</v>
      </c>
      <c r="BS4" s="107">
        <f>$H$26*H39</f>
        <v>3.9252430518920411E-2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</v>
      </c>
      <c r="F5" s="283" t="s">
        <v>138</v>
      </c>
      <c r="G5" s="283" t="s">
        <v>6</v>
      </c>
      <c r="H5" s="283" t="s">
        <v>33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1</v>
      </c>
      <c r="Q5" s="214">
        <f>COUNTIF(E10:I11,"IMP")</f>
        <v>1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2.6150244299674264E-2</v>
      </c>
      <c r="U5" s="228">
        <f t="shared" ref="U5:U9" si="6">IF(S5=0,0,S5*Q5^2.7/(P5^2.7+Q5^2.7)*Q5/L5)</f>
        <v>2.6150244299674264E-2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1.4905639250814329E-2</v>
      </c>
      <c r="Y5" s="252">
        <f t="shared" si="7"/>
        <v>1.4905639250814329E-2</v>
      </c>
      <c r="Z5" s="199"/>
      <c r="AA5" s="244">
        <f t="shared" ref="AA5:AA16" si="8">X5</f>
        <v>1.4905639250814329E-2</v>
      </c>
      <c r="AB5" s="245">
        <f t="shared" ref="AB5:AB16" si="9">1-AA5</f>
        <v>0.98509436074918566</v>
      </c>
      <c r="AC5" s="245">
        <f>PRODUCT(AB6:AB16)*AA5*PRODUCT(AB4)</f>
        <v>1.1703943007810639E-2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2.9129024599879134E-3</v>
      </c>
      <c r="AE5" s="183"/>
      <c r="AF5" s="197"/>
      <c r="AG5" s="246">
        <f t="shared" ref="AG5:AG16" si="10">Y5</f>
        <v>1.4905639250814329E-2</v>
      </c>
      <c r="AH5" s="247">
        <f t="shared" si="2"/>
        <v>0.98509436074918566</v>
      </c>
      <c r="AI5" s="247">
        <f>AG5*PRODUCT(AH3:AH4)*PRODUCT(AH6:AH17)</f>
        <v>8.9732089855232913E-3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4.3533273046526266E-3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3.4036697641939472E-2</v>
      </c>
      <c r="BM5" s="31">
        <v>1</v>
      </c>
      <c r="BN5" s="31">
        <v>1</v>
      </c>
      <c r="BO5" s="107">
        <f>$H$26*H40</f>
        <v>8.0142718080777872E-2</v>
      </c>
      <c r="BQ5" s="31">
        <f>BQ4+1</f>
        <v>2</v>
      </c>
      <c r="BR5" s="31">
        <v>0</v>
      </c>
      <c r="BS5" s="107">
        <f>$H$27*H39</f>
        <v>4.0702982763494447E-2</v>
      </c>
    </row>
    <row r="6" spans="1:71" ht="15.75" x14ac:dyDescent="0.25">
      <c r="A6" s="2" t="s">
        <v>31</v>
      </c>
      <c r="B6" s="271">
        <v>14</v>
      </c>
      <c r="C6" s="272">
        <v>6.75</v>
      </c>
      <c r="E6" s="211"/>
      <c r="F6" s="283" t="s">
        <v>151</v>
      </c>
      <c r="G6" s="283" t="s">
        <v>151</v>
      </c>
      <c r="H6" s="283" t="s">
        <v>151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2</v>
      </c>
      <c r="R6" s="221">
        <f t="shared" si="0"/>
        <v>0.45</v>
      </c>
      <c r="S6" s="221">
        <f t="shared" si="1"/>
        <v>0.53794788273615635</v>
      </c>
      <c r="T6" s="226">
        <f t="shared" si="5"/>
        <v>5.5188717741874362E-3</v>
      </c>
      <c r="U6" s="228">
        <f t="shared" si="6"/>
        <v>7.1723469180264565E-2</v>
      </c>
      <c r="V6" s="218">
        <f>$G$18</f>
        <v>0.45</v>
      </c>
      <c r="W6" s="216">
        <f>$H$18</f>
        <v>0.45</v>
      </c>
      <c r="X6" s="251">
        <f t="shared" si="7"/>
        <v>2.4834922983843462E-3</v>
      </c>
      <c r="Y6" s="252">
        <f t="shared" si="7"/>
        <v>3.2275561131119054E-2</v>
      </c>
      <c r="Z6" s="199"/>
      <c r="AA6" s="244">
        <f t="shared" si="8"/>
        <v>2.4834922983843462E-3</v>
      </c>
      <c r="AB6" s="245">
        <f t="shared" si="9"/>
        <v>0.99751650770161571</v>
      </c>
      <c r="AC6" s="245">
        <f>PRODUCT(AB7:AB16)*AA6*PRODUCT(AB4:AB5)</f>
        <v>1.9257599532244447E-3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4.7449275392155775E-4</v>
      </c>
      <c r="AE6" s="183"/>
      <c r="AF6" s="197"/>
      <c r="AG6" s="246">
        <f t="shared" si="10"/>
        <v>3.2275561131119054E-2</v>
      </c>
      <c r="AH6" s="247">
        <f t="shared" si="2"/>
        <v>0.96772443886888093</v>
      </c>
      <c r="AI6" s="247">
        <f>AG6*PRODUCT(AH3:AH5)*PRODUCT(AH7:AH17)</f>
        <v>1.9778670797705102E-2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8.9359084080690605E-3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2.1866272006975506E-2</v>
      </c>
      <c r="BM6" s="31">
        <f>BI14+1</f>
        <v>2</v>
      </c>
      <c r="BN6" s="31">
        <v>2</v>
      </c>
      <c r="BO6" s="107">
        <f>$H$27*H41</f>
        <v>7.9644792376276377E-2</v>
      </c>
      <c r="BQ6" s="31">
        <f>BM5+1</f>
        <v>2</v>
      </c>
      <c r="BR6" s="31">
        <v>1</v>
      </c>
      <c r="BS6" s="107">
        <f>$H$27*H40</f>
        <v>8.3104348687124671E-2</v>
      </c>
    </row>
    <row r="7" spans="1:71" ht="15.75" x14ac:dyDescent="0.25">
      <c r="A7" s="5" t="s">
        <v>36</v>
      </c>
      <c r="B7" s="271">
        <v>21.25</v>
      </c>
      <c r="C7" s="272">
        <v>12.25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1</v>
      </c>
      <c r="R7" s="221">
        <f t="shared" si="0"/>
        <v>0.04</v>
      </c>
      <c r="S7" s="221">
        <f t="shared" si="1"/>
        <v>4.7817589576547234E-2</v>
      </c>
      <c r="T7" s="226">
        <f t="shared" si="5"/>
        <v>2.9885993485342021E-3</v>
      </c>
      <c r="U7" s="228">
        <f t="shared" si="6"/>
        <v>2.9885993485342021E-3</v>
      </c>
      <c r="V7" s="218">
        <f>$G$18</f>
        <v>0.45</v>
      </c>
      <c r="W7" s="216">
        <f>$H$18</f>
        <v>0.45</v>
      </c>
      <c r="X7" s="251">
        <f t="shared" si="7"/>
        <v>1.344869706840391E-3</v>
      </c>
      <c r="Y7" s="252">
        <f t="shared" si="7"/>
        <v>1.344869706840391E-3</v>
      </c>
      <c r="Z7" s="199"/>
      <c r="AA7" s="244">
        <f t="shared" si="8"/>
        <v>1.344869706840391E-3</v>
      </c>
      <c r="AB7" s="245">
        <f t="shared" si="9"/>
        <v>0.99865513029315955</v>
      </c>
      <c r="AC7" s="245">
        <f>PRODUCT(AB8:AB$16)*AA7*PRODUCT(AB$4:AB6)</f>
        <v>1.041655470332801E-3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2.5525328809313484E-4</v>
      </c>
      <c r="AE7" s="183"/>
      <c r="AF7" s="197"/>
      <c r="AG7" s="246">
        <f t="shared" si="10"/>
        <v>1.344869706840391E-3</v>
      </c>
      <c r="AH7" s="247">
        <f t="shared" si="2"/>
        <v>0.99865513029315955</v>
      </c>
      <c r="AI7" s="247">
        <f>AG7*PRODUCT(AH3:AH6)*PRODUCT(AH8:AH17)</f>
        <v>7.9861908247263807E-4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3.5973677821684908E-4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1.0843757188530657E-2</v>
      </c>
      <c r="BM7" s="31">
        <f>BI23+1</f>
        <v>3</v>
      </c>
      <c r="BN7" s="31">
        <v>3</v>
      </c>
      <c r="BO7" s="107">
        <f>$H$28*H42</f>
        <v>3.2292516119525209E-2</v>
      </c>
      <c r="BQ7" s="31">
        <f>BQ5+1</f>
        <v>3</v>
      </c>
      <c r="BR7" s="31">
        <v>0</v>
      </c>
      <c r="BS7" s="107">
        <f>$H$28*H39</f>
        <v>2.5688775719012701E-2</v>
      </c>
    </row>
    <row r="8" spans="1:71" ht="15.75" x14ac:dyDescent="0.25">
      <c r="A8" s="5" t="s">
        <v>39</v>
      </c>
      <c r="B8" s="271">
        <v>21.25</v>
      </c>
      <c r="C8" s="272">
        <v>11.25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2</v>
      </c>
      <c r="Q8" s="214">
        <f>COUNTIF(E10:I11,"RAP")</f>
        <v>4</v>
      </c>
      <c r="R8" s="221">
        <f t="shared" si="0"/>
        <v>0.5</v>
      </c>
      <c r="S8" s="221">
        <f t="shared" si="1"/>
        <v>0.59771986970684043</v>
      </c>
      <c r="T8" s="226">
        <f t="shared" si="5"/>
        <v>1.9929259184565749E-2</v>
      </c>
      <c r="U8" s="228">
        <f t="shared" si="6"/>
        <v>0.2590014164842887</v>
      </c>
      <c r="V8" s="218">
        <f>$G$17</f>
        <v>0.56999999999999995</v>
      </c>
      <c r="W8" s="216">
        <f>$H$17</f>
        <v>0.56999999999999995</v>
      </c>
      <c r="X8" s="251">
        <f t="shared" si="7"/>
        <v>1.1359677735202476E-2</v>
      </c>
      <c r="Y8" s="252">
        <f t="shared" si="7"/>
        <v>0.14763080739604456</v>
      </c>
      <c r="Z8" s="199"/>
      <c r="AA8" s="244">
        <f t="shared" si="8"/>
        <v>1.1359677735202476E-2</v>
      </c>
      <c r="AB8" s="245">
        <f t="shared" si="9"/>
        <v>0.98864032226479748</v>
      </c>
      <c r="AC8" s="245">
        <f>PRODUCT(AB9:AB$16)*AA8*PRODUCT(AB$4:AB7)</f>
        <v>8.88765354253538E-3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2.0757611464357105E-3</v>
      </c>
      <c r="AE8" s="183"/>
      <c r="AF8" s="197"/>
      <c r="AG8" s="246">
        <f t="shared" si="10"/>
        <v>0.14763080739604456</v>
      </c>
      <c r="AH8" s="247">
        <f t="shared" si="2"/>
        <v>0.85236919260395538</v>
      </c>
      <c r="AI8" s="247">
        <f>AG8*PRODUCT(AH3:AH7)*PRODUCT(AH9:AH17)</f>
        <v>0.10271272699202533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2.847689501161673E-2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4.2983811984101941E-3</v>
      </c>
      <c r="BM8" s="31">
        <f>BI31+1</f>
        <v>4</v>
      </c>
      <c r="BN8" s="31">
        <v>4</v>
      </c>
      <c r="BO8" s="107">
        <f>$H$29*H43</f>
        <v>6.8672857052097629E-3</v>
      </c>
      <c r="BQ8" s="31">
        <f>BQ6+1</f>
        <v>3</v>
      </c>
      <c r="BR8" s="31">
        <v>1</v>
      </c>
      <c r="BS8" s="107">
        <f>$H$28*H40</f>
        <v>5.2449447921366334E-2</v>
      </c>
    </row>
    <row r="9" spans="1:71" ht="15.75" x14ac:dyDescent="0.25">
      <c r="A9" s="5" t="s">
        <v>42</v>
      </c>
      <c r="B9" s="271">
        <v>21.25</v>
      </c>
      <c r="C9" s="272">
        <v>12</v>
      </c>
      <c r="E9" s="284" t="s">
        <v>33</v>
      </c>
      <c r="F9" s="284" t="s">
        <v>151</v>
      </c>
      <c r="G9" s="284" t="s">
        <v>151</v>
      </c>
      <c r="H9" s="284" t="s">
        <v>151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2</v>
      </c>
      <c r="Q9" s="214">
        <f>COUNTIF(E10:I11,"RAP")</f>
        <v>4</v>
      </c>
      <c r="R9" s="221">
        <f t="shared" si="0"/>
        <v>0.5</v>
      </c>
      <c r="S9" s="221">
        <f t="shared" si="1"/>
        <v>0.59771986970684043</v>
      </c>
      <c r="T9" s="226">
        <f t="shared" si="5"/>
        <v>1.9929259184565749E-2</v>
      </c>
      <c r="U9" s="228">
        <f t="shared" si="6"/>
        <v>0.2590014164842887</v>
      </c>
      <c r="V9" s="218">
        <f>$G$17</f>
        <v>0.56999999999999995</v>
      </c>
      <c r="W9" s="216">
        <f>$H$17</f>
        <v>0.56999999999999995</v>
      </c>
      <c r="X9" s="251">
        <f t="shared" si="7"/>
        <v>1.1359677735202476E-2</v>
      </c>
      <c r="Y9" s="252">
        <f t="shared" si="7"/>
        <v>0.14763080739604456</v>
      </c>
      <c r="Z9" s="199"/>
      <c r="AA9" s="244">
        <f t="shared" si="8"/>
        <v>1.1359677735202476E-2</v>
      </c>
      <c r="AB9" s="245">
        <f t="shared" si="9"/>
        <v>0.98864032226479748</v>
      </c>
      <c r="AC9" s="245">
        <f>PRODUCT(AB10:AB$16)*AA9*PRODUCT(AB$4:AB8)</f>
        <v>8.8876535425353818E-3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1.9736402053900839E-3</v>
      </c>
      <c r="AE9" s="183"/>
      <c r="AF9" s="197"/>
      <c r="AG9" s="246">
        <f t="shared" si="10"/>
        <v>0.14763080739604456</v>
      </c>
      <c r="AH9" s="247">
        <f t="shared" si="2"/>
        <v>0.85236919260395538</v>
      </c>
      <c r="AI9" s="247">
        <f>AG9*PRODUCT(AH3:AH8)*PRODUCT(AH10:AH17)</f>
        <v>0.10271272699202531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1.0686994875317705E-2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1.3491490700285934E-3</v>
      </c>
      <c r="BM9" s="31">
        <f>BI38+1</f>
        <v>5</v>
      </c>
      <c r="BN9" s="31">
        <v>5</v>
      </c>
      <c r="BO9" s="107">
        <f>$H$30*H44</f>
        <v>8.3837430066787441E-4</v>
      </c>
      <c r="BQ9" s="31">
        <f>BM6+1</f>
        <v>3</v>
      </c>
      <c r="BR9" s="31">
        <v>2</v>
      </c>
      <c r="BS9" s="107">
        <f>$H$28*H41</f>
        <v>5.0266026458790282E-2</v>
      </c>
    </row>
    <row r="10" spans="1:71" ht="15.75" x14ac:dyDescent="0.25">
      <c r="A10" s="6" t="s">
        <v>45</v>
      </c>
      <c r="B10" s="271">
        <v>2</v>
      </c>
      <c r="C10" s="272">
        <v>19.5</v>
      </c>
      <c r="E10" s="284" t="s">
        <v>33</v>
      </c>
      <c r="F10" s="284" t="s">
        <v>151</v>
      </c>
      <c r="G10" s="284" t="s">
        <v>1</v>
      </c>
      <c r="H10" s="284" t="s">
        <v>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0.15324673285977786</v>
      </c>
      <c r="U10" s="228">
        <f>S10*G14</f>
        <v>7.3886817628821488E-2</v>
      </c>
      <c r="V10" s="218">
        <f>$G$18</f>
        <v>0.45</v>
      </c>
      <c r="W10" s="216">
        <f>$H$18</f>
        <v>0.45</v>
      </c>
      <c r="X10" s="251">
        <f t="shared" si="7"/>
        <v>6.8961029786900038E-2</v>
      </c>
      <c r="Y10" s="252">
        <f t="shared" si="7"/>
        <v>3.3249067932969674E-2</v>
      </c>
      <c r="Z10" s="199"/>
      <c r="AA10" s="244">
        <f t="shared" si="8"/>
        <v>6.8961029786900038E-2</v>
      </c>
      <c r="AB10" s="245">
        <f t="shared" si="9"/>
        <v>0.9310389702131</v>
      </c>
      <c r="AC10" s="245">
        <f>PRODUCT(AB11:AB$16)*AA10*PRODUCT(AB$4:AB9)</f>
        <v>5.7292174200529906E-2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8.4790405575020274E-3</v>
      </c>
      <c r="AE10" s="183"/>
      <c r="AF10" s="197"/>
      <c r="AG10" s="246">
        <f t="shared" si="10"/>
        <v>3.3249067932969674E-2</v>
      </c>
      <c r="AH10" s="247">
        <f t="shared" si="2"/>
        <v>0.96675093206703033</v>
      </c>
      <c r="AI10" s="247">
        <f>AG10*PRODUCT(AH3:AH9)*PRODUCT(AH11:AH17)</f>
        <v>2.0395759636286852E-2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1.4206633060813018E-3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3.3133852647097346E-4</v>
      </c>
      <c r="BM10" s="31">
        <f>BI44+1</f>
        <v>6</v>
      </c>
      <c r="BN10" s="31">
        <v>6</v>
      </c>
      <c r="BO10" s="107">
        <f>$H$31*H45</f>
        <v>5.9973783290814334E-5</v>
      </c>
      <c r="BQ10" s="31">
        <f>BQ7+1</f>
        <v>4</v>
      </c>
      <c r="BR10" s="31">
        <v>0</v>
      </c>
      <c r="BS10" s="107">
        <f>$H$29*H39</f>
        <v>1.1015940967919861E-2</v>
      </c>
    </row>
    <row r="11" spans="1:71" ht="15.75" x14ac:dyDescent="0.25">
      <c r="A11" s="6" t="s">
        <v>48</v>
      </c>
      <c r="B11" s="271">
        <v>2</v>
      </c>
      <c r="C11" s="272">
        <v>18.25</v>
      </c>
      <c r="E11" s="213"/>
      <c r="F11" s="284" t="s">
        <v>1</v>
      </c>
      <c r="G11" s="284" t="s">
        <v>151</v>
      </c>
      <c r="H11" s="284" t="s">
        <v>151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3</v>
      </c>
      <c r="Q11" s="214">
        <f>COUNTIF(E9:I11,"CAB")</f>
        <v>0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7.5711183496199777E-2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0.83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6.284028230184581E-2</v>
      </c>
      <c r="Y11" s="252">
        <f t="shared" si="7"/>
        <v>0</v>
      </c>
      <c r="Z11" s="199"/>
      <c r="AA11" s="244">
        <f t="shared" si="8"/>
        <v>6.284028230184581E-2</v>
      </c>
      <c r="AB11" s="245">
        <f t="shared" si="9"/>
        <v>0.9371597176981542</v>
      </c>
      <c r="AC11" s="245">
        <f>PRODUCT(AB12:AB$16)*AA11*PRODUCT(AB$4:AB10)</f>
        <v>5.1866141390153719E-2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4.1981759205674922E-3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6.3434286201929089E-5</v>
      </c>
      <c r="BM11" s="31">
        <f>BI50+1</f>
        <v>7</v>
      </c>
      <c r="BN11" s="31">
        <v>7</v>
      </c>
      <c r="BO11" s="107">
        <f>$H$32*H46</f>
        <v>2.520820075380639E-6</v>
      </c>
      <c r="BQ11" s="31">
        <f>BQ8+1</f>
        <v>4</v>
      </c>
      <c r="BR11" s="31">
        <v>1</v>
      </c>
      <c r="BS11" s="107">
        <f>$H$29*H40</f>
        <v>2.2491535930773597E-2</v>
      </c>
    </row>
    <row r="12" spans="1:71" ht="15.75" x14ac:dyDescent="0.25">
      <c r="A12" s="6" t="s">
        <v>52</v>
      </c>
      <c r="B12" s="271">
        <v>2</v>
      </c>
      <c r="C12" s="272">
        <v>19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0</v>
      </c>
      <c r="U12" s="228">
        <f>IF(S12=0,0,S12*Q12^2.7/(P12^2.7+Q12^2.7)*Q12/L12)</f>
        <v>9.5635179153094468E-3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4.3035830618892513E-3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4.3035830618892513E-3</v>
      </c>
      <c r="AH12" s="247">
        <f t="shared" si="2"/>
        <v>0.99569641693811073</v>
      </c>
      <c r="AI12" s="247">
        <f>AG12*PRODUCT(AH3:AH11)*PRODUCT(AH13:AH17)</f>
        <v>2.5631749767709008E-3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1.674590206267259E-4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9.4716992424665981E-6</v>
      </c>
      <c r="BM12" s="31">
        <f>BI54+1</f>
        <v>8</v>
      </c>
      <c r="BN12" s="31">
        <v>8</v>
      </c>
      <c r="BO12" s="107">
        <f>$H$33*H47</f>
        <v>6.2216319195896961E-8</v>
      </c>
      <c r="BQ12" s="31">
        <f>BQ9+1</f>
        <v>4</v>
      </c>
      <c r="BR12" s="31">
        <v>2</v>
      </c>
      <c r="BS12" s="107">
        <f>$H$29*H41</f>
        <v>2.1555234325632274E-2</v>
      </c>
    </row>
    <row r="13" spans="1:71" ht="15.75" x14ac:dyDescent="0.25">
      <c r="A13" s="7" t="s">
        <v>55</v>
      </c>
      <c r="B13" s="271">
        <v>14.25</v>
      </c>
      <c r="C13" s="272">
        <v>14</v>
      </c>
      <c r="E13" s="210"/>
      <c r="F13" s="210" t="s">
        <v>152</v>
      </c>
      <c r="G13" s="217">
        <f>B22</f>
        <v>0.67469879518072284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1.5369939506747324E-2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1.5369939506747324E-2</v>
      </c>
      <c r="Y13" s="252">
        <f t="shared" si="7"/>
        <v>0</v>
      </c>
      <c r="Z13" s="199"/>
      <c r="AA13" s="244">
        <f t="shared" si="8"/>
        <v>1.5369939506747324E-2</v>
      </c>
      <c r="AB13" s="245">
        <f t="shared" si="9"/>
        <v>0.98463006049325263</v>
      </c>
      <c r="AC13" s="245">
        <f>PRODUCT(AB14:AB$16)*AA13*PRODUCT(AB$4:AB12)</f>
        <v>1.2074203543144989E-2</v>
      </c>
      <c r="AD13" s="245">
        <f>AA13*AA14*PRODUCT(AB3:AB12)*PRODUCT(AB15:AB17)+AA13*AA15*PRODUCT(AB3:AB12)*AB14*PRODUCT(AB16:AB17)+AA13*AA16*PRODUCT(AB3:AB12)*AB14*AB15*AB17+AA13*AA17*PRODUCT(AB3:AB12)*AB14*AB15*AB16</f>
        <v>7.8883974699614371E-4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1.0995793391400213E-6</v>
      </c>
      <c r="BM13" s="31">
        <f>BI57+1</f>
        <v>9</v>
      </c>
      <c r="BN13" s="31">
        <v>9</v>
      </c>
      <c r="BO13" s="107">
        <f>$H$34*H48</f>
        <v>8.9459599791627533E-10</v>
      </c>
      <c r="BQ13" s="31">
        <f>BM7+1</f>
        <v>4</v>
      </c>
      <c r="BR13" s="31">
        <v>3</v>
      </c>
      <c r="BS13" s="107">
        <f>$H$29*H42</f>
        <v>1.3847777534022634E-2</v>
      </c>
    </row>
    <row r="14" spans="1:71" ht="15.75" x14ac:dyDescent="0.25">
      <c r="A14" s="7" t="s">
        <v>58</v>
      </c>
      <c r="B14" s="271">
        <v>12.5</v>
      </c>
      <c r="C14" s="272">
        <v>11.5</v>
      </c>
      <c r="E14" s="210"/>
      <c r="F14" s="210" t="s">
        <v>153</v>
      </c>
      <c r="G14" s="215">
        <f>C22</f>
        <v>0.32530120481927716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5.0534702980666972E-2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3.8744075442289444E-2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7.6806451682147794E-2</v>
      </c>
      <c r="BM14" s="31">
        <f>BQ39+1</f>
        <v>10</v>
      </c>
      <c r="BN14" s="31">
        <v>10</v>
      </c>
      <c r="BO14" s="107">
        <f>$H$35*H49</f>
        <v>7.2973604892656818E-12</v>
      </c>
      <c r="BQ14" s="31">
        <f>BQ10+1</f>
        <v>5</v>
      </c>
      <c r="BR14" s="31">
        <v>0</v>
      </c>
      <c r="BS14" s="107">
        <f>$H$30*H39</f>
        <v>3.3927299875341362E-3</v>
      </c>
    </row>
    <row r="15" spans="1:71" ht="15.75" x14ac:dyDescent="0.25">
      <c r="A15" s="162" t="s">
        <v>62</v>
      </c>
      <c r="B15" s="273">
        <v>8.25</v>
      </c>
      <c r="C15" s="274">
        <v>8.25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4.9342941023251569E-2</v>
      </c>
      <c r="BQ15" s="31">
        <f>BQ11+1</f>
        <v>5</v>
      </c>
      <c r="BR15" s="31">
        <v>1</v>
      </c>
      <c r="BS15" s="107">
        <f>$H$30*H40</f>
        <v>6.9270259018505134E-3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2.4469780274087846E-2</v>
      </c>
      <c r="BQ16" s="31">
        <f>BQ12+1</f>
        <v>5</v>
      </c>
      <c r="BR16" s="31">
        <v>2</v>
      </c>
      <c r="BS16" s="107">
        <f>$H$30*H41</f>
        <v>6.6386602921953671E-3</v>
      </c>
    </row>
    <row r="17" spans="1:71" x14ac:dyDescent="0.25">
      <c r="A17" s="161" t="s">
        <v>69</v>
      </c>
      <c r="B17" s="275" t="s">
        <v>188</v>
      </c>
      <c r="C17" s="276" t="s">
        <v>186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9.6996310071029834E-3</v>
      </c>
      <c r="BQ17" s="31">
        <f>BQ13+1</f>
        <v>5</v>
      </c>
      <c r="BR17" s="31">
        <v>3</v>
      </c>
      <c r="BS17" s="107">
        <f>$H$30*H42</f>
        <v>4.2648894213574992E-3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0.77349840966359384</v>
      </c>
      <c r="AC18" s="159">
        <f>SUM(AC4:AC16)</f>
        <v>0.20421388763093423</v>
      </c>
      <c r="AD18" s="159">
        <f>SUM(AD3:AD17)</f>
        <v>2.1158106078894064E-2</v>
      </c>
      <c r="AE18" s="159">
        <f>IF((1-AB18-AC18-AD18)&lt;0,(1-AB18-AC18-AD18)-1,1-AB18-AC18-AD18)</f>
        <v>1.1295966265778591E-3</v>
      </c>
      <c r="AF18" s="197"/>
      <c r="AG18" s="157"/>
      <c r="AH18" s="160">
        <f>PRODUCT(AH3:AH17)</f>
        <v>0.59302774075791453</v>
      </c>
      <c r="AI18" s="159">
        <f>SUM(AI3:AI17)</f>
        <v>0.29667896290509888</v>
      </c>
      <c r="AJ18" s="159">
        <f>SUM(AJ3:AJ17)</f>
        <v>5.4400984704580997E-2</v>
      </c>
      <c r="AK18" s="159">
        <f>IF((1-AH18-AI18-AJ18)&lt;0,(1-AH18-AI18-AJ18)-1,(1-AH18-AI18-AJ18))</f>
        <v>5.5892311632405593E-2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3.0444596579041429E-3</v>
      </c>
      <c r="BQ18" s="31">
        <f>BM8+1</f>
        <v>5</v>
      </c>
      <c r="BR18" s="31">
        <v>4</v>
      </c>
      <c r="BS18" s="107">
        <f>$H$30*H43</f>
        <v>2.1150118916649563E-3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7.4769111832015986E-4</v>
      </c>
      <c r="BQ19" s="31">
        <f>BQ15+1</f>
        <v>6</v>
      </c>
      <c r="BR19" s="31">
        <v>1</v>
      </c>
      <c r="BS19" s="107">
        <f>$H$31*H40</f>
        <v>1.5787570034093499E-3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1.4314439342542448E-4</v>
      </c>
      <c r="BQ20" s="31">
        <f>BQ16+1</f>
        <v>6</v>
      </c>
      <c r="BR20" s="31">
        <v>2</v>
      </c>
      <c r="BS20" s="107">
        <f>$H$31*H41</f>
        <v>1.5130348259213388E-3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2.1373624958196535E-5</v>
      </c>
      <c r="BQ21" s="31">
        <f>BQ17+1</f>
        <v>6</v>
      </c>
      <c r="BR21" s="31">
        <v>3</v>
      </c>
      <c r="BS21" s="107">
        <f>$H$31*H42</f>
        <v>9.7202235680046484E-4</v>
      </c>
    </row>
    <row r="22" spans="1:71" x14ac:dyDescent="0.25">
      <c r="A22" s="26" t="s">
        <v>81</v>
      </c>
      <c r="B22" s="169">
        <f>(B6)/((B6)+(C6))</f>
        <v>0.67469879518072284</v>
      </c>
      <c r="C22" s="170">
        <f>1-B22</f>
        <v>0.32530120481927716</v>
      </c>
      <c r="V22" s="171">
        <f>SUM(V25:V35)</f>
        <v>1</v>
      </c>
      <c r="AS22" s="82">
        <f>Y23+AA23+AC23+AE23+AG23+AI23+AK23+AM23+AO23+AQ23+AS23</f>
        <v>1.0000000000000004</v>
      </c>
      <c r="BI22" s="31">
        <v>1</v>
      </c>
      <c r="BJ22" s="31">
        <v>10</v>
      </c>
      <c r="BK22" s="107">
        <f t="shared" si="12"/>
        <v>2.4812861773723375E-6</v>
      </c>
      <c r="BQ22" s="31">
        <f>BQ18+1</f>
        <v>6</v>
      </c>
      <c r="BR22" s="31">
        <v>4</v>
      </c>
      <c r="BS22" s="107">
        <f>$H$31*H43</f>
        <v>4.8203801798519169E-4</v>
      </c>
    </row>
    <row r="23" spans="1:71" ht="15.75" thickBot="1" x14ac:dyDescent="0.3">
      <c r="A23" s="40" t="s">
        <v>82</v>
      </c>
      <c r="B23" s="56">
        <f>((B22^2.8)/((B22^2.8)+(C22^2.8)))*B21</f>
        <v>4.4260098495150686</v>
      </c>
      <c r="C23" s="57">
        <f>B21-B23</f>
        <v>0.57399015048493141</v>
      </c>
      <c r="D23" s="149">
        <f>SUM(D25:D30)</f>
        <v>1.0003500000000001</v>
      </c>
      <c r="E23" s="149">
        <f>SUM(E25:E30)</f>
        <v>1</v>
      </c>
      <c r="H23" s="229">
        <f>SUM(H25:H35)</f>
        <v>0.99999995801175867</v>
      </c>
      <c r="I23" s="81"/>
      <c r="J23" s="229">
        <f>SUM(J25:J35)</f>
        <v>1.0000000000000004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1.0050760126517704</v>
      </c>
      <c r="V23" s="171">
        <f>SUM(V25:V34)</f>
        <v>0.70621147306607046</v>
      </c>
      <c r="Y23" s="168">
        <f>SUM(Y25:Y35)</f>
        <v>3.9750661248977213E-10</v>
      </c>
      <c r="Z23" s="81"/>
      <c r="AA23" s="168">
        <f>SUM(AA25:AA35)</f>
        <v>3.0653537109641492E-8</v>
      </c>
      <c r="AB23" s="81"/>
      <c r="AC23" s="168">
        <f>SUM(AC25:AC35)</f>
        <v>1.0637403691073689E-6</v>
      </c>
      <c r="AD23" s="81"/>
      <c r="AE23" s="168">
        <f>SUM(AE25:AE35)</f>
        <v>2.1875377849365511E-5</v>
      </c>
      <c r="AF23" s="81"/>
      <c r="AG23" s="168">
        <f>SUM(AG25:AG35)</f>
        <v>2.9522774754673492E-4</v>
      </c>
      <c r="AH23" s="81"/>
      <c r="AI23" s="168">
        <f>SUM(AI25:AI35)</f>
        <v>2.732250682447826E-3</v>
      </c>
      <c r="AJ23" s="81"/>
      <c r="AK23" s="168">
        <f>SUM(AK25:AK35)</f>
        <v>1.7561076426683184E-2</v>
      </c>
      <c r="AL23" s="81"/>
      <c r="AM23" s="168">
        <f>SUM(AM25:AM35)</f>
        <v>7.7406412429913779E-2</v>
      </c>
      <c r="AN23" s="81"/>
      <c r="AO23" s="168">
        <f>SUM(AO25:AO35)</f>
        <v>0.22396293758825178</v>
      </c>
      <c r="AP23" s="81"/>
      <c r="AQ23" s="168">
        <f>SUM(AQ25:AQ35)</f>
        <v>0.38423059802196513</v>
      </c>
      <c r="AR23" s="81"/>
      <c r="AS23" s="168">
        <f>SUM(AS25:AS35)</f>
        <v>0.29378852693392971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5.11663826014912E-2</v>
      </c>
      <c r="BQ23" s="31">
        <f>BM9+1</f>
        <v>6</v>
      </c>
      <c r="BR23" s="31">
        <v>5</v>
      </c>
      <c r="BS23" s="107">
        <f>$H$31*H44</f>
        <v>1.9107612955572085E-4</v>
      </c>
    </row>
    <row r="24" spans="1:71" ht="15.75" thickBot="1" x14ac:dyDescent="0.3">
      <c r="A24" s="26" t="s">
        <v>83</v>
      </c>
      <c r="B24" s="64">
        <f>B23/B21</f>
        <v>0.8852019699030137</v>
      </c>
      <c r="C24" s="65">
        <f>C23/B21</f>
        <v>0.11479803009698628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2.5374047710054706E-2</v>
      </c>
      <c r="BQ24" s="31">
        <f>BI49+1</f>
        <v>7</v>
      </c>
      <c r="BR24" s="31">
        <v>0</v>
      </c>
      <c r="BS24" s="107">
        <f t="shared" ref="BS24:BS30" si="17">$H$32*H39</f>
        <v>1.3233849170481756E-4</v>
      </c>
    </row>
    <row r="25" spans="1:71" x14ac:dyDescent="0.25">
      <c r="A25" s="26" t="s">
        <v>108</v>
      </c>
      <c r="B25" s="172">
        <f>1/(1+EXP(-3.1416*4*((B11/(B11+C8))-(3.1416/6))))</f>
        <v>9.1668544814873295E-3</v>
      </c>
      <c r="C25" s="170">
        <f>1/(1+EXP(-3.1416*4*((C11/(C11+B8))-(3.1416/6))))</f>
        <v>0.31566369001880756</v>
      </c>
      <c r="D25" s="167">
        <f>IF(B17="AOW",0.36-0.08,IF(B17="AIM",0.36+0.08,IF(B17="TL",(0.361)-(0.36*B32),0.36)))</f>
        <v>0.23499999999999999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0.1257095381237491</v>
      </c>
      <c r="I25" s="97">
        <v>0</v>
      </c>
      <c r="J25" s="98">
        <f t="shared" ref="J25:J35" si="18">Y25+AA25+AC25+AE25+AG25+AI25+AK25+AM25+AO25+AQ25+AS25</f>
        <v>0.16252074542521955</v>
      </c>
      <c r="K25" s="97">
        <v>0</v>
      </c>
      <c r="L25" s="98">
        <f>AB18</f>
        <v>0.77349840966359384</v>
      </c>
      <c r="M25" s="85">
        <v>0</v>
      </c>
      <c r="N25" s="173">
        <f>(1-$B$24)^$B$21</f>
        <v>1.9937567867966547E-5</v>
      </c>
      <c r="O25" s="72">
        <v>0</v>
      </c>
      <c r="P25" s="173">
        <f t="shared" ref="P25:P30" si="19">N25</f>
        <v>1.9937567867966547E-5</v>
      </c>
      <c r="Q25" s="28">
        <v>0</v>
      </c>
      <c r="R25" s="174">
        <f>P25*N25</f>
        <v>3.9750661248977213E-10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3.9750661248977213E-10</v>
      </c>
      <c r="W25" s="134">
        <f>B31</f>
        <v>0.18773137743239837</v>
      </c>
      <c r="X25" s="28">
        <v>0</v>
      </c>
      <c r="Y25" s="176">
        <f>V25</f>
        <v>3.9750661248977213E-10</v>
      </c>
      <c r="Z25" s="28">
        <v>0</v>
      </c>
      <c r="AA25" s="176">
        <f>((1-W25)^Z26)*V26</f>
        <v>2.4898906364873358E-8</v>
      </c>
      <c r="AB25" s="28">
        <v>0</v>
      </c>
      <c r="AC25" s="176">
        <f>(((1-$W$25)^AB27))*V27</f>
        <v>7.0183495602899474E-7</v>
      </c>
      <c r="AD25" s="28">
        <v>0</v>
      </c>
      <c r="AE25" s="176">
        <f>(((1-$W$25)^AB28))*V28</f>
        <v>1.1723427292902229E-5</v>
      </c>
      <c r="AF25" s="28">
        <v>0</v>
      </c>
      <c r="AG25" s="176">
        <f>(((1-$W$25)^AB29))*V29</f>
        <v>1.2851560977828098E-4</v>
      </c>
      <c r="AH25" s="28">
        <v>0</v>
      </c>
      <c r="AI25" s="176">
        <f>(((1-$W$25)^AB30))*V30</f>
        <v>9.6609298422475724E-4</v>
      </c>
      <c r="AJ25" s="28">
        <v>0</v>
      </c>
      <c r="AK25" s="176">
        <f>(((1-$W$25)^AB31))*V31</f>
        <v>5.0436994006922203E-3</v>
      </c>
      <c r="AL25" s="28">
        <v>0</v>
      </c>
      <c r="AM25" s="176">
        <f>(((1-$W$25)^AB32))*V32</f>
        <v>1.8058209154458438E-2</v>
      </c>
      <c r="AN25" s="28">
        <v>0</v>
      </c>
      <c r="AO25" s="176">
        <f>(((1-$W$25)^AB33))*V33</f>
        <v>4.2439823736862427E-2</v>
      </c>
      <c r="AP25" s="28">
        <v>0</v>
      </c>
      <c r="AQ25" s="176">
        <f>(((1-$W$25)^AB34))*V34</f>
        <v>5.9141051257488107E-2</v>
      </c>
      <c r="AR25" s="28">
        <v>0</v>
      </c>
      <c r="AS25" s="176">
        <f>(((1-$W$25)^AB35))*V35</f>
        <v>3.6730902723053405E-2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1.0058075601307443E-2</v>
      </c>
      <c r="BQ25" s="31">
        <f>BQ19+1</f>
        <v>7</v>
      </c>
      <c r="BR25" s="31">
        <v>1</v>
      </c>
      <c r="BS25" s="107">
        <f t="shared" si="17"/>
        <v>2.7019897345776533E-4</v>
      </c>
    </row>
    <row r="26" spans="1:71" x14ac:dyDescent="0.25">
      <c r="A26" s="40" t="s">
        <v>109</v>
      </c>
      <c r="B26" s="169">
        <f>1/(1+EXP(-3.1416*4*((B10/(B10+C9))-(3.1416/6))))</f>
        <v>8.2884686537739605E-3</v>
      </c>
      <c r="C26" s="170">
        <f>1/(1+EXP(-3.1416*4*((C10/(C10+B9))-(3.1416/6))))</f>
        <v>0.36206844815046751</v>
      </c>
      <c r="D26" s="167">
        <f>IF(B17="AOW",0.257+0.04,IF(B17="AIM",0.257-0.04,IF(B17="TL",(0.257)-(0.257*B32),0.257)))</f>
        <v>0.16705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0.2836733359816242</v>
      </c>
      <c r="I26" s="138">
        <v>1</v>
      </c>
      <c r="J26" s="86">
        <f t="shared" si="18"/>
        <v>0.32383304168214405</v>
      </c>
      <c r="K26" s="138">
        <v>1</v>
      </c>
      <c r="L26" s="86">
        <f>AC18</f>
        <v>0.20421388763093423</v>
      </c>
      <c r="M26" s="85">
        <v>1</v>
      </c>
      <c r="N26" s="173">
        <f>(($B$24)^M26)*((1-($B$24))^($B$21-M26))*HLOOKUP($B$21,$AV$24:$BF$34,M26+1)</f>
        <v>7.6868803135770583E-4</v>
      </c>
      <c r="O26" s="72">
        <v>1</v>
      </c>
      <c r="P26" s="173">
        <f t="shared" si="19"/>
        <v>7.6868803135770583E-4</v>
      </c>
      <c r="Q26" s="28">
        <v>1</v>
      </c>
      <c r="R26" s="174">
        <f>N26*P25+P26*N25</f>
        <v>3.0651539588975715E-8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3.0653537109641492E-8</v>
      </c>
      <c r="W26" s="177"/>
      <c r="X26" s="28">
        <v>1</v>
      </c>
      <c r="Y26" s="174"/>
      <c r="Z26" s="28">
        <v>1</v>
      </c>
      <c r="AA26" s="176">
        <f>(1-((1-W25)^Z26))*V26</f>
        <v>5.7546307447681354E-9</v>
      </c>
      <c r="AB26" s="28">
        <v>1</v>
      </c>
      <c r="AC26" s="176">
        <f>((($W$25)^M26)*((1-($W$25))^($U$27-M26))*HLOOKUP($U$27,$AV$24:$BF$34,M26+1))*V27</f>
        <v>3.244159367108001E-7</v>
      </c>
      <c r="AD26" s="28">
        <v>1</v>
      </c>
      <c r="AE26" s="176">
        <f>((($W$25)^M26)*((1-($W$25))^($U$28-M26))*HLOOKUP($U$28,$AV$24:$BF$34,M26+1))*V28</f>
        <v>8.1285491995301381E-6</v>
      </c>
      <c r="AF26" s="28">
        <v>1</v>
      </c>
      <c r="AG26" s="176">
        <f>((($W$25)^M26)*((1-($W$25))^($U$29-M26))*HLOOKUP($U$29,$AV$24:$BF$34,M26+1))*V29</f>
        <v>1.1881001813896046E-4</v>
      </c>
      <c r="AH26" s="28">
        <v>1</v>
      </c>
      <c r="AI26" s="176">
        <f>((($W$25)^M26)*((1-($W$25))^($U$30-M26))*HLOOKUP($U$30,$AV$24:$BF$34,M26+1))*V30</f>
        <v>1.1164161806656251E-3</v>
      </c>
      <c r="AJ26" s="28">
        <v>1</v>
      </c>
      <c r="AK26" s="176">
        <f>((($W$25)^M26)*((1-($W$25))^($U$31-M26))*HLOOKUP($U$31,$AV$24:$BF$34,M26+1))*V31</f>
        <v>6.9941933705664682E-3</v>
      </c>
      <c r="AL26" s="28">
        <v>1</v>
      </c>
      <c r="AM26" s="176">
        <f>((($W$25)^Q26)*((1-($W$25))^($U$32-Q26))*HLOOKUP($U$32,$AV$24:$BF$34,Q26+1))*V32</f>
        <v>2.9215270281755579E-2</v>
      </c>
      <c r="AN26" s="28">
        <v>1</v>
      </c>
      <c r="AO26" s="176">
        <f>((($W$25)^Q26)*((1-($W$25))^($U$33-Q26))*HLOOKUP($U$33,$AV$24:$BF$34,Q26+1))*V33</f>
        <v>7.846947521301105E-2</v>
      </c>
      <c r="AP26" s="28">
        <v>1</v>
      </c>
      <c r="AQ26" s="176">
        <f>((($W$25)^Q26)*((1-($W$25))^($U$34-Q26))*HLOOKUP($U$34,$AV$24:$BF$34,Q26+1))*V34</f>
        <v>0.12301802182442254</v>
      </c>
      <c r="AR26" s="28">
        <v>1</v>
      </c>
      <c r="AS26" s="176">
        <f>((($W$25)^Q26)*((1-($W$25))^($U$35-Q26))*HLOOKUP($U$35,$AV$24:$BF$34,Q26+1))*V35</f>
        <v>8.489239607381685E-2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3.1569660105530387E-3</v>
      </c>
      <c r="BQ26" s="31">
        <f>BQ20+1</f>
        <v>7</v>
      </c>
      <c r="BR26" s="31">
        <v>2</v>
      </c>
      <c r="BS26" s="107">
        <f t="shared" si="17"/>
        <v>2.5895084290168804E-4</v>
      </c>
    </row>
    <row r="27" spans="1:71" x14ac:dyDescent="0.25">
      <c r="A27" s="26" t="s">
        <v>110</v>
      </c>
      <c r="B27" s="169">
        <f>1/(1+EXP(-3.1416*4*((B12/(B12+C7))-(3.1416/6))))</f>
        <v>8.033557864519647E-3</v>
      </c>
      <c r="C27" s="170">
        <f>1/(1+EXP(-3.1416*4*((C12/(C12+B7))-(3.1416/6))))</f>
        <v>0.34348506240237414</v>
      </c>
      <c r="D27" s="167">
        <f>D26</f>
        <v>0.16705</v>
      </c>
      <c r="E27" s="167">
        <f>E26</f>
        <v>0.25700000000000001</v>
      </c>
      <c r="G27" s="87">
        <v>2</v>
      </c>
      <c r="H27" s="126">
        <f>L25*J27+J26*L26+J25*L27</f>
        <v>0.294156329997386</v>
      </c>
      <c r="I27" s="138">
        <v>2</v>
      </c>
      <c r="J27" s="86">
        <f t="shared" si="18"/>
        <v>0.29035159172217739</v>
      </c>
      <c r="K27" s="138">
        <v>2</v>
      </c>
      <c r="L27" s="86">
        <f>AD18</f>
        <v>2.1158106078894064E-2</v>
      </c>
      <c r="M27" s="85">
        <v>2</v>
      </c>
      <c r="N27" s="173">
        <f>(($B$24)^M27)*((1-($B$24))^($B$21-M27))*HLOOKUP($B$21,$AV$24:$BF$34,M27+1)</f>
        <v>1.1854631286335529E-2</v>
      </c>
      <c r="O27" s="72">
        <v>2</v>
      </c>
      <c r="P27" s="173">
        <f t="shared" si="19"/>
        <v>1.1854631286335529E-2</v>
      </c>
      <c r="Q27" s="28">
        <v>2</v>
      </c>
      <c r="R27" s="174">
        <f>P25*N27+P26*N26+P27*N25</f>
        <v>1.0635863211946538E-6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1.0637403691073689E-6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3.7489476367574181E-8</v>
      </c>
      <c r="AD27" s="28">
        <v>2</v>
      </c>
      <c r="AE27" s="176">
        <f>((($W$25)^M27)*((1-($W$25))^($U$28-M27))*HLOOKUP($U$28,$AV$24:$BF$34,M27+1))*V28</f>
        <v>1.8786688237828744E-6</v>
      </c>
      <c r="AF27" s="28">
        <v>2</v>
      </c>
      <c r="AG27" s="176">
        <f>((($W$25)^M27)*((1-($W$25))^($U$29-M27))*HLOOKUP($U$29,$AV$24:$BF$34,M27+1))*V29</f>
        <v>4.1189024920396301E-5</v>
      </c>
      <c r="AH27" s="28">
        <v>2</v>
      </c>
      <c r="AI27" s="176">
        <f>((($W$25)^M27)*((1-($W$25))^($U$30-M27))*HLOOKUP($U$30,$AV$24:$BF$34,M27+1))*V30</f>
        <v>5.1605181232205501E-4</v>
      </c>
      <c r="AJ27" s="28">
        <v>2</v>
      </c>
      <c r="AK27" s="176">
        <f>((($W$25)^M27)*((1-($W$25))^($U$31-M27))*HLOOKUP($U$31,$AV$24:$BF$34,M27+1))*V31</f>
        <v>4.0412417733633257E-3</v>
      </c>
      <c r="AL27" s="28">
        <v>2</v>
      </c>
      <c r="AM27" s="176">
        <f>((($W$25)^Q27)*((1-($W$25))^($U$32-Q27))*HLOOKUP($U$32,$AV$24:$BF$34,Q27+1))*V32</f>
        <v>2.0256683982387835E-2</v>
      </c>
      <c r="AN27" s="28">
        <v>2</v>
      </c>
      <c r="AO27" s="176">
        <f>((($W$25)^Q27)*((1-($W$25))^($U$33-Q27))*HLOOKUP($U$33,$AV$24:$BF$34,Q27+1))*V33</f>
        <v>6.3475478315900308E-2</v>
      </c>
      <c r="AP27" s="28">
        <v>2</v>
      </c>
      <c r="AQ27" s="176">
        <f>((($W$25)^Q27)*((1-($W$25))^($U$34-Q27))*HLOOKUP($U$34,$AV$24:$BF$34,Q27+1))*V34</f>
        <v>0.11372761199666134</v>
      </c>
      <c r="AR27" s="28">
        <v>2</v>
      </c>
      <c r="AS27" s="176">
        <f>((($W$25)^Q27)*((1-($W$25))^($U$35-Q27))*HLOOKUP($U$35,$AV$24:$BF$34,Q27+1))*V35</f>
        <v>8.8291418658321977E-2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7.7532163738838918E-4</v>
      </c>
      <c r="BQ27" s="31">
        <f>BQ21+1</f>
        <v>7</v>
      </c>
      <c r="BR27" s="31">
        <v>3</v>
      </c>
      <c r="BS27" s="107">
        <f t="shared" si="17"/>
        <v>1.6635837080583609E-4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0.1856501778146834</v>
      </c>
      <c r="I28" s="138">
        <v>3</v>
      </c>
      <c r="J28" s="86">
        <f t="shared" si="18"/>
        <v>0.15426156313316711</v>
      </c>
      <c r="K28" s="138">
        <v>3</v>
      </c>
      <c r="L28" s="86">
        <f>AE18</f>
        <v>1.1295966265778591E-3</v>
      </c>
      <c r="M28" s="85">
        <v>3</v>
      </c>
      <c r="N28" s="173">
        <f>(($B$24)^M28)*((1-($B$24))^($B$21-M28))*HLOOKUP($B$21,$AV$24:$BF$34,M28+1)</f>
        <v>9.1410479415653251E-2</v>
      </c>
      <c r="O28" s="72">
        <v>3</v>
      </c>
      <c r="P28" s="173">
        <f t="shared" si="19"/>
        <v>9.1410479415653251E-2</v>
      </c>
      <c r="Q28" s="28">
        <v>3</v>
      </c>
      <c r="R28" s="174">
        <f>P25*N28+P26*N27+P27*N26+P28*N25</f>
        <v>2.1870031646315342E-5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2.1875377849365504E-5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1.4473253315026754E-7</v>
      </c>
      <c r="AF28" s="28">
        <v>3</v>
      </c>
      <c r="AG28" s="176">
        <f>((($W$25)^M28)*((1-($W$25))^($U$29-M28))*HLOOKUP($U$29,$AV$24:$BF$34,M28+1))*V29</f>
        <v>6.346400003290241E-6</v>
      </c>
      <c r="AH28" s="28">
        <v>3</v>
      </c>
      <c r="AI28" s="176">
        <f>((($W$25)^M28)*((1-($W$25))^($U$30-M28))*HLOOKUP($U$30,$AV$24:$BF$34,M28+1))*V30</f>
        <v>1.1926980171592447E-4</v>
      </c>
      <c r="AJ28" s="28">
        <v>3</v>
      </c>
      <c r="AK28" s="176">
        <f>((($W$25)^M28)*((1-($W$25))^($U$31-M28))*HLOOKUP($U$31,$AV$24:$BF$34,M28+1))*V31</f>
        <v>1.2453480922812242E-3</v>
      </c>
      <c r="AL28" s="28">
        <v>3</v>
      </c>
      <c r="AM28" s="176">
        <f>((($W$25)^Q28)*((1-($W$25))^($U$32-Q28))*HLOOKUP($U$32,$AV$24:$BF$34,Q28+1))*V32</f>
        <v>7.8028685760909849E-3</v>
      </c>
      <c r="AN28" s="28">
        <v>3</v>
      </c>
      <c r="AO28" s="176">
        <f>((($W$25)^Q28)*((1-($W$25))^($U$33-Q28))*HLOOKUP($U$33,$AV$24:$BF$34,Q28+1))*V33</f>
        <v>2.9340882181947275E-2</v>
      </c>
      <c r="AP28" s="28">
        <v>3</v>
      </c>
      <c r="AQ28" s="176">
        <f>((($W$25)^Q28)*((1-($W$25))^($U$34-Q28))*HLOOKUP($U$34,$AV$24:$BF$34,Q28+1))*V34</f>
        <v>6.1330978698973387E-2</v>
      </c>
      <c r="AR28" s="28">
        <v>3</v>
      </c>
      <c r="AS28" s="176">
        <f>((($W$25)^Q28)*((1-($W$25))^($U$35-Q28))*HLOOKUP($U$35,$AV$24:$BF$34,Q28+1))*V35</f>
        <v>5.4415724649621876E-2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1.4843421671627399E-4</v>
      </c>
      <c r="BQ28" s="31">
        <f>BQ22+1</f>
        <v>7</v>
      </c>
      <c r="BR28" s="31">
        <v>4</v>
      </c>
      <c r="BS28" s="107">
        <f t="shared" si="17"/>
        <v>8.249919230505137E-5</v>
      </c>
    </row>
    <row r="29" spans="1:71" x14ac:dyDescent="0.25">
      <c r="A29" s="26" t="s">
        <v>112</v>
      </c>
      <c r="B29" s="169">
        <f>1/(1+EXP(-3.1416*4*((B14/(B14+C13))-(3.1416/6))))</f>
        <v>0.34248946915328726</v>
      </c>
      <c r="C29" s="170">
        <f>1/(1+EXP(-3.1416*4*((C14/(C14+B13))-(3.1416/6))))</f>
        <v>0.27536144626981013</v>
      </c>
      <c r="D29" s="167">
        <v>0.04</v>
      </c>
      <c r="E29" s="167">
        <v>0.04</v>
      </c>
      <c r="G29" s="87">
        <v>4</v>
      </c>
      <c r="H29" s="126">
        <f>J29*L25+J28*L26+J27*L27+J26*L28</f>
        <v>7.9611088588264475E-2</v>
      </c>
      <c r="I29" s="138">
        <v>4</v>
      </c>
      <c r="J29" s="86">
        <f t="shared" si="18"/>
        <v>5.378116368411897E-2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0.35243085782984784</v>
      </c>
      <c r="O29" s="72">
        <v>4</v>
      </c>
      <c r="P29" s="173">
        <f t="shared" si="19"/>
        <v>0.35243085782984784</v>
      </c>
      <c r="Q29" s="28">
        <v>4</v>
      </c>
      <c r="R29" s="174">
        <f>P25*N29+P26*N28+P27*N27+P28*N26+P29*N25</f>
        <v>2.9511779416342687E-4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2.9522774754673492E-4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3.6669470580697515E-7</v>
      </c>
      <c r="AH29" s="28">
        <v>4</v>
      </c>
      <c r="AI29" s="176">
        <f>((($W$25)^M29)*((1-($W$25))^($U$30-M29))*HLOOKUP($U$30,$AV$24:$BF$34,M29+1))*V30</f>
        <v>1.378280752212366E-5</v>
      </c>
      <c r="AJ29" s="28">
        <v>4</v>
      </c>
      <c r="AK29" s="176">
        <f>((($W$25)^M29)*((1-($W$25))^($U$31-M29))*HLOOKUP($U$31,$AV$24:$BF$34,M29+1))*V31</f>
        <v>2.158684697259493E-4</v>
      </c>
      <c r="AL29" s="28">
        <v>4</v>
      </c>
      <c r="AM29" s="176">
        <f>((($W$25)^Q29)*((1-($W$25))^($U$32-Q29))*HLOOKUP($U$32,$AV$24:$BF$34,Q29+1))*V32</f>
        <v>1.803397576879347E-3</v>
      </c>
      <c r="AN29" s="28">
        <v>4</v>
      </c>
      <c r="AO29" s="176">
        <f>((($W$25)^Q29)*((1-($W$25))^($U$33-Q29))*HLOOKUP($U$33,$AV$24:$BF$34,Q29+1))*V33</f>
        <v>8.4765742422856106E-3</v>
      </c>
      <c r="AP29" s="28">
        <v>4</v>
      </c>
      <c r="AQ29" s="176">
        <f>((($W$25)^Q29)*((1-($W$25))^($U$34-Q29))*HLOOKUP($U$34,$AV$24:$BF$34,Q29+1))*V34</f>
        <v>2.1262207089891221E-2</v>
      </c>
      <c r="AR29" s="28">
        <v>4</v>
      </c>
      <c r="AS29" s="176">
        <f>((($W$25)^Q29)*((1-($W$25))^($U$35-Q29))*HLOOKUP($U$35,$AV$24:$BF$34,Q29+1))*V35</f>
        <v>2.2008966803108911E-2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2.2163475656559053E-5</v>
      </c>
      <c r="BQ29" s="31">
        <f>BQ23+1</f>
        <v>7</v>
      </c>
      <c r="BR29" s="31">
        <v>5</v>
      </c>
      <c r="BS29" s="107">
        <f t="shared" si="17"/>
        <v>3.2702039608848E-5</v>
      </c>
    </row>
    <row r="30" spans="1:71" x14ac:dyDescent="0.25">
      <c r="A30" s="26" t="s">
        <v>113</v>
      </c>
      <c r="B30" s="277">
        <f>IF(B17="TL",0.55,0.15)</f>
        <v>0.55000000000000004</v>
      </c>
      <c r="C30" s="278">
        <f>IF(C17="TL",0.55,0.15)</f>
        <v>0.15</v>
      </c>
      <c r="D30" s="167">
        <f>IF(B17="TL",0.875*B32,0.001)</f>
        <v>0.30624999999999997</v>
      </c>
      <c r="E30" s="167">
        <f>IF(C17="TL",0.875*C32,0.001)</f>
        <v>1E-3</v>
      </c>
      <c r="G30" s="87">
        <v>5</v>
      </c>
      <c r="H30" s="126">
        <f>J30*L25+J29*L26+J28*L27+J27*L28</f>
        <v>2.4518915667777433E-2</v>
      </c>
      <c r="I30" s="138">
        <v>5</v>
      </c>
      <c r="J30" s="86">
        <f t="shared" si="18"/>
        <v>1.2856125275880419E-2</v>
      </c>
      <c r="K30" s="138">
        <v>5</v>
      </c>
      <c r="L30" s="86"/>
      <c r="M30" s="85">
        <v>5</v>
      </c>
      <c r="N30" s="173">
        <f>(($B$24)^M30)*((1-($B$24))^($B$21-M30))*HLOOKUP($B$21,$AV$24:$BF$34,M30+1)</f>
        <v>0.54351540586893776</v>
      </c>
      <c r="O30" s="72">
        <v>5</v>
      </c>
      <c r="P30" s="173">
        <f t="shared" si="19"/>
        <v>0.54351540586893776</v>
      </c>
      <c r="Q30" s="28">
        <v>5</v>
      </c>
      <c r="R30" s="174">
        <f>P25*N30+P26*N29+P27*N28+P28*N27+P29*N26+P30*N25</f>
        <v>2.7307665735329272E-3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2.7322506824478251E-3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6.3709599734010468E-7</v>
      </c>
      <c r="AJ30" s="28">
        <v>5</v>
      </c>
      <c r="AK30" s="176">
        <f>((($W$25)^M30)*((1-($W$25))^($U$31-M30))*HLOOKUP($U$31,$AV$24:$BF$34,M30+1))*V31</f>
        <v>1.995659270342119E-5</v>
      </c>
      <c r="AL30" s="28">
        <v>5</v>
      </c>
      <c r="AM30" s="176">
        <f>((($W$25)^Q30)*((1-($W$25))^($U$32-Q30))*HLOOKUP($U$32,$AV$24:$BF$34,Q30+1))*V32</f>
        <v>2.5008055347180389E-4</v>
      </c>
      <c r="AN30" s="28">
        <v>5</v>
      </c>
      <c r="AO30" s="176">
        <f>((($W$25)^Q30)*((1-($W$25))^($U$33-Q30))*HLOOKUP($U$33,$AV$24:$BF$34,Q30+1))*V33</f>
        <v>1.5672834470764774E-3</v>
      </c>
      <c r="AP30" s="28">
        <v>5</v>
      </c>
      <c r="AQ30" s="176">
        <f>((($W$25)^Q30)*((1-($W$25))^($U$34-Q30))*HLOOKUP($U$34,$AV$24:$BF$34,Q30+1))*V34</f>
        <v>4.914117464762691E-3</v>
      </c>
      <c r="AR30" s="28">
        <v>5</v>
      </c>
      <c r="AS30" s="176">
        <f>((($W$25)^Q30)*((1-($W$25))^($U$35-Q30))*HLOOKUP($U$35,$AV$24:$BF$34,Q30+1))*V35</f>
        <v>6.1040501218686859E-3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2.572980760011827E-6</v>
      </c>
      <c r="BQ30" s="31">
        <f>BM10+1</f>
        <v>7</v>
      </c>
      <c r="BR30" s="31">
        <v>6</v>
      </c>
      <c r="BS30" s="107">
        <f t="shared" si="17"/>
        <v>1.0264312142123125E-5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0.18773137743239837</v>
      </c>
      <c r="C31" s="61">
        <f>(C25*E25)+(C26*E26)+(C27*E27)+(C28*E28)+(C29*E29)+(C30*E30)/(C25+C26+C27+C28+C29+C30)</f>
        <v>0.38254456132183584</v>
      </c>
      <c r="G31" s="87">
        <v>6</v>
      </c>
      <c r="H31" s="126">
        <f>J31*L25+J30*L26+J29*L27+J28*L28</f>
        <v>5.5881716590905012E-3</v>
      </c>
      <c r="I31" s="138">
        <v>6</v>
      </c>
      <c r="J31" s="86">
        <f t="shared" si="18"/>
        <v>2.1339558147892151E-3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1.754733906869909E-2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1.7561076426683177E-2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7.6872735057110714E-7</v>
      </c>
      <c r="AL31" s="28">
        <v>6</v>
      </c>
      <c r="AM31" s="176">
        <f>((($W$25)^Q31)*((1-($W$25))^($U$32-Q31))*HLOOKUP($U$32,$AV$24:$BF$34,Q31+1))*V32</f>
        <v>1.926619079285807E-5</v>
      </c>
      <c r="AN31" s="28">
        <v>6</v>
      </c>
      <c r="AO31" s="176">
        <f>((($W$25)^Q31)*((1-($W$25))^($U$33-Q31))*HLOOKUP($U$33,$AV$24:$BF$34,Q31+1))*V33</f>
        <v>1.8111513369592039E-4</v>
      </c>
      <c r="AP31" s="28">
        <v>6</v>
      </c>
      <c r="AQ31" s="176">
        <f>((($W$25)^Q31)*((1-($W$25))^($U$34-Q31))*HLOOKUP($U$34,$AV$24:$BF$34,Q31+1))*V34</f>
        <v>7.5716662763471187E-4</v>
      </c>
      <c r="AR31" s="28">
        <v>6</v>
      </c>
      <c r="AS31" s="176">
        <f>((($W$25)^Q31)*((1-($W$25))^($U$35-Q31))*HLOOKUP($U$35,$AV$24:$BF$34,Q31+1))*V35</f>
        <v>1.1756391353151539E-3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1.6014261767855812E-2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1.7060687379643896E-5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0.35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9.5639686318498604E-4</v>
      </c>
      <c r="I32" s="138">
        <v>7</v>
      </c>
      <c r="J32" s="86">
        <f t="shared" si="18"/>
        <v>2.4285915064040044E-4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7.7318096820231177E-2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7.7406412429913751E-2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6.3611407692509112E-7</v>
      </c>
      <c r="AN32" s="28">
        <v>7</v>
      </c>
      <c r="AO32" s="176">
        <f>((($W$25)^Q32)*((1-($W$25))^($U$33-Q32))*HLOOKUP($U$33,$AV$24:$BF$34,Q32+1))*V33</f>
        <v>1.195979914523144E-5</v>
      </c>
      <c r="AP32" s="28">
        <v>7</v>
      </c>
      <c r="AQ32" s="176">
        <f>((($W$25)^Q32)*((1-($W$25))^($U$34-Q32))*HLOOKUP($U$34,$AV$24:$BF$34,Q32+1))*V34</f>
        <v>7.499837756120687E-5</v>
      </c>
      <c r="AR32" s="28">
        <v>7</v>
      </c>
      <c r="AS32" s="176">
        <f>((($W$25)^Q32)*((1-($W$25))^($U$35-Q32))*HLOOKUP($U$35,$AV$24:$BF$34,Q32+1))*V35</f>
        <v>1.5526485985703704E-4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6.3479290888380641E-3</v>
      </c>
      <c r="BQ32" s="31">
        <f t="shared" si="24"/>
        <v>8</v>
      </c>
      <c r="BR32" s="31">
        <v>1</v>
      </c>
      <c r="BS32" s="107">
        <f t="shared" si="25"/>
        <v>3.483325340253837E-5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v>0.35</v>
      </c>
      <c r="G33" s="87">
        <v>8</v>
      </c>
      <c r="H33" s="126">
        <f>J33*L25+J32*L26+J31*L27+J30*L28</f>
        <v>1.2329585809445277E-4</v>
      </c>
      <c r="I33" s="138">
        <v>8</v>
      </c>
      <c r="J33" s="86">
        <f t="shared" si="18"/>
        <v>1.8135716092875967E-5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0.22357351719122834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0.2239629375882517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3.4551832746103919E-7</v>
      </c>
      <c r="AP33" s="28">
        <v>8</v>
      </c>
      <c r="AQ33" s="176">
        <f>((($W$25)^Q33)*((1-($W$25))^($U$34-Q33))*HLOOKUP($U$34,$AV$24:$BF$34,Q33+1))*V34</f>
        <v>4.3334028711630621E-6</v>
      </c>
      <c r="AR33" s="28">
        <v>8</v>
      </c>
      <c r="AS33" s="176">
        <f>((($W$25)^Q33)*((1-($W$25))^($U$35-Q33))*HLOOKUP($U$35,$AV$24:$BF$34,Q33+1))*V35</f>
        <v>1.3456794894251866E-5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1.9924483733506316E-3</v>
      </c>
      <c r="BQ33" s="31">
        <f t="shared" si="24"/>
        <v>8</v>
      </c>
      <c r="BR33" s="31">
        <v>2</v>
      </c>
      <c r="BS33" s="107">
        <f t="shared" si="25"/>
        <v>3.3383177641884467E-5</v>
      </c>
    </row>
    <row r="34" spans="1:71" x14ac:dyDescent="0.25">
      <c r="A34" s="40" t="s">
        <v>117</v>
      </c>
      <c r="B34" s="56">
        <f>B23*2</f>
        <v>8.8520196990301372</v>
      </c>
      <c r="C34" s="57">
        <f>C23*2</f>
        <v>1.1479803009698628</v>
      </c>
      <c r="G34" s="87">
        <v>9</v>
      </c>
      <c r="H34" s="126">
        <f>J34*L25+J33*L26+J32*L27+J31*L28</f>
        <v>1.1873186302326362E-5</v>
      </c>
      <c r="I34" s="138">
        <v>9</v>
      </c>
      <c r="J34" s="86">
        <f t="shared" si="18"/>
        <v>8.0242214482043103E-7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0.38310320146825533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0.38423059802196508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1.1128169882210859E-7</v>
      </c>
      <c r="AR34" s="28">
        <v>9</v>
      </c>
      <c r="AS34" s="176">
        <f>((($W$25)^Q34)*((1-($W$25))^($U$35-Q34))*HLOOKUP($U$35,$AV$24:$BF$34,Q34+1))*V35</f>
        <v>6.9114044599832246E-7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4.8932688222621298E-4</v>
      </c>
      <c r="BQ34" s="31">
        <f t="shared" si="24"/>
        <v>8</v>
      </c>
      <c r="BR34" s="31">
        <v>3</v>
      </c>
      <c r="BS34" s="107">
        <f t="shared" si="25"/>
        <v>2.1446429687561022E-5</v>
      </c>
    </row>
    <row r="35" spans="1:71" ht="15.75" thickBot="1" x14ac:dyDescent="0.3">
      <c r="G35" s="88">
        <v>10</v>
      </c>
      <c r="H35" s="127">
        <f>J35*L25+J34*L26+J33*L27+J32*L28</f>
        <v>8.3427160185234162E-7</v>
      </c>
      <c r="I35" s="94">
        <v>10</v>
      </c>
      <c r="J35" s="89">
        <f t="shared" si="18"/>
        <v>1.5973625512748246E-8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0.29540899641687612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0.29378852693392954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1.5973625512748246E-8</v>
      </c>
      <c r="BI35" s="31">
        <f t="shared" si="22"/>
        <v>3</v>
      </c>
      <c r="BJ35" s="31">
        <v>8</v>
      </c>
      <c r="BK35" s="107">
        <f t="shared" si="23"/>
        <v>9.3680930569824551E-5</v>
      </c>
      <c r="BQ35" s="31">
        <f t="shared" si="24"/>
        <v>8</v>
      </c>
      <c r="BR35" s="31">
        <v>4</v>
      </c>
      <c r="BS35" s="107">
        <f t="shared" si="25"/>
        <v>1.0635552142524285E-5</v>
      </c>
    </row>
    <row r="36" spans="1:71" ht="15.75" x14ac:dyDescent="0.25">
      <c r="A36" s="285" t="s">
        <v>118</v>
      </c>
      <c r="B36" s="182">
        <f>SUM(BO4:BO14)</f>
        <v>0.21724291727776815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0.99999999999999989</v>
      </c>
      <c r="BI36" s="31">
        <f t="shared" si="22"/>
        <v>3</v>
      </c>
      <c r="BJ36" s="31">
        <v>9</v>
      </c>
      <c r="BK36" s="107">
        <f t="shared" si="23"/>
        <v>1.3987981141416062E-5</v>
      </c>
      <c r="BQ36" s="31">
        <f t="shared" si="24"/>
        <v>8</v>
      </c>
      <c r="BR36" s="31">
        <v>5</v>
      </c>
      <c r="BS36" s="107">
        <f t="shared" si="25"/>
        <v>4.2158503339129244E-6</v>
      </c>
    </row>
    <row r="37" spans="1:71" ht="16.5" thickBot="1" x14ac:dyDescent="0.3">
      <c r="A37" s="110" t="s">
        <v>119</v>
      </c>
      <c r="B37" s="182">
        <f>SUM(BK4:BK59)</f>
        <v>0.39321722976586032</v>
      </c>
      <c r="G37" s="157"/>
      <c r="H37" s="229">
        <f>SUM(H39:H49)</f>
        <v>0.99999917752385992</v>
      </c>
      <c r="I37" s="230"/>
      <c r="J37" s="229">
        <f>SUM(J39:J49)</f>
        <v>0.99999999999999978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0.99957029371921791</v>
      </c>
      <c r="W37" s="157"/>
      <c r="X37" s="157"/>
      <c r="Y37" s="168">
        <f>SUM(Y39:Y49)</f>
        <v>1.4481622213763515E-2</v>
      </c>
      <c r="Z37" s="81"/>
      <c r="AA37" s="168">
        <f>SUM(AA39:AA49)</f>
        <v>7.3365168028747332E-2</v>
      </c>
      <c r="AB37" s="81"/>
      <c r="AC37" s="168">
        <f>SUM(AC39:AC49)</f>
        <v>0.1699235528840157</v>
      </c>
      <c r="AD37" s="81"/>
      <c r="AE37" s="168">
        <f>SUM(AE39:AE49)</f>
        <v>0.23858334694667199</v>
      </c>
      <c r="AF37" s="81"/>
      <c r="AG37" s="168">
        <f>SUM(AG39:AG49)</f>
        <v>0.22711152627808115</v>
      </c>
      <c r="AH37" s="81"/>
      <c r="AI37" s="168">
        <f>SUM(AI39:AI49)</f>
        <v>0.15536750787515718</v>
      </c>
      <c r="AJ37" s="81"/>
      <c r="AK37" s="168">
        <f>SUM(AK39:AK49)</f>
        <v>7.9039229469039962E-2</v>
      </c>
      <c r="AL37" s="81"/>
      <c r="AM37" s="168">
        <f>SUM(AM39:AM49)</f>
        <v>3.0536254652391289E-2</v>
      </c>
      <c r="AN37" s="81"/>
      <c r="AO37" s="168">
        <f>SUM(AO39:AO49)</f>
        <v>9.0741759604866367E-3</v>
      </c>
      <c r="AP37" s="81"/>
      <c r="AQ37" s="168">
        <f>SUM(AQ39:AQ49)</f>
        <v>2.0879094108630439E-3</v>
      </c>
      <c r="AR37" s="81"/>
      <c r="AS37" s="168">
        <f>SUM(AS39:AS49)</f>
        <v>4.2970628078209383E-4</v>
      </c>
      <c r="BI37" s="31">
        <f t="shared" si="22"/>
        <v>3</v>
      </c>
      <c r="BJ37" s="31">
        <v>10</v>
      </c>
      <c r="BK37" s="107">
        <f t="shared" si="23"/>
        <v>1.6238791652527067E-6</v>
      </c>
      <c r="BQ37" s="31">
        <f t="shared" si="24"/>
        <v>8</v>
      </c>
      <c r="BR37" s="31">
        <v>6</v>
      </c>
      <c r="BS37" s="107">
        <f t="shared" si="25"/>
        <v>1.3232447972464748E-6</v>
      </c>
    </row>
    <row r="38" spans="1:71" ht="16.5" thickBot="1" x14ac:dyDescent="0.3">
      <c r="A38" s="111" t="s">
        <v>120</v>
      </c>
      <c r="B38" s="182">
        <f>SUM(BS4:BS47)</f>
        <v>0.38953815422840621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2.7221387611487536E-3</v>
      </c>
      <c r="BQ38" s="31">
        <f>BM11+1</f>
        <v>8</v>
      </c>
      <c r="BR38" s="31">
        <v>7</v>
      </c>
      <c r="BS38" s="107">
        <f t="shared" si="25"/>
        <v>3.249766767957946E-7</v>
      </c>
    </row>
    <row r="39" spans="1:71" x14ac:dyDescent="0.25">
      <c r="G39" s="128">
        <v>0</v>
      </c>
      <c r="H39" s="129">
        <f>L39*J39</f>
        <v>0.13837194244249698</v>
      </c>
      <c r="I39" s="97">
        <v>0</v>
      </c>
      <c r="J39" s="98">
        <f t="shared" ref="J39:J49" si="29">Y39+AA39+AC39+AE39+AG39+AI39+AK39+AM39+AO39+AQ39+AS39</f>
        <v>0.23333131476387897</v>
      </c>
      <c r="K39" s="102">
        <v>0</v>
      </c>
      <c r="L39" s="98">
        <f>AH18</f>
        <v>0.59302774075791453</v>
      </c>
      <c r="M39" s="85">
        <v>0</v>
      </c>
      <c r="N39" s="173">
        <f>(1-$C$24)^$B$21</f>
        <v>0.54351540586893776</v>
      </c>
      <c r="O39" s="72">
        <v>0</v>
      </c>
      <c r="P39" s="173">
        <f t="shared" ref="P39:P44" si="30">N39</f>
        <v>0.54351540586893776</v>
      </c>
      <c r="Q39" s="28">
        <v>0</v>
      </c>
      <c r="R39" s="174">
        <f>P39*N39</f>
        <v>0.29540899641687612</v>
      </c>
      <c r="S39" s="72">
        <v>0</v>
      </c>
      <c r="T39" s="175">
        <f>(1-$C$33)^(INT(B23*2*(1-B31)))</f>
        <v>4.9022278906250022E-2</v>
      </c>
      <c r="U39" s="138">
        <v>0</v>
      </c>
      <c r="V39" s="86">
        <f>R39*T39</f>
        <v>1.4481622213763515E-2</v>
      </c>
      <c r="W39" s="134">
        <f>C31</f>
        <v>0.38254456132183584</v>
      </c>
      <c r="X39" s="28">
        <v>0</v>
      </c>
      <c r="Y39" s="176">
        <f>V39</f>
        <v>1.4481622213763515E-2</v>
      </c>
      <c r="Z39" s="28">
        <v>0</v>
      </c>
      <c r="AA39" s="176">
        <f>((1-W39)^Z40)*V40</f>
        <v>4.5299722008887405E-2</v>
      </c>
      <c r="AB39" s="28">
        <v>0</v>
      </c>
      <c r="AC39" s="176">
        <f>(((1-$W$39)^AB41))*V41</f>
        <v>6.4783561631912318E-2</v>
      </c>
      <c r="AD39" s="28">
        <v>0</v>
      </c>
      <c r="AE39" s="176">
        <f>(((1-$W$39)^AB42))*V42</f>
        <v>5.6163865128665946E-2</v>
      </c>
      <c r="AF39" s="28">
        <v>0</v>
      </c>
      <c r="AG39" s="176">
        <f>(((1-$W$39)^AB43))*V43</f>
        <v>3.301122626120969E-2</v>
      </c>
      <c r="AH39" s="28">
        <v>0</v>
      </c>
      <c r="AI39" s="176">
        <f>(((1-$W$39)^AB44))*V44</f>
        <v>1.3944029770222518E-2</v>
      </c>
      <c r="AJ39" s="28">
        <v>0</v>
      </c>
      <c r="AK39" s="176">
        <f>(((1-$W$39)^AB45))*V45</f>
        <v>4.3800232901682759E-3</v>
      </c>
      <c r="AL39" s="28">
        <v>0</v>
      </c>
      <c r="AM39" s="176">
        <f>(((1-$W$39)^AB46))*V46</f>
        <v>1.0448528004152744E-3</v>
      </c>
      <c r="AN39" s="28">
        <v>0</v>
      </c>
      <c r="AO39" s="176">
        <f>(((1-$W$39)^AB47))*V47</f>
        <v>1.9171326310122132E-4</v>
      </c>
      <c r="AP39" s="28">
        <v>0</v>
      </c>
      <c r="AQ39" s="176">
        <f>(((1-$W$39)^AB48))*V48</f>
        <v>2.7237185890177055E-5</v>
      </c>
      <c r="AR39" s="28">
        <v>0</v>
      </c>
      <c r="AS39" s="176">
        <f>(((1-$W$39)^AB49))*V49</f>
        <v>3.4612096426131473E-6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8.5440792907129099E-4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1.6429158516345469E-6</v>
      </c>
    </row>
    <row r="40" spans="1:71" x14ac:dyDescent="0.25">
      <c r="G40" s="91">
        <v>1</v>
      </c>
      <c r="H40" s="130">
        <f>L39*J40+L40*J39</f>
        <v>0.28251762825523141</v>
      </c>
      <c r="I40" s="138">
        <v>1</v>
      </c>
      <c r="J40" s="86">
        <f t="shared" si="29"/>
        <v>0.3596680578638749</v>
      </c>
      <c r="K40" s="95">
        <v>1</v>
      </c>
      <c r="L40" s="86">
        <f>AI18</f>
        <v>0.29667896290509888</v>
      </c>
      <c r="M40" s="85">
        <v>1</v>
      </c>
      <c r="N40" s="173">
        <f>(($C$24)^M26)*((1-($C$24))^($B$21-M26))*HLOOKUP($B$21,$AV$24:$BF$34,M26+1)</f>
        <v>0.35243085782984773</v>
      </c>
      <c r="O40" s="72">
        <v>1</v>
      </c>
      <c r="P40" s="173">
        <f t="shared" si="30"/>
        <v>0.35243085782984773</v>
      </c>
      <c r="Q40" s="28">
        <v>1</v>
      </c>
      <c r="R40" s="174">
        <f>P40*N39+P39*N40</f>
        <v>0.38310320146825516</v>
      </c>
      <c r="S40" s="72">
        <v>1</v>
      </c>
      <c r="T40" s="175">
        <f t="shared" ref="T40:T49" si="33">(($C$33)^S40)*((1-($C$33))^(INT($B$23*2*(1-$B$31))-S40))*HLOOKUP(INT($B$23*2*(1-$B$31)),$AV$24:$BF$34,S40+1)</f>
        <v>0.18477628203125004</v>
      </c>
      <c r="U40" s="138">
        <v>1</v>
      </c>
      <c r="V40" s="86">
        <f>R40*T39+T40*R39</f>
        <v>7.3365168028747332E-2</v>
      </c>
      <c r="W40" s="177"/>
      <c r="X40" s="28">
        <v>1</v>
      </c>
      <c r="Y40" s="174"/>
      <c r="Z40" s="28">
        <v>1</v>
      </c>
      <c r="AA40" s="176">
        <f>(1-((1-W39)^Z40))*V40</f>
        <v>2.8065446019859927E-2</v>
      </c>
      <c r="AB40" s="28">
        <v>1</v>
      </c>
      <c r="AC40" s="176">
        <f>((($W$39)^M40)*((1-($W$39))^($U$27-M40))*HLOOKUP($U$27,$AV$24:$BF$34,M40+1))*V41</f>
        <v>8.0273320511679652E-2</v>
      </c>
      <c r="AD40" s="28">
        <v>1</v>
      </c>
      <c r="AE40" s="176">
        <f>((($W$39)^M40)*((1-($W$39))^($U$28-M40))*HLOOKUP($U$28,$AV$24:$BF$34,M40+1))*V42</f>
        <v>0.10438898000694252</v>
      </c>
      <c r="AF40" s="28">
        <v>1</v>
      </c>
      <c r="AG40" s="176">
        <f>((($W$39)^M40)*((1-($W$39))^($U$29-M40))*HLOOKUP($U$29,$AV$24:$BF$34,M40+1))*V43</f>
        <v>8.1808430391833012E-2</v>
      </c>
      <c r="AH40" s="28">
        <v>1</v>
      </c>
      <c r="AI40" s="176">
        <f>((($W$39)^M40)*((1-($W$39))^($U$30-M40))*HLOOKUP($U$30,$AV$24:$BF$34,M40+1))*V44</f>
        <v>4.3195123221586369E-2</v>
      </c>
      <c r="AJ40" s="28">
        <v>1</v>
      </c>
      <c r="AK40" s="176">
        <f>((($W$39)^M40)*((1-($W$39))^($U$31-M40))*HLOOKUP($U$31,$AV$24:$BF$34,M40+1))*V45</f>
        <v>1.6281862461561655E-2</v>
      </c>
      <c r="AL40" s="28">
        <v>1</v>
      </c>
      <c r="AM40" s="176">
        <f>((($W$39)^Q40)*((1-($W$39))^($U$32-Q40))*HLOOKUP($U$32,$AV$24:$BF$34,Q40+1))*V46</f>
        <v>4.531370392096631E-3</v>
      </c>
      <c r="AN40" s="28">
        <v>1</v>
      </c>
      <c r="AO40" s="176">
        <f>((($W$39)^Q40)*((1-($W$39))^($U$33-Q40))*HLOOKUP($U$33,$AV$24:$BF$34,Q40+1))*V47</f>
        <v>9.5020772724440489E-4</v>
      </c>
      <c r="AP40" s="28">
        <v>1</v>
      </c>
      <c r="AQ40" s="176">
        <f>((($W$39)^Q40)*((1-($W$39))^($U$34-Q40))*HLOOKUP($U$34,$AV$24:$BF$34,Q40+1))*V48</f>
        <v>1.5187320424732697E-4</v>
      </c>
      <c r="AR40" s="28">
        <v>1</v>
      </c>
      <c r="AS40" s="176">
        <f>((($W$39)^Q40)*((1-($W$39))^($U$35-Q40))*HLOOKUP($U$35,$AV$24:$BF$34,Q40+1))*V49</f>
        <v>2.1443926823462596E-5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2.0983468062398599E-4</v>
      </c>
      <c r="BQ40" s="31">
        <f t="shared" si="31"/>
        <v>9</v>
      </c>
      <c r="BR40" s="31">
        <v>1</v>
      </c>
      <c r="BS40" s="107">
        <f t="shared" si="32"/>
        <v>3.3543844339657448E-6</v>
      </c>
    </row>
    <row r="41" spans="1:71" x14ac:dyDescent="0.25">
      <c r="G41" s="91">
        <v>2</v>
      </c>
      <c r="H41" s="130">
        <f>L39*J41+J40*L40+J39*L41</f>
        <v>0.27075668362120281</v>
      </c>
      <c r="I41" s="138">
        <v>2</v>
      </c>
      <c r="J41" s="86">
        <f t="shared" si="29"/>
        <v>0.2552279995283977</v>
      </c>
      <c r="K41" s="95">
        <v>2</v>
      </c>
      <c r="L41" s="86">
        <f>AJ18</f>
        <v>5.4400984704580997E-2</v>
      </c>
      <c r="M41" s="85">
        <v>2</v>
      </c>
      <c r="N41" s="173">
        <f>(($C$24)^M27)*((1-($C$24))^($B$21-M27))*HLOOKUP($B$21,$AV$24:$BF$34,M27+1)</f>
        <v>9.1410479415653195E-2</v>
      </c>
      <c r="O41" s="72">
        <v>2</v>
      </c>
      <c r="P41" s="173">
        <f t="shared" si="30"/>
        <v>9.1410479415653195E-2</v>
      </c>
      <c r="Q41" s="28">
        <v>2</v>
      </c>
      <c r="R41" s="174">
        <f>P41*N39+P40*N40+P39*N41</f>
        <v>0.2235735171912282</v>
      </c>
      <c r="S41" s="72">
        <v>2</v>
      </c>
      <c r="T41" s="175">
        <f t="shared" si="33"/>
        <v>0.29848476328125007</v>
      </c>
      <c r="U41" s="138">
        <v>2</v>
      </c>
      <c r="V41" s="86">
        <f>R41*T39+T40*R40+R39*T41</f>
        <v>0.16992355288401573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2.486667074042374E-2</v>
      </c>
      <c r="AD41" s="28">
        <v>2</v>
      </c>
      <c r="AE41" s="176">
        <f>((($W$39)^M41)*((1-($W$39))^($U$28-M41))*HLOOKUP($U$28,$AV$24:$BF$34,M41+1))*V42</f>
        <v>6.4674200050903102E-2</v>
      </c>
      <c r="AF41" s="28">
        <v>2</v>
      </c>
      <c r="AG41" s="176">
        <f>((($W$39)^M41)*((1-($W$39))^($U$29-M41))*HLOOKUP($U$29,$AV$24:$BF$34,M41+1))*V43</f>
        <v>7.6026628375810062E-2</v>
      </c>
      <c r="AH41" s="28">
        <v>2</v>
      </c>
      <c r="AI41" s="176">
        <f>((($W$39)^M41)*((1-($W$39))^($U$30-M41))*HLOOKUP($U$30,$AV$24:$BF$34,M41+1))*V44</f>
        <v>5.352308338045824E-2</v>
      </c>
      <c r="AJ41" s="28">
        <v>2</v>
      </c>
      <c r="AK41" s="176">
        <f>((($W$39)^M41)*((1-($W$39))^($U$31-M41))*HLOOKUP($U$31,$AV$24:$BF$34,M41+1))*V45</f>
        <v>2.5218572639810633E-2</v>
      </c>
      <c r="AL41" s="28">
        <v>2</v>
      </c>
      <c r="AM41" s="176">
        <f>((($W$39)^Q41)*((1-($W$39))^($U$32-Q41))*HLOOKUP($U$32,$AV$24:$BF$34,Q41+1))*V46</f>
        <v>8.4222325543473909E-3</v>
      </c>
      <c r="AN41" s="28">
        <v>2</v>
      </c>
      <c r="AO41" s="176">
        <f>((($W$39)^Q41)*((1-($W$39))^($U$33-Q41))*HLOOKUP($U$33,$AV$24:$BF$34,Q41+1))*V47</f>
        <v>2.0604544294973511E-3</v>
      </c>
      <c r="AP41" s="28">
        <v>2</v>
      </c>
      <c r="AQ41" s="176">
        <f>((($W$39)^Q41)*((1-($W$39))^($U$34-Q41))*HLOOKUP($U$34,$AV$24:$BF$34,Q41+1))*V48</f>
        <v>3.7637221833990712E-4</v>
      </c>
      <c r="AR41" s="28">
        <v>2</v>
      </c>
      <c r="AS41" s="176">
        <f>((($W$39)^Q41)*((1-($W$39))^($U$35-Q41))*HLOOKUP($U$35,$AV$24:$BF$34,Q41+1))*V49</f>
        <v>5.9785138807217969E-5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4.0172548986567612E-5</v>
      </c>
      <c r="BQ41" s="31">
        <f t="shared" si="31"/>
        <v>9</v>
      </c>
      <c r="BR41" s="31">
        <v>2</v>
      </c>
      <c r="BS41" s="107">
        <f t="shared" si="32"/>
        <v>3.2147445472345775E-6</v>
      </c>
    </row>
    <row r="42" spans="1:71" ht="15" customHeight="1" x14ac:dyDescent="0.25">
      <c r="G42" s="91">
        <v>3</v>
      </c>
      <c r="H42" s="130">
        <f>J42*L39+J41*L40+L42*J39+L41*J40</f>
        <v>0.17394282353857857</v>
      </c>
      <c r="I42" s="138">
        <v>3</v>
      </c>
      <c r="J42" s="86">
        <f t="shared" si="29"/>
        <v>0.11064292233164667</v>
      </c>
      <c r="K42" s="95">
        <v>3</v>
      </c>
      <c r="L42" s="86">
        <f>AK18</f>
        <v>5.5892311632405593E-2</v>
      </c>
      <c r="M42" s="85">
        <v>3</v>
      </c>
      <c r="N42" s="173">
        <f>(($C$24)^M28)*((1-($C$24))^($B$21-M28))*HLOOKUP($B$21,$AV$24:$BF$34,M28+1)</f>
        <v>1.185463128633552E-2</v>
      </c>
      <c r="O42" s="72">
        <v>3</v>
      </c>
      <c r="P42" s="173">
        <f t="shared" si="30"/>
        <v>1.185463128633552E-2</v>
      </c>
      <c r="Q42" s="28">
        <v>3</v>
      </c>
      <c r="R42" s="174">
        <f>P42*N39+P41*N40+P40*N41+P39*N42</f>
        <v>7.7318096820231108E-2</v>
      </c>
      <c r="S42" s="72">
        <v>3</v>
      </c>
      <c r="T42" s="175">
        <f t="shared" si="33"/>
        <v>0.26787094140625001</v>
      </c>
      <c r="U42" s="138">
        <v>3</v>
      </c>
      <c r="V42" s="86">
        <f>R42*T39+R41*T40+R40*T41+R39*T42</f>
        <v>0.23858334694667205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1.335630176016043E-2</v>
      </c>
      <c r="AF42" s="28">
        <v>3</v>
      </c>
      <c r="AG42" s="176">
        <f>((($W$39)^M42)*((1-($W$39))^($U$29-M42))*HLOOKUP($U$29,$AV$24:$BF$34,M42+1))*V43</f>
        <v>3.1401535375642123E-2</v>
      </c>
      <c r="AH42" s="28">
        <v>3</v>
      </c>
      <c r="AI42" s="176">
        <f>((($W$39)^M42)*((1-($W$39))^($U$30-M42))*HLOOKUP($U$30,$AV$24:$BF$34,M42+1))*V44</f>
        <v>3.3160230147461049E-2</v>
      </c>
      <c r="AJ42" s="28">
        <v>3</v>
      </c>
      <c r="AK42" s="176">
        <f>((($W$39)^M42)*((1-($W$39))^($U$31-M42))*HLOOKUP($U$31,$AV$24:$BF$34,M42+1))*V45</f>
        <v>2.08322246504931E-2</v>
      </c>
      <c r="AL42" s="28">
        <v>3</v>
      </c>
      <c r="AM42" s="176">
        <f>((($W$39)^Q42)*((1-($W$39))^($U$32-Q42))*HLOOKUP($U$32,$AV$24:$BF$34,Q42+1))*V46</f>
        <v>8.6966579719249069E-3</v>
      </c>
      <c r="AN42" s="28">
        <v>3</v>
      </c>
      <c r="AO42" s="176">
        <f>((($W$39)^Q42)*((1-($W$39))^($U$33-Q42))*HLOOKUP($U$33,$AV$24:$BF$34,Q42+1))*V47</f>
        <v>2.5531093791742879E-3</v>
      </c>
      <c r="AP42" s="28">
        <v>3</v>
      </c>
      <c r="AQ42" s="176">
        <f>((($W$39)^Q42)*((1-($W$39))^($U$34-Q42))*HLOOKUP($U$34,$AV$24:$BF$34,Q42+1))*V48</f>
        <v>5.4409001469404546E-4</v>
      </c>
      <c r="AR42" s="28">
        <v>3</v>
      </c>
      <c r="AS42" s="176">
        <f>((($W$39)^Q42)*((1-($W$39))^($U$35-Q42))*HLOOKUP($U$35,$AV$24:$BF$34,Q42+1))*V49</f>
        <v>9.877303209673091E-5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5.9983697237922625E-6</v>
      </c>
      <c r="BQ42" s="31">
        <f t="shared" si="31"/>
        <v>9</v>
      </c>
      <c r="BR42" s="31">
        <v>3</v>
      </c>
      <c r="BS42" s="107">
        <f t="shared" si="32"/>
        <v>2.0652555498262226E-6</v>
      </c>
    </row>
    <row r="43" spans="1:71" ht="15" customHeight="1" x14ac:dyDescent="0.25">
      <c r="G43" s="91">
        <v>4</v>
      </c>
      <c r="H43" s="130">
        <f>J43*L39+J42*L40+J41*L41+J40*L42</f>
        <v>8.6260417072378456E-2</v>
      </c>
      <c r="I43" s="138">
        <v>4</v>
      </c>
      <c r="J43" s="86">
        <f t="shared" si="29"/>
        <v>3.279383848807179E-2</v>
      </c>
      <c r="K43" s="95">
        <v>4</v>
      </c>
      <c r="L43" s="86"/>
      <c r="M43" s="85">
        <v>4</v>
      </c>
      <c r="N43" s="173">
        <f>(($C$24)^M29)*((1-($C$24))^($B$21-M29))*HLOOKUP($B$21,$AV$24:$BF$34,M29+1)</f>
        <v>7.6868803135770518E-4</v>
      </c>
      <c r="O43" s="72">
        <v>4</v>
      </c>
      <c r="P43" s="173">
        <f t="shared" si="30"/>
        <v>7.6868803135770518E-4</v>
      </c>
      <c r="Q43" s="28">
        <v>4</v>
      </c>
      <c r="R43" s="174">
        <f>P43*N39+P42*N40+P41*N41+P40*N42+P39*N43</f>
        <v>1.7547339068699069E-2</v>
      </c>
      <c r="S43" s="72">
        <v>4</v>
      </c>
      <c r="T43" s="175">
        <f t="shared" si="33"/>
        <v>0.14423819921874997</v>
      </c>
      <c r="U43" s="138">
        <v>4</v>
      </c>
      <c r="V43" s="86">
        <f>T43*R39+T42*R40+T41*R41+T40*R42+T39*R43</f>
        <v>0.2271115262780812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4.8637058735862826E-3</v>
      </c>
      <c r="AH43" s="28">
        <v>4</v>
      </c>
      <c r="AI43" s="176">
        <f>((($W$39)^M43)*((1-($W$39))^($U$30-M43))*HLOOKUP($U$30,$AV$24:$BF$34,M43+1))*V44</f>
        <v>1.027221148318651E-2</v>
      </c>
      <c r="AJ43" s="28">
        <v>4</v>
      </c>
      <c r="AK43" s="176">
        <f>((($W$39)^M43)*((1-($W$39))^($U$31-M43))*HLOOKUP($U$31,$AV$24:$BF$34,M43+1))*V45</f>
        <v>9.679954707348476E-3</v>
      </c>
      <c r="AL43" s="28">
        <v>4</v>
      </c>
      <c r="AM43" s="176">
        <f>((($W$39)^Q43)*((1-($W$39))^($U$32-Q43))*HLOOKUP($U$32,$AV$24:$BF$34,Q43+1))*V46</f>
        <v>5.3880150702990499E-3</v>
      </c>
      <c r="AN43" s="28">
        <v>4</v>
      </c>
      <c r="AO43" s="176">
        <f>((($W$39)^Q43)*((1-($W$39))^($U$33-Q43))*HLOOKUP($U$33,$AV$24:$BF$34,Q43+1))*V47</f>
        <v>1.9772238737457417E-3</v>
      </c>
      <c r="AP43" s="28">
        <v>4</v>
      </c>
      <c r="AQ43" s="176">
        <f>((($W$39)^Q43)*((1-($W$39))^($U$34-Q43))*HLOOKUP($U$34,$AV$24:$BF$34,Q43+1))*V48</f>
        <v>5.0563651144519149E-4</v>
      </c>
      <c r="AR43" s="28">
        <v>4</v>
      </c>
      <c r="AS43" s="176">
        <f>((($W$39)^Q43)*((1-($W$39))^($U$35-Q43))*HLOOKUP($U$35,$AV$24:$BF$34,Q43+1))*V49</f>
        <v>1.0709096846054492E-4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6.9635693110198198E-7</v>
      </c>
      <c r="BQ43" s="31">
        <f t="shared" si="31"/>
        <v>9</v>
      </c>
      <c r="BR43" s="31">
        <v>4</v>
      </c>
      <c r="BS43" s="107">
        <f t="shared" si="32"/>
        <v>1.024186002416723E-6</v>
      </c>
    </row>
    <row r="44" spans="1:71" ht="15" customHeight="1" thickBot="1" x14ac:dyDescent="0.3">
      <c r="G44" s="91">
        <v>5</v>
      </c>
      <c r="H44" s="130">
        <f>J44*L39+J43*L40+J42*L41+J41*L42</f>
        <v>3.4192959918274826E-2</v>
      </c>
      <c r="I44" s="138">
        <v>5</v>
      </c>
      <c r="J44" s="86">
        <f t="shared" si="29"/>
        <v>7.047479951316037E-3</v>
      </c>
      <c r="K44" s="95">
        <v>5</v>
      </c>
      <c r="L44" s="86"/>
      <c r="M44" s="85">
        <v>5</v>
      </c>
      <c r="N44" s="173">
        <f>(($C$24)^M30)*((1-($C$24))^($B$21-M30))*HLOOKUP($B$21,$AV$24:$BF$34,M30+1)</f>
        <v>1.9937567867966523E-5</v>
      </c>
      <c r="O44" s="72">
        <v>5</v>
      </c>
      <c r="P44" s="173">
        <f t="shared" si="30"/>
        <v>1.9937567867966523E-5</v>
      </c>
      <c r="Q44" s="28">
        <v>5</v>
      </c>
      <c r="R44" s="174">
        <f>P44*N39+P43*N40+P42*N41+P41*N42+P40*N43+P39*N44</f>
        <v>2.7307665735329233E-3</v>
      </c>
      <c r="S44" s="72">
        <v>5</v>
      </c>
      <c r="T44" s="175">
        <f t="shared" si="33"/>
        <v>4.6600033593749986E-2</v>
      </c>
      <c r="U44" s="138">
        <v>5</v>
      </c>
      <c r="V44" s="86">
        <f>T44*R39+T43*R40+T42*R41+T41*R42+T40*R43+T39*R44</f>
        <v>0.15536750787515718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1.272829872242463E-3</v>
      </c>
      <c r="AJ44" s="28">
        <v>5</v>
      </c>
      <c r="AK44" s="176">
        <f>((($W$39)^M44)*((1-($W$39))^($U$31-M44))*HLOOKUP($U$31,$AV$24:$BF$34,M44+1))*V45</f>
        <v>2.3988866533042118E-3</v>
      </c>
      <c r="AL44" s="28">
        <v>5</v>
      </c>
      <c r="AM44" s="176">
        <f>((($W$39)^Q44)*((1-($W$39))^($U$32-Q44))*HLOOKUP($U$32,$AV$24:$BF$34,Q44+1))*V46</f>
        <v>2.002887073964856E-3</v>
      </c>
      <c r="AN44" s="28">
        <v>5</v>
      </c>
      <c r="AO44" s="176">
        <f>((($W$39)^Q44)*((1-($W$39))^($U$33-Q44))*HLOOKUP($U$33,$AV$24:$BF$34,Q44+1))*V47</f>
        <v>9.7999135424102555E-4</v>
      </c>
      <c r="AP44" s="28">
        <v>5</v>
      </c>
      <c r="AQ44" s="176">
        <f>((($W$39)^Q44)*((1-($W$39))^($U$34-Q44))*HLOOKUP($U$34,$AV$24:$BF$34,Q44+1))*V48</f>
        <v>3.1326713693411134E-4</v>
      </c>
      <c r="AR44" s="28">
        <v>5</v>
      </c>
      <c r="AS44" s="176">
        <f>((($W$39)^Q44)*((1-($W$39))^($U$35-Q44))*HLOOKUP($U$35,$AV$24:$BF$34,Q44+1))*V49</f>
        <v>7.9617860629368491E-5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2.6314369430526137E-4</v>
      </c>
      <c r="BQ44" s="31">
        <f t="shared" si="31"/>
        <v>9</v>
      </c>
      <c r="BR44" s="31">
        <v>5</v>
      </c>
      <c r="BS44" s="107">
        <f t="shared" si="32"/>
        <v>4.0597938333765499E-7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1.0732272905978576E-2</v>
      </c>
      <c r="I45" s="138">
        <v>6</v>
      </c>
      <c r="J45" s="86">
        <f t="shared" si="29"/>
        <v>1.1354073608640621E-3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2.9511779416342644E-4</v>
      </c>
      <c r="S45" s="72">
        <v>6</v>
      </c>
      <c r="T45" s="175">
        <f t="shared" si="33"/>
        <v>8.3641085937499957E-3</v>
      </c>
      <c r="U45" s="138">
        <v>6</v>
      </c>
      <c r="V45" s="86">
        <f>T45*R39+T44*R40+T43*R41+T42*R42+T41*R43+T40*R44+T39*R45</f>
        <v>7.903922946903999E-2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2.4770506635361935E-4</v>
      </c>
      <c r="AL45" s="28">
        <v>6</v>
      </c>
      <c r="AM45" s="176">
        <f>((($W$39)^Q45)*((1-($W$39))^($U$32-Q45))*HLOOKUP($U$32,$AV$24:$BF$34,Q45+1))*V46</f>
        <v>4.1362961011260052E-4</v>
      </c>
      <c r="AN45" s="28">
        <v>6</v>
      </c>
      <c r="AO45" s="176">
        <f>((($W$39)^Q45)*((1-($W$39))^($U$33-Q45))*HLOOKUP($U$33,$AV$24:$BF$34,Q45+1))*V47</f>
        <v>3.0357685690637242E-4</v>
      </c>
      <c r="AP45" s="28">
        <v>6</v>
      </c>
      <c r="AQ45" s="176">
        <f>((($W$39)^Q45)*((1-($W$39))^($U$34-Q45))*HLOOKUP($U$34,$AV$24:$BF$34,Q45+1))*V48</f>
        <v>1.2938978477168079E-4</v>
      </c>
      <c r="AR45" s="28">
        <v>6</v>
      </c>
      <c r="AS45" s="176">
        <f>((($W$39)^Q45)*((1-($W$39))^($U$35-Q45))*HLOOKUP($U$35,$AV$24:$BF$34,Q45+1))*V49</f>
        <v>4.110604271978904E-5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6.4625656169622325E-5</v>
      </c>
      <c r="BQ45" s="31">
        <f t="shared" si="31"/>
        <v>9</v>
      </c>
      <c r="BR45" s="31">
        <v>6</v>
      </c>
      <c r="BS45" s="107">
        <f t="shared" si="32"/>
        <v>1.2742627566009318E-7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2.6357469084390571E-3</v>
      </c>
      <c r="I46" s="138">
        <v>7</v>
      </c>
      <c r="J46" s="86">
        <f t="shared" si="29"/>
        <v>1.3925510567528912E-4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2.1870031646315308E-5</v>
      </c>
      <c r="S46" s="72">
        <v>7</v>
      </c>
      <c r="T46" s="175">
        <f t="shared" si="33"/>
        <v>6.4339296874999961E-4</v>
      </c>
      <c r="U46" s="138">
        <v>7</v>
      </c>
      <c r="V46" s="86">
        <f>T46*R39+T45*R40+T44*R41+T43*R42+T42*R43+T41*R44+T40*R45+T39*R46</f>
        <v>3.0536254652391296E-2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3.6609179230577585E-5</v>
      </c>
      <c r="AN46" s="28">
        <v>7</v>
      </c>
      <c r="AO46" s="176">
        <f>((($W$39)^Q46)*((1-($W$39))^($U$33-Q46))*HLOOKUP($U$33,$AV$24:$BF$34,Q46+1))*V47</f>
        <v>5.3737446706077758E-5</v>
      </c>
      <c r="AP46" s="28">
        <v>7</v>
      </c>
      <c r="AQ46" s="176">
        <f>((($W$39)^Q46)*((1-($W$39))^($U$34-Q46))*HLOOKUP($U$34,$AV$24:$BF$34,Q46+1))*V48</f>
        <v>3.4355764472636486E-5</v>
      </c>
      <c r="AR46" s="28">
        <v>7</v>
      </c>
      <c r="AS46" s="176">
        <f>((($W$39)^Q46)*((1-($W$39))^($U$35-Q46))*HLOOKUP($U$35,$AV$24:$BF$34,Q46+1))*V49</f>
        <v>1.4552715265997276E-5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1.2372489287962163E-5</v>
      </c>
      <c r="BQ46" s="31">
        <f t="shared" si="31"/>
        <v>9</v>
      </c>
      <c r="BR46" s="31">
        <v>7</v>
      </c>
      <c r="BS46" s="107">
        <f t="shared" si="32"/>
        <v>3.1294714089677666E-8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5.0460996952740415E-4</v>
      </c>
      <c r="I47" s="138">
        <v>8</v>
      </c>
      <c r="J47" s="86">
        <f t="shared" si="29"/>
        <v>1.2863959876056808E-5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1.0635863211946517E-6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9.0741759604866384E-3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4.1616298701530557E-6</v>
      </c>
      <c r="AP47" s="28">
        <v>8</v>
      </c>
      <c r="AQ47" s="176">
        <f>((($W$39)^Q47)*((1-($W$39))^($U$34-Q47))*HLOOKUP($U$34,$AV$24:$BF$34,Q47+1))*V48</f>
        <v>5.321279085822156E-6</v>
      </c>
      <c r="AR47" s="28">
        <v>8</v>
      </c>
      <c r="AS47" s="176">
        <f>((($W$39)^Q47)*((1-($W$39))^($U$35-Q47))*HLOOKUP($U$35,$AV$24:$BF$34,Q47+1))*V49</f>
        <v>3.3810509200815963E-6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1.8473999540748914E-6</v>
      </c>
      <c r="BQ47" s="31">
        <f>BM12+1</f>
        <v>9</v>
      </c>
      <c r="BR47" s="31">
        <v>8</v>
      </c>
      <c r="BS47" s="107">
        <f t="shared" si="32"/>
        <v>5.9913281782100982E-9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7.5345907588512568E-5</v>
      </c>
      <c r="I48" s="138">
        <v>9</v>
      </c>
      <c r="J48" s="86">
        <f t="shared" si="29"/>
        <v>8.318066132677455E-7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3.0651539588975649E-8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2.0879094108630447E-3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3.6631098214502979E-7</v>
      </c>
      <c r="AR48" s="28">
        <v>9</v>
      </c>
      <c r="AS48" s="176">
        <f>((($W$39)^Q48)*((1-($W$39))^($U$35-Q48))*HLOOKUP($U$35,$AV$24:$BF$34,Q48+1))*V49</f>
        <v>4.6549563112271571E-7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2.1446656704652413E-7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8.7469841632668295E-6</v>
      </c>
      <c r="I49" s="94">
        <v>10</v>
      </c>
      <c r="J49" s="89">
        <f t="shared" si="29"/>
        <v>2.8839785165110051E-8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3.9750661248977115E-10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4.2970628078209394E-4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2.8839785165110051E-8</v>
      </c>
      <c r="BI49" s="31">
        <f>BQ14+1</f>
        <v>6</v>
      </c>
      <c r="BJ49" s="31">
        <v>0</v>
      </c>
      <c r="BK49" s="107">
        <f>$H$31*H39</f>
        <v>7.7324616717046367E-4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87"/>
      <c r="J50" s="287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87"/>
      <c r="X50" s="157"/>
      <c r="Y50" s="157"/>
      <c r="BI50" s="31">
        <f>BI45+1</f>
        <v>6</v>
      </c>
      <c r="BJ50" s="31">
        <v>7</v>
      </c>
      <c r="BK50" s="107">
        <f>$H$31*H46</f>
        <v>1.4729006174274544E-5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2.8198471306075612E-6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4.2104586541457785E-7</v>
      </c>
    </row>
    <row r="53" spans="1:63" x14ac:dyDescent="0.25">
      <c r="BI53" s="31">
        <f>BI48+1</f>
        <v>6</v>
      </c>
      <c r="BJ53" s="31">
        <v>10</v>
      </c>
      <c r="BK53" s="107">
        <f>$H$31*H49</f>
        <v>4.8879649003681141E-8</v>
      </c>
    </row>
    <row r="54" spans="1:63" x14ac:dyDescent="0.25">
      <c r="BI54" s="31">
        <f>BI51+1</f>
        <v>7</v>
      </c>
      <c r="BJ54" s="31">
        <v>8</v>
      </c>
      <c r="BK54" s="107">
        <f>$H$32*H47</f>
        <v>4.8260739198788073E-7</v>
      </c>
    </row>
    <row r="55" spans="1:63" x14ac:dyDescent="0.25">
      <c r="BI55" s="31">
        <f>BI52+1</f>
        <v>7</v>
      </c>
      <c r="BJ55" s="31">
        <v>9</v>
      </c>
      <c r="BK55" s="107">
        <f>$H$32*H48</f>
        <v>7.2060589671479258E-8</v>
      </c>
    </row>
    <row r="56" spans="1:63" x14ac:dyDescent="0.25">
      <c r="BI56" s="31">
        <f>BI53+1</f>
        <v>7</v>
      </c>
      <c r="BJ56" s="31">
        <v>10</v>
      </c>
      <c r="BK56" s="107">
        <f>$H$32*H49</f>
        <v>8.3655882160771449E-9</v>
      </c>
    </row>
    <row r="57" spans="1:63" x14ac:dyDescent="0.25">
      <c r="BI57" s="31">
        <f>BI55+1</f>
        <v>8</v>
      </c>
      <c r="BJ57" s="31">
        <v>9</v>
      </c>
      <c r="BK57" s="107">
        <f>$H$33*H48</f>
        <v>9.2898383300309978E-9</v>
      </c>
    </row>
    <row r="58" spans="1:63" x14ac:dyDescent="0.25">
      <c r="BI58" s="31">
        <f>BI56+1</f>
        <v>8</v>
      </c>
      <c r="BJ58" s="31">
        <v>10</v>
      </c>
      <c r="BK58" s="107">
        <f>$H$33*H49</f>
        <v>1.0784669181485727E-9</v>
      </c>
    </row>
    <row r="59" spans="1:63" x14ac:dyDescent="0.25">
      <c r="BI59" s="31">
        <f>BI58+1</f>
        <v>9</v>
      </c>
      <c r="BJ59" s="31">
        <v>10</v>
      </c>
      <c r="BK59" s="107">
        <f>$H$34*H49</f>
        <v>1.0385457255396534E-10</v>
      </c>
    </row>
  </sheetData>
  <mergeCells count="1">
    <mergeCell ref="B3:C3"/>
  </mergeCells>
  <conditionalFormatting sqref="H49">
    <cfRule type="cellIs" dxfId="125" priority="1" operator="greaterThan">
      <formula>0.15</formula>
    </cfRule>
  </conditionalFormatting>
  <conditionalFormatting sqref="H39:H49">
    <cfRule type="cellIs" dxfId="124" priority="2" operator="greaterThan">
      <formula>0.15</formula>
    </cfRule>
  </conditionalFormatting>
  <conditionalFormatting sqref="H49">
    <cfRule type="cellIs" dxfId="123" priority="3" operator="greaterThan">
      <formula>0.15</formula>
    </cfRule>
  </conditionalFormatting>
  <conditionalFormatting sqref="H39:H49">
    <cfRule type="cellIs" dxfId="122" priority="4" operator="greaterThan">
      <formula>0.15</formula>
    </cfRule>
  </conditionalFormatting>
  <conditionalFormatting sqref="H35">
    <cfRule type="cellIs" dxfId="121" priority="5" operator="greaterThan">
      <formula>0.15</formula>
    </cfRule>
  </conditionalFormatting>
  <conditionalFormatting sqref="H25:H35">
    <cfRule type="cellIs" dxfId="120" priority="6" operator="greaterThan">
      <formula>0.15</formula>
    </cfRule>
  </conditionalFormatting>
  <conditionalFormatting sqref="H35">
    <cfRule type="cellIs" dxfId="119" priority="7" operator="greaterThan">
      <formula>0.15</formula>
    </cfRule>
  </conditionalFormatting>
  <conditionalFormatting sqref="H25:H35">
    <cfRule type="cellIs" dxfId="118" priority="8" operator="greaterThan">
      <formula>0.15</formula>
    </cfRule>
  </conditionalFormatting>
  <conditionalFormatting sqref="V49">
    <cfRule type="cellIs" dxfId="117" priority="9" operator="greaterThan">
      <formula>0.15</formula>
    </cfRule>
  </conditionalFormatting>
  <conditionalFormatting sqref="V35">
    <cfRule type="cellIs" dxfId="116" priority="10" operator="greaterThan">
      <formula>0.15</formula>
    </cfRule>
  </conditionalFormatting>
  <conditionalFormatting sqref="V25:V35 V39:V49">
    <cfRule type="cellIs" dxfId="115" priority="11" operator="greaterThan">
      <formula>0.15</formula>
    </cfRule>
  </conditionalFormatting>
  <conditionalFormatting sqref="V49">
    <cfRule type="cellIs" dxfId="114" priority="12" operator="greaterThan">
      <formula>0.15</formula>
    </cfRule>
  </conditionalFormatting>
  <conditionalFormatting sqref="V35">
    <cfRule type="cellIs" dxfId="113" priority="13" operator="greaterThan">
      <formula>0.15</formula>
    </cfRule>
  </conditionalFormatting>
  <conditionalFormatting sqref="V25:V35 V39:V49">
    <cfRule type="cellIs" dxfId="11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77B5-BEB9-4312-B51C-750D5BA2E227}">
  <sheetPr>
    <tabColor theme="9" tint="-0.249977111117893"/>
  </sheetPr>
  <dimension ref="A1:BS59"/>
  <sheetViews>
    <sheetView zoomScale="90" zoomScaleNormal="90" workbookViewId="0">
      <selection activeCell="C6" sqref="C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9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2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89" t="s">
        <v>196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1.0238305924727917</v>
      </c>
      <c r="U2" s="219">
        <f>SUM(U4:U16)</f>
        <v>0.44814144672143302</v>
      </c>
      <c r="V2" s="157"/>
      <c r="W2" s="157"/>
      <c r="X2" s="253">
        <f>SUM(X4:X16)</f>
        <v>0.55258873536637432</v>
      </c>
      <c r="Y2" s="254">
        <f>SUM(Y4:Y16)</f>
        <v>0.27585928963926787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88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33</v>
      </c>
      <c r="F4" s="283" t="s">
        <v>151</v>
      </c>
      <c r="G4" s="283" t="s">
        <v>151</v>
      </c>
      <c r="H4" s="283" t="s">
        <v>151</v>
      </c>
      <c r="I4" s="283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0.17931596091205212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0.10221009771986971</v>
      </c>
      <c r="Y4" s="252">
        <f>W4*U4</f>
        <v>0</v>
      </c>
      <c r="Z4" s="190"/>
      <c r="AA4" s="244">
        <f>X4</f>
        <v>0.10221009771986971</v>
      </c>
      <c r="AB4" s="245">
        <f>1-AA4</f>
        <v>0.89778990228013034</v>
      </c>
      <c r="AC4" s="245">
        <f>PRODUCT(AB5:AB16)*AA4</f>
        <v>6.3728199953177148E-2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2.6738677418769465E-3</v>
      </c>
      <c r="BM4" s="31">
        <v>0</v>
      </c>
      <c r="BN4" s="31">
        <v>0</v>
      </c>
      <c r="BO4" s="107">
        <f>H25*H39</f>
        <v>9.3683888234386622E-4</v>
      </c>
      <c r="BQ4" s="31">
        <v>1</v>
      </c>
      <c r="BR4" s="31">
        <v>0</v>
      </c>
      <c r="BS4" s="107">
        <f>$H$26*H39</f>
        <v>4.9365610334612805E-3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33</v>
      </c>
      <c r="F5" s="283" t="s">
        <v>151</v>
      </c>
      <c r="G5" s="283" t="s">
        <v>33</v>
      </c>
      <c r="H5" s="283" t="s">
        <v>151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2</v>
      </c>
      <c r="Q5" s="214">
        <f>COUNTIF(E10:I11,"IMP")</f>
        <v>2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5.2300488599348528E-2</v>
      </c>
      <c r="U5" s="228">
        <f t="shared" ref="U5:U9" si="6">IF(S5=0,0,S5*Q5^2.7/(P5^2.7+Q5^2.7)*Q5/L5)</f>
        <v>5.2300488599348528E-2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2.9811278501628659E-2</v>
      </c>
      <c r="Y5" s="252">
        <f t="shared" si="7"/>
        <v>2.9811278501628659E-2</v>
      </c>
      <c r="Z5" s="199"/>
      <c r="AA5" s="244">
        <f t="shared" ref="AA5:AA16" si="8">X5</f>
        <v>2.9811278501628659E-2</v>
      </c>
      <c r="AB5" s="245">
        <f t="shared" ref="AB5:AB16" si="9">1-AA5</f>
        <v>0.97018872149837132</v>
      </c>
      <c r="AC5" s="245">
        <f>PRODUCT(AB6:AB16)*AA5*PRODUCT(AB4)</f>
        <v>1.7200336559289063E-2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8.0049026325072492E-3</v>
      </c>
      <c r="AE5" s="183"/>
      <c r="AF5" s="197"/>
      <c r="AG5" s="246">
        <f t="shared" ref="AG5:AG16" si="10">Y5</f>
        <v>2.9811278501628659E-2</v>
      </c>
      <c r="AH5" s="247">
        <f t="shared" si="2"/>
        <v>0.97018872149837132</v>
      </c>
      <c r="AI5" s="247">
        <f>AG5*PRODUCT(AH3:AH4)*PRODUCT(AH6:AH17)</f>
        <v>2.3156835437905695E-2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6.0069939067474449E-3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3.5012641332359041E-3</v>
      </c>
      <c r="BM5" s="31">
        <v>1</v>
      </c>
      <c r="BN5" s="31">
        <v>1</v>
      </c>
      <c r="BO5" s="107">
        <f>$H$26*H40</f>
        <v>1.4089627951985336E-2</v>
      </c>
      <c r="BQ5" s="31">
        <f>BQ4+1</f>
        <v>2</v>
      </c>
      <c r="BR5" s="31">
        <v>0</v>
      </c>
      <c r="BS5" s="107">
        <f>$H$27*H39</f>
        <v>1.1909197421729615E-2</v>
      </c>
    </row>
    <row r="6" spans="1:71" ht="15.75" x14ac:dyDescent="0.25">
      <c r="A6" s="2" t="s">
        <v>31</v>
      </c>
      <c r="B6" s="271">
        <v>11.5</v>
      </c>
      <c r="C6" s="272">
        <v>11.5</v>
      </c>
      <c r="E6" s="211"/>
      <c r="F6" s="283" t="s">
        <v>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4</v>
      </c>
      <c r="Q6" s="214">
        <f>COUNTIF(E9:I11,"IMP")</f>
        <v>2</v>
      </c>
      <c r="R6" s="221">
        <f t="shared" si="0"/>
        <v>0.45</v>
      </c>
      <c r="S6" s="221">
        <f t="shared" si="1"/>
        <v>0.53794788273615635</v>
      </c>
      <c r="T6" s="226">
        <f t="shared" si="5"/>
        <v>0.14344693836052913</v>
      </c>
      <c r="U6" s="228">
        <f t="shared" si="6"/>
        <v>1.1037743548374874E-2</v>
      </c>
      <c r="V6" s="218">
        <f>$G$18</f>
        <v>0.45</v>
      </c>
      <c r="W6" s="216">
        <f>$H$18</f>
        <v>0.45</v>
      </c>
      <c r="X6" s="251">
        <f t="shared" si="7"/>
        <v>6.4551122262238109E-2</v>
      </c>
      <c r="Y6" s="252">
        <f t="shared" si="7"/>
        <v>4.9669845967686933E-3</v>
      </c>
      <c r="Z6" s="199"/>
      <c r="AA6" s="244">
        <f t="shared" si="8"/>
        <v>6.4551122262238109E-2</v>
      </c>
      <c r="AB6" s="245">
        <f t="shared" si="9"/>
        <v>0.93544887773776186</v>
      </c>
      <c r="AC6" s="245">
        <f>PRODUCT(AB7:AB16)*AA6*PRODUCT(AB4:AB5)</f>
        <v>3.8627473522353871E-2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1.5311416923872676E-2</v>
      </c>
      <c r="AE6" s="183"/>
      <c r="AF6" s="197"/>
      <c r="AG6" s="246">
        <f t="shared" si="10"/>
        <v>4.9669845967686933E-3</v>
      </c>
      <c r="AH6" s="247">
        <f t="shared" si="2"/>
        <v>0.9950330154032313</v>
      </c>
      <c r="AI6" s="247">
        <f>AG6*PRODUCT(AH3:AH5)*PRODUCT(AH7:AH17)</f>
        <v>3.7619251601084245E-3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9.5708268768050807E-4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2.7854171036068775E-3</v>
      </c>
      <c r="BM6" s="31">
        <f>BI14+1</f>
        <v>2</v>
      </c>
      <c r="BN6" s="31">
        <v>2</v>
      </c>
      <c r="BO6" s="107">
        <f>$H$27*H41</f>
        <v>4.450844918392536E-2</v>
      </c>
      <c r="BQ6" s="31">
        <f>BM5+1</f>
        <v>2</v>
      </c>
      <c r="BR6" s="31">
        <v>1</v>
      </c>
      <c r="BS6" s="107">
        <f>$H$27*H40</f>
        <v>3.3990496570699261E-2</v>
      </c>
    </row>
    <row r="7" spans="1:71" ht="15.75" x14ac:dyDescent="0.25">
      <c r="A7" s="5" t="s">
        <v>36</v>
      </c>
      <c r="B7" s="271">
        <v>14.75</v>
      </c>
      <c r="C7" s="272">
        <v>13.5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3</v>
      </c>
      <c r="R7" s="221">
        <f t="shared" si="0"/>
        <v>0.04</v>
      </c>
      <c r="S7" s="221">
        <f t="shared" si="1"/>
        <v>4.7817589576547234E-2</v>
      </c>
      <c r="T7" s="226">
        <f t="shared" si="5"/>
        <v>0</v>
      </c>
      <c r="U7" s="228">
        <f t="shared" si="6"/>
        <v>1.7931596091205211E-2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8.0692182410423453E-3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8.0692182410423453E-3</v>
      </c>
      <c r="AH7" s="247">
        <f t="shared" si="2"/>
        <v>0.99193078175895766</v>
      </c>
      <c r="AI7" s="247">
        <f>AG7*PRODUCT(AH3:AH6)*PRODUCT(AH8:AH17)</f>
        <v>6.1306274189301723E-3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1.5098395522452209E-3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1.5026997660369061E-3</v>
      </c>
      <c r="BM7" s="31">
        <f>BI23+1</f>
        <v>3</v>
      </c>
      <c r="BN7" s="31">
        <v>3</v>
      </c>
      <c r="BO7" s="107">
        <f>$H$28*H42</f>
        <v>5.1935101946042957E-2</v>
      </c>
      <c r="BQ7" s="31">
        <f>BQ5+1</f>
        <v>3</v>
      </c>
      <c r="BR7" s="31">
        <v>0</v>
      </c>
      <c r="BS7" s="107">
        <f>$H$28*H39</f>
        <v>1.7467697314898292E-2</v>
      </c>
    </row>
    <row r="8" spans="1:71" ht="15.75" x14ac:dyDescent="0.25">
      <c r="A8" s="5" t="s">
        <v>39</v>
      </c>
      <c r="B8" s="271">
        <v>14</v>
      </c>
      <c r="C8" s="272">
        <v>12.75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3</v>
      </c>
      <c r="Q8" s="214">
        <f>COUNTIF(E10:I11,"RAP")</f>
        <v>1</v>
      </c>
      <c r="R8" s="221">
        <f t="shared" si="0"/>
        <v>0.5</v>
      </c>
      <c r="S8" s="221">
        <f t="shared" si="1"/>
        <v>0.59771986970684043</v>
      </c>
      <c r="T8" s="226">
        <f t="shared" si="5"/>
        <v>0.21316769011075934</v>
      </c>
      <c r="U8" s="228">
        <f t="shared" si="6"/>
        <v>3.6590870097686101E-3</v>
      </c>
      <c r="V8" s="218">
        <f>$G$17</f>
        <v>0.56999999999999995</v>
      </c>
      <c r="W8" s="216">
        <f>$H$17</f>
        <v>0.56999999999999995</v>
      </c>
      <c r="X8" s="251">
        <f t="shared" si="7"/>
        <v>0.12150558336313282</v>
      </c>
      <c r="Y8" s="252">
        <f t="shared" si="7"/>
        <v>2.0856795955681074E-3</v>
      </c>
      <c r="Z8" s="199"/>
      <c r="AA8" s="244">
        <f t="shared" si="8"/>
        <v>0.12150558336313282</v>
      </c>
      <c r="AB8" s="245">
        <f t="shared" si="9"/>
        <v>0.87849441663686723</v>
      </c>
      <c r="AC8" s="245">
        <f>PRODUCT(AB9:AB$16)*AA8*PRODUCT(AB$4:AB7)</f>
        <v>7.742296407127662E-2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1.998097345570729E-2</v>
      </c>
      <c r="AE8" s="183"/>
      <c r="AF8" s="197"/>
      <c r="AG8" s="246">
        <f t="shared" si="10"/>
        <v>2.0856795955681074E-3</v>
      </c>
      <c r="AH8" s="247">
        <f t="shared" si="2"/>
        <v>0.99791432040443184</v>
      </c>
      <c r="AI8" s="247">
        <f>AG8*PRODUCT(AH3:AH7)*PRODUCT(AH9:AH17)</f>
        <v>1.5751037543382806E-3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3.8462160390699399E-4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5.8106090900210622E-4</v>
      </c>
      <c r="BM8" s="31">
        <f>BI31+1</f>
        <v>4</v>
      </c>
      <c r="BN8" s="31">
        <v>4</v>
      </c>
      <c r="BO8" s="107">
        <f>$H$29*H43</f>
        <v>2.8030815870332168E-2</v>
      </c>
      <c r="BQ8" s="31">
        <f>BQ6+1</f>
        <v>3</v>
      </c>
      <c r="BR8" s="31">
        <v>1</v>
      </c>
      <c r="BS8" s="107">
        <f>$H$28*H40</f>
        <v>4.9855224046981401E-2</v>
      </c>
    </row>
    <row r="9" spans="1:71" ht="15.75" x14ac:dyDescent="0.25">
      <c r="A9" s="5" t="s">
        <v>42</v>
      </c>
      <c r="B9" s="271">
        <v>15.25</v>
      </c>
      <c r="C9" s="272">
        <v>13.5</v>
      </c>
      <c r="E9" s="284" t="s">
        <v>6</v>
      </c>
      <c r="F9" s="284" t="s">
        <v>151</v>
      </c>
      <c r="G9" s="284" t="s">
        <v>6</v>
      </c>
      <c r="H9" s="284" t="s">
        <v>151</v>
      </c>
      <c r="I9" s="284" t="s">
        <v>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3</v>
      </c>
      <c r="Q9" s="214">
        <f>COUNTIF(E10:I11,"RAP")</f>
        <v>1</v>
      </c>
      <c r="R9" s="221">
        <f t="shared" si="0"/>
        <v>0.5</v>
      </c>
      <c r="S9" s="221">
        <f t="shared" si="1"/>
        <v>0.59771986970684043</v>
      </c>
      <c r="T9" s="226">
        <f t="shared" si="5"/>
        <v>0.21316769011075934</v>
      </c>
      <c r="U9" s="228">
        <f t="shared" si="6"/>
        <v>3.6590870097686101E-3</v>
      </c>
      <c r="V9" s="218">
        <f>$G$17</f>
        <v>0.56999999999999995</v>
      </c>
      <c r="W9" s="216">
        <f>$H$17</f>
        <v>0.56999999999999995</v>
      </c>
      <c r="X9" s="251">
        <f t="shared" si="7"/>
        <v>0.12150558336313282</v>
      </c>
      <c r="Y9" s="252">
        <f t="shared" si="7"/>
        <v>2.0856795955681074E-3</v>
      </c>
      <c r="Z9" s="199"/>
      <c r="AA9" s="244">
        <f t="shared" si="8"/>
        <v>0.12150558336313282</v>
      </c>
      <c r="AB9" s="245">
        <f t="shared" si="9"/>
        <v>0.87849441663686723</v>
      </c>
      <c r="AC9" s="245">
        <f>PRODUCT(AB10:AB$16)*AA9*PRODUCT(AB$4:AB8)</f>
        <v>7.742296407127662E-2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9.272513348246034E-3</v>
      </c>
      <c r="AE9" s="183"/>
      <c r="AF9" s="197"/>
      <c r="AG9" s="246">
        <f t="shared" si="10"/>
        <v>2.0856795955681074E-3</v>
      </c>
      <c r="AH9" s="247">
        <f t="shared" si="2"/>
        <v>0.99791432040443184</v>
      </c>
      <c r="AI9" s="247">
        <f>AG9*PRODUCT(AH3:AH8)*PRODUCT(AH10:AH17)</f>
        <v>1.5751037543382806E-3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3.8132957603029743E-4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1.6594145435478358E-4</v>
      </c>
      <c r="BM9" s="31">
        <f>BI38+1</f>
        <v>5</v>
      </c>
      <c r="BN9" s="31">
        <v>5</v>
      </c>
      <c r="BO9" s="107">
        <f>$H$30*H44</f>
        <v>7.8834543152970695E-3</v>
      </c>
      <c r="BQ9" s="31">
        <f>BM6+1</f>
        <v>3</v>
      </c>
      <c r="BR9" s="31">
        <v>2</v>
      </c>
      <c r="BS9" s="107">
        <f>$H$28*H41</f>
        <v>6.5282326824289638E-2</v>
      </c>
    </row>
    <row r="10" spans="1:71" ht="15.75" x14ac:dyDescent="0.25">
      <c r="A10" s="6" t="s">
        <v>45</v>
      </c>
      <c r="B10" s="271">
        <v>16.25</v>
      </c>
      <c r="C10" s="272">
        <v>15.25</v>
      </c>
      <c r="E10" s="284" t="s">
        <v>1</v>
      </c>
      <c r="F10" s="284" t="s">
        <v>138</v>
      </c>
      <c r="G10" s="284" t="s">
        <v>6</v>
      </c>
      <c r="H10" s="284" t="s">
        <v>138</v>
      </c>
      <c r="I10" s="284" t="s">
        <v>33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0.11356677524429967</v>
      </c>
      <c r="U10" s="228">
        <f>S10*G14</f>
        <v>0.11356677524429967</v>
      </c>
      <c r="V10" s="218">
        <f>$G$18</f>
        <v>0.45</v>
      </c>
      <c r="W10" s="216">
        <f>$H$18</f>
        <v>0.45</v>
      </c>
      <c r="X10" s="251">
        <f t="shared" si="7"/>
        <v>5.1105048859934853E-2</v>
      </c>
      <c r="Y10" s="252">
        <f t="shared" si="7"/>
        <v>5.1105048859934853E-2</v>
      </c>
      <c r="Z10" s="199"/>
      <c r="AA10" s="244">
        <f t="shared" si="8"/>
        <v>5.1105048859934853E-2</v>
      </c>
      <c r="AB10" s="245">
        <f t="shared" si="9"/>
        <v>0.94889495114006517</v>
      </c>
      <c r="AC10" s="245">
        <f>PRODUCT(AB11:AB$16)*AA10*PRODUCT(AB$4:AB9)</f>
        <v>3.014798125952203E-2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1.9869613430417805E-3</v>
      </c>
      <c r="AE10" s="183"/>
      <c r="AF10" s="197"/>
      <c r="AG10" s="246">
        <f t="shared" si="10"/>
        <v>5.1105048859934853E-2</v>
      </c>
      <c r="AH10" s="247">
        <f t="shared" si="2"/>
        <v>0.94889495114006517</v>
      </c>
      <c r="AI10" s="247">
        <f>AG10*PRODUCT(AH3:AH9)*PRODUCT(AH11:AH17)</f>
        <v>4.0588266305451412E-2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7.640360916760151E-3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3.5527935780541103E-5</v>
      </c>
      <c r="BM10" s="31">
        <f>BI44+1</f>
        <v>6</v>
      </c>
      <c r="BN10" s="31">
        <v>6</v>
      </c>
      <c r="BO10" s="107">
        <f>$H$31*H45</f>
        <v>1.24196161992184E-3</v>
      </c>
      <c r="BQ10" s="31">
        <f>BQ7+1</f>
        <v>4</v>
      </c>
      <c r="BR10" s="31">
        <v>0</v>
      </c>
      <c r="BS10" s="107">
        <f>$H$29*H39</f>
        <v>1.7475452385545754E-2</v>
      </c>
    </row>
    <row r="11" spans="1:71" ht="15.75" x14ac:dyDescent="0.25">
      <c r="A11" s="6" t="s">
        <v>48</v>
      </c>
      <c r="B11" s="271">
        <v>16.5</v>
      </c>
      <c r="C11" s="272">
        <v>11.75</v>
      </c>
      <c r="E11" s="213"/>
      <c r="F11" s="284" t="s">
        <v>138</v>
      </c>
      <c r="G11" s="284" t="s">
        <v>151</v>
      </c>
      <c r="H11" s="284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0</v>
      </c>
      <c r="Q11" s="214">
        <f>COUNTIF(E9:I11,"CAB")</f>
        <v>3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0</v>
      </c>
      <c r="U11" s="228">
        <f>IF(Q11&gt;0,IF(P11&gt;0,G14^2.7/(G14^2.7+G13^2.7),1),0)*Q11/L11*S11</f>
        <v>7.5711183496199777E-2</v>
      </c>
      <c r="V11" s="218">
        <f>IF(P11-Q11&gt;3,0.9,IF(P11-Q11=3,0.83,IF(P11-Q11=2,0.75,IF(P11-Q11=1,0.65,IF(P11-Q11=0,0.44,IF(P11-Q11=-1,0.16,IF(P11-Q11&lt;-1,0.05,0.02)))))))</f>
        <v>0.05</v>
      </c>
      <c r="W11" s="216">
        <f>IF(Q11-P11&gt;3,0.9,IF(Q11-P11=3,0.83,IF(Q11-P11=2,0.75,IF(Q11-P11=1,0.65,IF(Q11-P11=0,0.44,IF(Q11-P11=-1,0.16,IF(Q11-P11&lt;-1,0.05,0.02)))))))</f>
        <v>0.83</v>
      </c>
      <c r="X11" s="251">
        <f t="shared" si="7"/>
        <v>0</v>
      </c>
      <c r="Y11" s="252">
        <f t="shared" si="7"/>
        <v>6.284028230184581E-2</v>
      </c>
      <c r="Z11" s="199"/>
      <c r="AA11" s="244">
        <f t="shared" si="8"/>
        <v>0</v>
      </c>
      <c r="AB11" s="245">
        <f t="shared" si="9"/>
        <v>1</v>
      </c>
      <c r="AC11" s="245">
        <f>PRODUCT(AB12:AB$16)*AA11*PRODUCT(AB$4:AB10)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0"/>
        <v>6.284028230184581E-2</v>
      </c>
      <c r="AH11" s="247">
        <f t="shared" si="2"/>
        <v>0.9371597176981542</v>
      </c>
      <c r="AI11" s="247">
        <f>AG11*PRODUCT(AH3:AH10)*PRODUCT(AH12:AH17)</f>
        <v>5.0533495899742938E-2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6.1239855608313382E-3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5.7244150356496516E-6</v>
      </c>
      <c r="BM11" s="31">
        <f>BI50+1</f>
        <v>7</v>
      </c>
      <c r="BN11" s="31">
        <v>7</v>
      </c>
      <c r="BO11" s="107">
        <f>$H$32*H46</f>
        <v>1.1465831244096672E-4</v>
      </c>
      <c r="BQ11" s="31">
        <f>BQ8+1</f>
        <v>4</v>
      </c>
      <c r="BR11" s="31">
        <v>1</v>
      </c>
      <c r="BS11" s="107">
        <f>$H$29*H40</f>
        <v>4.9877358091192224E-2</v>
      </c>
    </row>
    <row r="12" spans="1:71" ht="15.75" x14ac:dyDescent="0.25">
      <c r="A12" s="6" t="s">
        <v>52</v>
      </c>
      <c r="B12" s="271">
        <v>17.5</v>
      </c>
      <c r="C12" s="272">
        <v>14.75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1</v>
      </c>
      <c r="Q12" s="214">
        <f>COUNTIF(F11:H11,"IMP")+COUNTIF(E10,"IMP")+COUNTIF(I10,"IMP")</f>
        <v>2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1.2754725878122077E-3</v>
      </c>
      <c r="U12" s="228">
        <f>IF(S12=0,0,S12*Q12^2.7/(P12^2.7+Q12^2.7)*Q12/L12)</f>
        <v>1.657609065499448E-2</v>
      </c>
      <c r="V12" s="218">
        <f>$G$18</f>
        <v>0.45</v>
      </c>
      <c r="W12" s="216">
        <f>$H$18</f>
        <v>0.45</v>
      </c>
      <c r="X12" s="251">
        <f t="shared" si="7"/>
        <v>5.7396266451549343E-4</v>
      </c>
      <c r="Y12" s="252">
        <f t="shared" si="7"/>
        <v>7.4592407947475167E-3</v>
      </c>
      <c r="Z12" s="199"/>
      <c r="AA12" s="244">
        <f t="shared" si="8"/>
        <v>5.7396266451549343E-4</v>
      </c>
      <c r="AB12" s="245">
        <f t="shared" si="9"/>
        <v>0.99942603733548452</v>
      </c>
      <c r="AC12" s="245">
        <f>PRODUCT(AB13:AB$16)*AA12*PRODUCT(AB$4:AB11)</f>
        <v>3.2147377352432659E-4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2.1002734405351264E-5</v>
      </c>
      <c r="AE12" s="183"/>
      <c r="AF12" s="197"/>
      <c r="AG12" s="246">
        <f t="shared" si="10"/>
        <v>7.4592407947475167E-3</v>
      </c>
      <c r="AH12" s="247">
        <f t="shared" si="2"/>
        <v>0.99254075920525253</v>
      </c>
      <c r="AI12" s="247">
        <f>AG12*PRODUCT(AH3:AH11)*PRODUCT(AH13:AH17)</f>
        <v>5.6637112765995819E-3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6.438017650240394E-4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6.8926381059433721E-7</v>
      </c>
      <c r="BM12" s="31">
        <f>BI54+1</f>
        <v>8</v>
      </c>
      <c r="BN12" s="31">
        <v>8</v>
      </c>
      <c r="BO12" s="107">
        <f>$H$33*H47</f>
        <v>6.3352879854301878E-6</v>
      </c>
      <c r="BQ12" s="31">
        <f>BQ9+1</f>
        <v>4</v>
      </c>
      <c r="BR12" s="31">
        <v>2</v>
      </c>
      <c r="BS12" s="107">
        <f>$H$29*H41</f>
        <v>6.5311309983742544E-2</v>
      </c>
    </row>
    <row r="13" spans="1:71" ht="15.75" x14ac:dyDescent="0.25">
      <c r="A13" s="7" t="s">
        <v>55</v>
      </c>
      <c r="B13" s="271">
        <v>13.5</v>
      </c>
      <c r="C13" s="272">
        <v>8.5</v>
      </c>
      <c r="E13" s="210"/>
      <c r="F13" s="210" t="s">
        <v>152</v>
      </c>
      <c r="G13" s="217">
        <f>B22</f>
        <v>0.5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3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0</v>
      </c>
      <c r="U13" s="228">
        <f>IF(P13+Q13=0,0,S13*Q14/4*Q13/L13)</f>
        <v>4.6109818520241971E-2</v>
      </c>
      <c r="V13" s="218">
        <v>1</v>
      </c>
      <c r="W13" s="216">
        <v>1</v>
      </c>
      <c r="X13" s="251">
        <f t="shared" si="7"/>
        <v>0</v>
      </c>
      <c r="Y13" s="252">
        <f t="shared" si="7"/>
        <v>4.6109818520241971E-2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4.6109818520241971E-2</v>
      </c>
      <c r="AH13" s="247">
        <f t="shared" si="2"/>
        <v>0.95389018147975801</v>
      </c>
      <c r="AI13" s="247">
        <f>AG13*PRODUCT(AH3:AH12)*PRODUCT(AH14:AH17)</f>
        <v>3.6429219250367441E-2</v>
      </c>
      <c r="AJ13" s="247">
        <f>AG13*AG14*PRODUCT(AH3:AH12)*PRODUCT(AH15:AH17)+AG13*AG15*PRODUCT(AH3:AH12)*AH14*PRODUCT(AH16:AH17)+AG13*AG16*PRODUCT(AH3:AH12)*AH14*AH15*AH17+AG13*AG17*PRODUCT(AH3:AH12)*AH14*AH15*AH16</f>
        <v>2.3800175302694762E-3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6.0706340419036573E-8</v>
      </c>
      <c r="BM13" s="31">
        <f>BI57+1</f>
        <v>9</v>
      </c>
      <c r="BN13" s="31">
        <v>9</v>
      </c>
      <c r="BO13" s="107">
        <f>$H$34*H48</f>
        <v>2.0747548812717217E-7</v>
      </c>
      <c r="BQ13" s="31">
        <f>BM7+1</f>
        <v>4</v>
      </c>
      <c r="BR13" s="31">
        <v>3</v>
      </c>
      <c r="BS13" s="107">
        <f>$H$29*H42</f>
        <v>5.1958159386151621E-2</v>
      </c>
    </row>
    <row r="14" spans="1:71" ht="15.75" x14ac:dyDescent="0.25">
      <c r="A14" s="7" t="s">
        <v>58</v>
      </c>
      <c r="B14" s="271">
        <v>11.5</v>
      </c>
      <c r="C14" s="272">
        <v>7.25</v>
      </c>
      <c r="E14" s="210"/>
      <c r="F14" s="210" t="s">
        <v>153</v>
      </c>
      <c r="G14" s="215">
        <f>C22</f>
        <v>0.5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3.6571507029414523E-2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4.9236267387977616E-2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1.8449494799729918E-2</v>
      </c>
      <c r="BM14" s="31">
        <f>BQ39+1</f>
        <v>10</v>
      </c>
      <c r="BN14" s="31">
        <v>10</v>
      </c>
      <c r="BO14" s="107">
        <f>$H$35*H49</f>
        <v>3.8217380885389356E-9</v>
      </c>
      <c r="BQ14" s="31">
        <f>BQ10+1</f>
        <v>5</v>
      </c>
      <c r="BR14" s="31">
        <v>0</v>
      </c>
      <c r="BS14" s="107">
        <f>$H$30*H39</f>
        <v>1.2710417127243134E-2</v>
      </c>
    </row>
    <row r="15" spans="1:71" ht="15.75" x14ac:dyDescent="0.25">
      <c r="A15" s="162" t="s">
        <v>62</v>
      </c>
      <c r="B15" s="273">
        <v>5</v>
      </c>
      <c r="C15" s="274">
        <v>6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1.467742404243553E-2</v>
      </c>
      <c r="BQ15" s="31">
        <f>BQ11+1</f>
        <v>5</v>
      </c>
      <c r="BR15" s="31">
        <v>1</v>
      </c>
      <c r="BS15" s="107">
        <f>$H$30*H40</f>
        <v>3.6277288424778606E-2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7.9182976388103617E-3</v>
      </c>
      <c r="BQ16" s="31">
        <f>BQ12+1</f>
        <v>5</v>
      </c>
      <c r="BR16" s="31">
        <v>2</v>
      </c>
      <c r="BS16" s="107">
        <f>$H$30*H41</f>
        <v>4.7502861425588322E-2</v>
      </c>
    </row>
    <row r="17" spans="1:71" x14ac:dyDescent="0.25">
      <c r="A17" s="161" t="s">
        <v>69</v>
      </c>
      <c r="B17" s="275" t="s">
        <v>70</v>
      </c>
      <c r="C17" s="276" t="s">
        <v>70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3.0618313303466503E-3</v>
      </c>
      <c r="BQ17" s="31">
        <f>BQ13+1</f>
        <v>5</v>
      </c>
      <c r="BR17" s="31">
        <v>3</v>
      </c>
      <c r="BS17" s="107">
        <f>$H$30*H42</f>
        <v>3.7790717195281681E-2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0.55977379617874068</v>
      </c>
      <c r="AC18" s="159">
        <f>SUM(AC4:AC16)</f>
        <v>0.3414429002398342</v>
      </c>
      <c r="AD18" s="159">
        <f>SUM(AD3:AD17)</f>
        <v>5.4577770437780372E-2</v>
      </c>
      <c r="AE18" s="159">
        <f>IF((1-AB18-AC18-AD18)&lt;0,(1-AB18-AC18-AD18)-1,1-AB18-AC18-AD18)</f>
        <v>4.4205533143644747E-2</v>
      </c>
      <c r="AF18" s="197"/>
      <c r="AG18" s="157"/>
      <c r="AH18" s="160">
        <f>PRODUCT(AH3:AH17)</f>
        <v>0.75362418845010304</v>
      </c>
      <c r="AI18" s="159">
        <f>SUM(AI3:AI17)</f>
        <v>0.21865055564575986</v>
      </c>
      <c r="AJ18" s="159">
        <f>SUM(AJ3:AJ17)</f>
        <v>2.602803309949547E-2</v>
      </c>
      <c r="AK18" s="159">
        <f>IF((1-AH18-AI18-AJ18)&lt;0,(1-AH18-AI18-AJ18)-1,(1-AH18-AI18-AJ18))</f>
        <v>1.6972228046416328E-3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8.7440875143249947E-4</v>
      </c>
      <c r="BQ18" s="31">
        <f>BM8+1</f>
        <v>5</v>
      </c>
      <c r="BR18" s="31">
        <v>4</v>
      </c>
      <c r="BS18" s="107">
        <f>$H$30*H43</f>
        <v>2.0387647442166174E-2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1.872102307866837E-4</v>
      </c>
      <c r="BQ19" s="31">
        <f>BQ15+1</f>
        <v>6</v>
      </c>
      <c r="BR19" s="31">
        <v>1</v>
      </c>
      <c r="BS19" s="107">
        <f>$H$31*H40</f>
        <v>2.0012124909175928E-2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3.0164123988585171E-5</v>
      </c>
      <c r="BQ20" s="31">
        <f>BQ16+1</f>
        <v>6</v>
      </c>
      <c r="BR20" s="31">
        <v>2</v>
      </c>
      <c r="BS20" s="107">
        <f>$H$31*H41</f>
        <v>2.6204637603036339E-2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3.6319936472343402E-6</v>
      </c>
      <c r="BQ21" s="31">
        <f>BQ17+1</f>
        <v>6</v>
      </c>
      <c r="BR21" s="31">
        <v>3</v>
      </c>
      <c r="BS21" s="107">
        <f>$H$31*H42</f>
        <v>2.0846997825856247E-2</v>
      </c>
    </row>
    <row r="22" spans="1:71" x14ac:dyDescent="0.25">
      <c r="A22" s="26" t="s">
        <v>81</v>
      </c>
      <c r="B22" s="169">
        <f>(B6)/((B6)+(C6))</f>
        <v>0.5</v>
      </c>
      <c r="C22" s="170">
        <f>1-B22</f>
        <v>0.5</v>
      </c>
      <c r="V22" s="171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2"/>
        <v>3.1988483851874744E-7</v>
      </c>
      <c r="BQ22" s="31">
        <f>BQ18+1</f>
        <v>6</v>
      </c>
      <c r="BR22" s="31">
        <v>4</v>
      </c>
      <c r="BS22" s="107">
        <f>$H$31*H43</f>
        <v>1.124671013002705E-2</v>
      </c>
    </row>
    <row r="23" spans="1:71" ht="15.75" thickBot="1" x14ac:dyDescent="0.3">
      <c r="A23" s="40" t="s">
        <v>82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29">
        <f>SUM(H25:H35)</f>
        <v>0.99987299609403402</v>
      </c>
      <c r="I23" s="81"/>
      <c r="J23" s="229">
        <f>SUM(J25:J35)</f>
        <v>1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</v>
      </c>
      <c r="V23" s="171">
        <f>SUM(V25:V34)</f>
        <v>0.99892492675781253</v>
      </c>
      <c r="Y23" s="168">
        <f>SUM(Y25:Y35)</f>
        <v>9.6682128906250004E-4</v>
      </c>
      <c r="Z23" s="81"/>
      <c r="AA23" s="168">
        <f>SUM(AA25:AA35)</f>
        <v>9.6779296874999997E-3</v>
      </c>
      <c r="AB23" s="81"/>
      <c r="AC23" s="168">
        <f>SUM(AC25:AC35)</f>
        <v>4.3604150390624999E-2</v>
      </c>
      <c r="AD23" s="81"/>
      <c r="AE23" s="168">
        <f>SUM(AE25:AE35)</f>
        <v>0.1164560546875</v>
      </c>
      <c r="AF23" s="81"/>
      <c r="AG23" s="168">
        <f>SUM(AG25:AG35)</f>
        <v>0.20419958496093749</v>
      </c>
      <c r="AH23" s="81"/>
      <c r="AI23" s="168">
        <f>SUM(AI25:AI35)</f>
        <v>0.24568242187500003</v>
      </c>
      <c r="AJ23" s="81"/>
      <c r="AK23" s="168">
        <f>SUM(AK25:AK35)</f>
        <v>0.20548623046875003</v>
      </c>
      <c r="AL23" s="81"/>
      <c r="AM23" s="168">
        <f>SUM(AM25:AM35)</f>
        <v>0.11806523437500002</v>
      </c>
      <c r="AN23" s="81"/>
      <c r="AO23" s="168">
        <f>SUM(AO25:AO35)</f>
        <v>4.4678100585937512E-2</v>
      </c>
      <c r="AP23" s="81"/>
      <c r="AQ23" s="168">
        <f>SUM(AQ25:AQ35)</f>
        <v>1.0108398437500003E-2</v>
      </c>
      <c r="AR23" s="81"/>
      <c r="AS23" s="168">
        <f>SUM(AS25:AS35)</f>
        <v>1.0750732421874745E-3</v>
      </c>
      <c r="BI23" s="31">
        <f t="shared" ref="BI23:BI30" si="15">BI15+1</f>
        <v>2</v>
      </c>
      <c r="BJ23" s="31">
        <v>3</v>
      </c>
      <c r="BK23" s="107">
        <f t="shared" ref="BK23:BK30" si="16">$H$27*H42</f>
        <v>3.5408524148489384E-2</v>
      </c>
      <c r="BQ23" s="31">
        <f>BM9+1</f>
        <v>6</v>
      </c>
      <c r="BR23" s="31">
        <v>5</v>
      </c>
      <c r="BS23" s="107">
        <f>$H$31*H44</f>
        <v>4.3488551466748645E-3</v>
      </c>
    </row>
    <row r="24" spans="1:71" ht="15.75" thickBot="1" x14ac:dyDescent="0.3">
      <c r="A24" s="26" t="s">
        <v>83</v>
      </c>
      <c r="B24" s="64">
        <f>B23/B21</f>
        <v>0.5</v>
      </c>
      <c r="C24" s="65">
        <f>C23/B21</f>
        <v>0.5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1.9102482312163167E-2</v>
      </c>
      <c r="BQ24" s="31">
        <f>BI49+1</f>
        <v>7</v>
      </c>
      <c r="BR24" s="31">
        <v>0</v>
      </c>
      <c r="BS24" s="107">
        <f t="shared" ref="BS24:BS30" si="17">$H$32*H39</f>
        <v>3.0234338955730084E-3</v>
      </c>
    </row>
    <row r="25" spans="1:71" x14ac:dyDescent="0.25">
      <c r="A25" s="26" t="s">
        <v>108</v>
      </c>
      <c r="B25" s="172">
        <f>1/(1+EXP(-3.1416*4*((B11/(B11+C8))-(3.1416/6))))</f>
        <v>0.62456532072955206</v>
      </c>
      <c r="C25" s="170">
        <f>1/(1+EXP(-3.1416*4*((C11/(C11+B8))-(3.1416/6))))</f>
        <v>0.3003599256256817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1.2189096192984578E-2</v>
      </c>
      <c r="I25" s="97">
        <v>0</v>
      </c>
      <c r="J25" s="98">
        <f t="shared" ref="J25:J35" si="18">Y25+AA25+AC25+AE25+AG25+AI25+AK25+AM25+AO25+AQ25+AS25</f>
        <v>2.1775038910704016E-2</v>
      </c>
      <c r="K25" s="97">
        <v>0</v>
      </c>
      <c r="L25" s="98">
        <f>AB18</f>
        <v>0.55977379617874068</v>
      </c>
      <c r="M25" s="85">
        <v>0</v>
      </c>
      <c r="N25" s="173">
        <f>(1-$B$24)^$B$21</f>
        <v>3.125E-2</v>
      </c>
      <c r="O25" s="72">
        <v>0</v>
      </c>
      <c r="P25" s="173">
        <f t="shared" ref="P25:P30" si="19">N25</f>
        <v>3.125E-2</v>
      </c>
      <c r="Q25" s="28">
        <v>0</v>
      </c>
      <c r="R25" s="174">
        <f>P25*N25</f>
        <v>9.765625E-4</v>
      </c>
      <c r="S25" s="72">
        <v>0</v>
      </c>
      <c r="T25" s="175">
        <f>(1-$B$33)^(INT(C23*2*(1-C31)))</f>
        <v>0.99002500000000004</v>
      </c>
      <c r="U25" s="138">
        <v>0</v>
      </c>
      <c r="V25" s="86">
        <f>R25*T25</f>
        <v>9.6682128906250004E-4</v>
      </c>
      <c r="W25" s="134">
        <f>B31</f>
        <v>0.63509587402337886</v>
      </c>
      <c r="X25" s="28">
        <v>0</v>
      </c>
      <c r="Y25" s="176">
        <f>V25</f>
        <v>9.6682128906250004E-4</v>
      </c>
      <c r="Z25" s="28">
        <v>0</v>
      </c>
      <c r="AA25" s="176">
        <f>((1-W25)^Z26)*V26</f>
        <v>3.5315164738803817E-3</v>
      </c>
      <c r="AB25" s="28">
        <v>0</v>
      </c>
      <c r="AC25" s="176">
        <f>(((1-$W$25)^AB27))*V27</f>
        <v>5.8061115676990866E-3</v>
      </c>
      <c r="AD25" s="28">
        <v>0</v>
      </c>
      <c r="AE25" s="176">
        <f>(((1-$W$25)^AB28))*V28</f>
        <v>5.6584618847865514E-3</v>
      </c>
      <c r="AF25" s="28">
        <v>0</v>
      </c>
      <c r="AG25" s="176">
        <f>(((1-$W$25)^AB29))*V29</f>
        <v>3.6205116635613108E-3</v>
      </c>
      <c r="AH25" s="28">
        <v>0</v>
      </c>
      <c r="AI25" s="176">
        <f>(((1-$W$25)^AB30))*V30</f>
        <v>1.5895271651962944E-3</v>
      </c>
      <c r="AJ25" s="28">
        <v>0</v>
      </c>
      <c r="AK25" s="176">
        <f>(((1-$W$25)^AB31))*V31</f>
        <v>4.8512691392111744E-4</v>
      </c>
      <c r="AL25" s="28">
        <v>0</v>
      </c>
      <c r="AM25" s="176">
        <f>(((1-$W$25)^AB32))*V32</f>
        <v>1.0171229445280275E-4</v>
      </c>
      <c r="AN25" s="28">
        <v>0</v>
      </c>
      <c r="AO25" s="176">
        <f>(((1-$W$25)^AB33))*V33</f>
        <v>1.4045101862232713E-5</v>
      </c>
      <c r="AP25" s="28">
        <v>0</v>
      </c>
      <c r="AQ25" s="176">
        <f>(((1-$W$25)^AB34))*V34</f>
        <v>1.1595549058401693E-6</v>
      </c>
      <c r="AR25" s="28">
        <v>0</v>
      </c>
      <c r="AS25" s="176">
        <f>(((1-$W$25)^AB35))*V35</f>
        <v>4.5001375901314648E-8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7.3865092597808924E-3</v>
      </c>
      <c r="BQ25" s="31">
        <f>BQ19+1</f>
        <v>7</v>
      </c>
      <c r="BR25" s="31">
        <v>1</v>
      </c>
      <c r="BS25" s="107">
        <f t="shared" si="17"/>
        <v>8.6292985009803376E-3</v>
      </c>
    </row>
    <row r="26" spans="1:71" x14ac:dyDescent="0.25">
      <c r="A26" s="40" t="s">
        <v>109</v>
      </c>
      <c r="B26" s="169">
        <f>1/(1+EXP(-3.1416*4*((B10/(B10+C9))-(3.1416/6))))</f>
        <v>0.5705836835147684</v>
      </c>
      <c r="C26" s="170">
        <f>1/(1+EXP(-3.1416*4*((C10/(C10+B9))-(3.1416/6))))</f>
        <v>0.42639691249266598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6.4228992234881141E-2</v>
      </c>
      <c r="I26" s="138">
        <v>1</v>
      </c>
      <c r="J26" s="86">
        <f t="shared" si="18"/>
        <v>0.1014589467818538</v>
      </c>
      <c r="K26" s="138">
        <v>1</v>
      </c>
      <c r="L26" s="86">
        <f>AC18</f>
        <v>0.3414429002398342</v>
      </c>
      <c r="M26" s="85">
        <v>1</v>
      </c>
      <c r="N26" s="173">
        <f>(($B$24)^M26)*((1-($B$24))^($B$21-M26))*HLOOKUP($B$21,$AV$24:$BF$34,M26+1)</f>
        <v>0.15625</v>
      </c>
      <c r="O26" s="72">
        <v>1</v>
      </c>
      <c r="P26" s="173">
        <f t="shared" si="19"/>
        <v>0.15625</v>
      </c>
      <c r="Q26" s="28">
        <v>1</v>
      </c>
      <c r="R26" s="174">
        <f>N26*P25+P26*N25</f>
        <v>9.765625E-3</v>
      </c>
      <c r="S26" s="72">
        <v>1</v>
      </c>
      <c r="T26" s="175">
        <f t="shared" ref="T26:T35" si="20">(($B$33)^S26)*((1-($B$33))^(INT($C$23*2*(1-$C$31))-S26))*HLOOKUP(INT($C$23*2*(1-$C$31)),$AV$24:$BF$34,S26+1)</f>
        <v>9.9500000000000005E-3</v>
      </c>
      <c r="U26" s="138">
        <v>1</v>
      </c>
      <c r="V26" s="86">
        <f>R26*T25+T26*R25</f>
        <v>9.6779296874999997E-3</v>
      </c>
      <c r="W26" s="177"/>
      <c r="X26" s="28">
        <v>1</v>
      </c>
      <c r="Y26" s="174"/>
      <c r="Z26" s="28">
        <v>1</v>
      </c>
      <c r="AA26" s="176">
        <f>(1-((1-W25)^Z26))*V26</f>
        <v>6.1464132136196184E-3</v>
      </c>
      <c r="AB26" s="28">
        <v>1</v>
      </c>
      <c r="AC26" s="176">
        <f>((($W$25)^M26)*((1-($W$25))^($U$27-M26))*HLOOKUP($U$27,$AV$24:$BF$34,M26+1))*V27</f>
        <v>2.0210445639090142E-2</v>
      </c>
      <c r="AD26" s="28">
        <v>1</v>
      </c>
      <c r="AE26" s="176">
        <f>((($W$25)^M26)*((1-($W$25))^($U$28-M26))*HLOOKUP($U$28,$AV$24:$BF$34,M26+1))*V28</f>
        <v>2.9544739622182827E-2</v>
      </c>
      <c r="AF26" s="28">
        <v>1</v>
      </c>
      <c r="AG26" s="176">
        <f>((($W$25)^M26)*((1-($W$25))^($U$29-M26))*HLOOKUP($U$29,$AV$24:$BF$34,M26+1))*V29</f>
        <v>2.5205218090941783E-2</v>
      </c>
      <c r="AH26" s="28">
        <v>1</v>
      </c>
      <c r="AI26" s="176">
        <f>((($W$25)^M26)*((1-($W$25))^($U$30-M26))*HLOOKUP($U$30,$AV$24:$BF$34,M26+1))*V30</f>
        <v>1.383242984115945E-2</v>
      </c>
      <c r="AJ26" s="28">
        <v>1</v>
      </c>
      <c r="AK26" s="176">
        <f>((($W$25)^M26)*((1-($W$25))^($U$31-M26))*HLOOKUP($U$31,$AV$24:$BF$34,M26+1))*V31</f>
        <v>5.0660227628459798E-3</v>
      </c>
      <c r="AL26" s="28">
        <v>1</v>
      </c>
      <c r="AM26" s="176">
        <f>((($W$25)^Q26)*((1-($W$25))^($U$32-Q26))*HLOOKUP($U$32,$AV$24:$BF$34,Q26+1))*V32</f>
        <v>1.2391731899462071E-3</v>
      </c>
      <c r="AN26" s="28">
        <v>1</v>
      </c>
      <c r="AO26" s="176">
        <f>((($W$25)^Q26)*((1-($W$25))^($U$33-Q26))*HLOOKUP($U$33,$AV$24:$BF$34,Q26+1))*V33</f>
        <v>1.9555791470581639E-4</v>
      </c>
      <c r="AP26" s="28">
        <v>1</v>
      </c>
      <c r="AQ26" s="176">
        <f>((($W$25)^Q26)*((1-($W$25))^($U$34-Q26))*HLOOKUP($U$34,$AV$24:$BF$34,Q26+1))*V34</f>
        <v>1.8163282779785745E-5</v>
      </c>
      <c r="AR26" s="28">
        <v>1</v>
      </c>
      <c r="AS26" s="176">
        <f>((($W$25)^Q26)*((1-($W$25))^($U$35-Q26))*HLOOKUP($U$35,$AV$24:$BF$34,Q26+1))*V35</f>
        <v>7.8322458217781667E-7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2.1094657551101481E-3</v>
      </c>
      <c r="BQ26" s="31">
        <f>BQ20+1</f>
        <v>7</v>
      </c>
      <c r="BR26" s="31">
        <v>2</v>
      </c>
      <c r="BS26" s="107">
        <f t="shared" si="17"/>
        <v>1.1299531709545287E-2</v>
      </c>
    </row>
    <row r="27" spans="1:71" x14ac:dyDescent="0.25">
      <c r="A27" s="26" t="s">
        <v>110</v>
      </c>
      <c r="B27" s="169">
        <f>1/(1+EXP(-3.1416*4*((B12/(B12+C7))-(3.1416/6))))</f>
        <v>0.62578314549352365</v>
      </c>
      <c r="C27" s="170">
        <f>1/(1+EXP(-3.1416*4*((C12/(C12+B7))-(3.1416/6))))</f>
        <v>0.42639691249266598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0.15494911205171821</v>
      </c>
      <c r="I27" s="138">
        <v>2</v>
      </c>
      <c r="J27" s="86">
        <f t="shared" si="18"/>
        <v>0.21279710258939205</v>
      </c>
      <c r="K27" s="138">
        <v>2</v>
      </c>
      <c r="L27" s="86">
        <f>AD18</f>
        <v>5.4577770437780372E-2</v>
      </c>
      <c r="M27" s="85">
        <v>2</v>
      </c>
      <c r="N27" s="173">
        <f>(($B$24)^M27)*((1-($B$24))^($B$21-M27))*HLOOKUP($B$21,$AV$24:$BF$34,M27+1)</f>
        <v>0.3125</v>
      </c>
      <c r="O27" s="72">
        <v>2</v>
      </c>
      <c r="P27" s="173">
        <f t="shared" si="19"/>
        <v>0.3125</v>
      </c>
      <c r="Q27" s="28">
        <v>2</v>
      </c>
      <c r="R27" s="174">
        <f>P25*N27+P26*N26+P27*N25</f>
        <v>4.39453125E-2</v>
      </c>
      <c r="S27" s="72">
        <v>2</v>
      </c>
      <c r="T27" s="175">
        <f t="shared" si="20"/>
        <v>2.5000000000000001E-5</v>
      </c>
      <c r="U27" s="138">
        <v>2</v>
      </c>
      <c r="V27" s="86">
        <f>R27*T25+T26*R26+R25*T27</f>
        <v>4.3604150390624999E-2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1.7587593183835768E-2</v>
      </c>
      <c r="AD27" s="28">
        <v>2</v>
      </c>
      <c r="AE27" s="176">
        <f>((($W$25)^M27)*((1-($W$25))^($U$28-M27))*HLOOKUP($U$28,$AV$24:$BF$34,M27+1))*V28</f>
        <v>5.1421019652558048E-2</v>
      </c>
      <c r="AF27" s="28">
        <v>2</v>
      </c>
      <c r="AG27" s="176">
        <f>((($W$25)^M27)*((1-($W$25))^($U$29-M27))*HLOOKUP($U$29,$AV$24:$BF$34,M27+1))*V29</f>
        <v>6.5802476077410035E-2</v>
      </c>
      <c r="AH27" s="28">
        <v>2</v>
      </c>
      <c r="AI27" s="176">
        <f>((($W$25)^M27)*((1-($W$25))^($U$30-M27))*HLOOKUP($U$30,$AV$24:$BF$34,M27+1))*V30</f>
        <v>4.8149190400774276E-2</v>
      </c>
      <c r="AJ27" s="28">
        <v>2</v>
      </c>
      <c r="AK27" s="176">
        <f>((($W$25)^M27)*((1-($W$25))^($U$31-M27))*HLOOKUP($U$31,$AV$24:$BF$34,M27+1))*V31</f>
        <v>2.2042845814506728E-2</v>
      </c>
      <c r="AL27" s="28">
        <v>2</v>
      </c>
      <c r="AM27" s="176">
        <f>((($W$25)^Q27)*((1-($W$25))^($U$32-Q27))*HLOOKUP($U$32,$AV$24:$BF$34,Q27+1))*V32</f>
        <v>6.4701415312496046E-3</v>
      </c>
      <c r="AN27" s="28">
        <v>2</v>
      </c>
      <c r="AO27" s="176">
        <f>((($W$25)^Q27)*((1-($W$25))^($U$33-Q27))*HLOOKUP($U$33,$AV$24:$BF$34,Q27+1))*V33</f>
        <v>1.1912528681460555E-3</v>
      </c>
      <c r="AP27" s="28">
        <v>2</v>
      </c>
      <c r="AQ27" s="176">
        <f>((($W$25)^Q27)*((1-($W$25))^($U$34-Q27))*HLOOKUP($U$34,$AV$24:$BF$34,Q27+1))*V34</f>
        <v>1.2644884100763358E-4</v>
      </c>
      <c r="AR27" s="28">
        <v>2</v>
      </c>
      <c r="AS27" s="176">
        <f>((($W$25)^Q27)*((1-($W$25))^($U$35-Q27))*HLOOKUP($U$35,$AV$24:$BF$34,Q27+1))*V35</f>
        <v>6.1342199039154837E-6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4.516349707202838E-4</v>
      </c>
      <c r="BQ27" s="31">
        <f>BQ21+1</f>
        <v>7</v>
      </c>
      <c r="BR27" s="31">
        <v>3</v>
      </c>
      <c r="BS27" s="107">
        <f t="shared" si="17"/>
        <v>8.9892986329560901E-3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0.22727007477373598</v>
      </c>
      <c r="I28" s="138">
        <v>3</v>
      </c>
      <c r="J28" s="86">
        <f t="shared" si="18"/>
        <v>0.26459265439623519</v>
      </c>
      <c r="K28" s="138">
        <v>3</v>
      </c>
      <c r="L28" s="86">
        <f>AE18</f>
        <v>4.4205533143644747E-2</v>
      </c>
      <c r="M28" s="85">
        <v>3</v>
      </c>
      <c r="N28" s="173">
        <f>(($B$24)^M28)*((1-($B$24))^($B$21-M28))*HLOOKUP($B$21,$AV$24:$BF$34,M28+1)</f>
        <v>0.3125</v>
      </c>
      <c r="O28" s="72">
        <v>3</v>
      </c>
      <c r="P28" s="173">
        <f t="shared" si="19"/>
        <v>0.3125</v>
      </c>
      <c r="Q28" s="28">
        <v>3</v>
      </c>
      <c r="R28" s="174">
        <f>P25*N28+P26*N27+P27*N26+P28*N25</f>
        <v>0.1171875</v>
      </c>
      <c r="S28" s="72">
        <v>3</v>
      </c>
      <c r="T28" s="175">
        <f t="shared" si="20"/>
        <v>0</v>
      </c>
      <c r="U28" s="138">
        <v>3</v>
      </c>
      <c r="V28" s="86">
        <f>R28*T25+R27*T26+R26*T27+R25*T28</f>
        <v>0.1164560546875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2.9831833527972584E-2</v>
      </c>
      <c r="AF28" s="28">
        <v>3</v>
      </c>
      <c r="AG28" s="176">
        <f>((($W$25)^M28)*((1-($W$25))^($U$29-M28))*HLOOKUP($U$29,$AV$24:$BF$34,M28+1))*V29</f>
        <v>7.6350431217948059E-2</v>
      </c>
      <c r="AH28" s="28">
        <v>3</v>
      </c>
      <c r="AI28" s="176">
        <f>((($W$25)^M28)*((1-($W$25))^($U$30-M28))*HLOOKUP($U$30,$AV$24:$BF$34,M28+1))*V30</f>
        <v>8.3801058919944896E-2</v>
      </c>
      <c r="AJ28" s="28">
        <v>3</v>
      </c>
      <c r="AK28" s="176">
        <f>((($W$25)^M28)*((1-($W$25))^($U$31-M28))*HLOOKUP($U$31,$AV$24:$BF$34,M28+1))*V31</f>
        <v>5.1152506213549526E-2</v>
      </c>
      <c r="AL28" s="28">
        <v>3</v>
      </c>
      <c r="AM28" s="176">
        <f>((($W$25)^Q28)*((1-($W$25))^($U$32-Q28))*HLOOKUP($U$32,$AV$24:$BF$34,Q28+1))*V32</f>
        <v>1.8768218363505149E-2</v>
      </c>
      <c r="AN28" s="28">
        <v>3</v>
      </c>
      <c r="AO28" s="176">
        <f>((($W$25)^Q28)*((1-($W$25))^($U$33-Q28))*HLOOKUP($U$33,$AV$24:$BF$34,Q28+1))*V33</f>
        <v>4.1466222364750539E-3</v>
      </c>
      <c r="AP28" s="28">
        <v>3</v>
      </c>
      <c r="AQ28" s="176">
        <f>((($W$25)^Q28)*((1-($W$25))^($U$34-Q28))*HLOOKUP($U$34,$AV$24:$BF$34,Q28+1))*V34</f>
        <v>5.1351384320322377E-4</v>
      </c>
      <c r="AR28" s="28">
        <v>3</v>
      </c>
      <c r="AS28" s="176">
        <f>((($W$25)^Q28)*((1-($W$25))^($U$35-Q28))*HLOOKUP($U$35,$AV$24:$BF$34,Q28+1))*V35</f>
        <v>2.8470073636663749E-5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7.2769384435568429E-5</v>
      </c>
      <c r="BQ28" s="31">
        <f>BQ22+1</f>
        <v>7</v>
      </c>
      <c r="BR28" s="31">
        <v>4</v>
      </c>
      <c r="BS28" s="107">
        <f t="shared" si="17"/>
        <v>4.849620882663142E-3</v>
      </c>
    </row>
    <row r="29" spans="1:71" x14ac:dyDescent="0.25">
      <c r="A29" s="26" t="s">
        <v>112</v>
      </c>
      <c r="B29" s="169">
        <f>1/(1+EXP(-3.1416*4*((B14/(B14+C13))-(3.1416/6))))</f>
        <v>0.65608886743775341</v>
      </c>
      <c r="C29" s="170">
        <f>1/(1+EXP(-3.1416*4*((C14/(C14+B13))-(3.1416/6))))</f>
        <v>0.10073384919669445</v>
      </c>
      <c r="D29" s="167">
        <v>0.04</v>
      </c>
      <c r="E29" s="167">
        <v>0.04</v>
      </c>
      <c r="G29" s="87">
        <v>4</v>
      </c>
      <c r="H29" s="126">
        <f>J29*L25+J28*L26+J27*L27+J26*L28</f>
        <v>0.22737097505006607</v>
      </c>
      <c r="I29" s="138">
        <v>4</v>
      </c>
      <c r="J29" s="86">
        <f t="shared" si="18"/>
        <v>0.21603128679251835</v>
      </c>
      <c r="K29" s="138">
        <v>4</v>
      </c>
      <c r="L29" s="86"/>
      <c r="M29" s="85">
        <v>4</v>
      </c>
      <c r="N29" s="173">
        <f>(($B$24)^M29)*((1-($B$24))^($B$21-M29))*HLOOKUP($B$21,$AV$24:$BF$34,M29+1)</f>
        <v>0.15625</v>
      </c>
      <c r="O29" s="72">
        <v>4</v>
      </c>
      <c r="P29" s="173">
        <f t="shared" si="19"/>
        <v>0.15625</v>
      </c>
      <c r="Q29" s="28">
        <v>4</v>
      </c>
      <c r="R29" s="174">
        <f>P25*N29+P26*N28+P27*N27+P28*N26+P29*N25</f>
        <v>0.205078125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0.20419958496093749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3.3220947911076291E-2</v>
      </c>
      <c r="AH29" s="28">
        <v>4</v>
      </c>
      <c r="AI29" s="176">
        <f>((($W$25)^M29)*((1-($W$25))^($U$30-M29))*HLOOKUP($U$30,$AV$24:$BF$34,M29+1))*V30</f>
        <v>7.2925602877750018E-2</v>
      </c>
      <c r="AJ29" s="28">
        <v>4</v>
      </c>
      <c r="AK29" s="176">
        <f>((($W$25)^M29)*((1-($W$25))^($U$31-M29))*HLOOKUP($U$31,$AV$24:$BF$34,M29+1))*V31</f>
        <v>6.677112561121451E-2</v>
      </c>
      <c r="AL29" s="28">
        <v>4</v>
      </c>
      <c r="AM29" s="176">
        <f>((($W$25)^Q29)*((1-($W$25))^($U$32-Q29))*HLOOKUP($U$32,$AV$24:$BF$34,Q29+1))*V32</f>
        <v>3.2665067881955404E-2</v>
      </c>
      <c r="AN29" s="28">
        <v>4</v>
      </c>
      <c r="AO29" s="176">
        <f>((($W$25)^Q29)*((1-($W$25))^($U$33-Q29))*HLOOKUP($U$33,$AV$24:$BF$34,Q29+1))*V33</f>
        <v>9.0212143616856082E-3</v>
      </c>
      <c r="AP29" s="28">
        <v>4</v>
      </c>
      <c r="AQ29" s="176">
        <f>((($W$25)^Q29)*((1-($W$25))^($U$34-Q29))*HLOOKUP($U$34,$AV$24:$BF$34,Q29+1))*V34</f>
        <v>1.340614560877083E-3</v>
      </c>
      <c r="AR29" s="28">
        <v>4</v>
      </c>
      <c r="AS29" s="176">
        <f>((($W$25)^Q29)*((1-($W$25))^($U$35-Q29))*HLOOKUP($U$35,$AV$24:$BF$34,Q29+1))*V35</f>
        <v>8.6713587959414806E-5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8.7619962735584391E-6</v>
      </c>
      <c r="BQ29" s="31">
        <f>BQ23+1</f>
        <v>7</v>
      </c>
      <c r="BR29" s="31">
        <v>5</v>
      </c>
      <c r="BS29" s="107">
        <f t="shared" si="17"/>
        <v>1.8752416032030142E-3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0.16537368371102559</v>
      </c>
      <c r="I30" s="138">
        <v>5</v>
      </c>
      <c r="J30" s="86">
        <f t="shared" si="18"/>
        <v>0.12105541300089652</v>
      </c>
      <c r="K30" s="138">
        <v>5</v>
      </c>
      <c r="L30" s="86"/>
      <c r="M30" s="85">
        <v>5</v>
      </c>
      <c r="N30" s="173">
        <f>(($B$24)^M30)*((1-($B$24))^($B$21-M30))*HLOOKUP($B$21,$AV$24:$BF$34,M30+1)</f>
        <v>3.125E-2</v>
      </c>
      <c r="O30" s="72">
        <v>5</v>
      </c>
      <c r="P30" s="173">
        <f t="shared" si="19"/>
        <v>3.125E-2</v>
      </c>
      <c r="Q30" s="28">
        <v>5</v>
      </c>
      <c r="R30" s="174">
        <f>P25*N30+P26*N29+P27*N28+P28*N27+P29*N26+P30*N25</f>
        <v>0.24609375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0.245682421875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2.5384612670175073E-2</v>
      </c>
      <c r="AJ30" s="28">
        <v>5</v>
      </c>
      <c r="AK30" s="176">
        <f>((($W$25)^M30)*((1-($W$25))^($U$31-M30))*HLOOKUP($U$31,$AV$24:$BF$34,M30+1))*V31</f>
        <v>4.6484611557717478E-2</v>
      </c>
      <c r="AL30" s="28">
        <v>5</v>
      </c>
      <c r="AM30" s="176">
        <f>((($W$25)^Q30)*((1-($W$25))^($U$32-Q30))*HLOOKUP($U$32,$AV$24:$BF$34,Q30+1))*V32</f>
        <v>3.411106922565068E-2</v>
      </c>
      <c r="AN30" s="28">
        <v>5</v>
      </c>
      <c r="AO30" s="176">
        <f>((($W$25)^Q30)*((1-($W$25))^($U$33-Q30))*HLOOKUP($U$33,$AV$24:$BF$34,Q30+1))*V33</f>
        <v>1.2560748124079143E-2</v>
      </c>
      <c r="AP30" s="28">
        <v>5</v>
      </c>
      <c r="AQ30" s="176">
        <f>((($W$25)^Q30)*((1-($W$25))^($U$34-Q30))*HLOOKUP($U$34,$AV$24:$BF$34,Q30+1))*V34</f>
        <v>2.3332670574496279E-3</v>
      </c>
      <c r="AR30" s="28">
        <v>5</v>
      </c>
      <c r="AS30" s="176">
        <f>((($W$25)^Q30)*((1-($W$25))^($U$35-Q30))*HLOOKUP($U$35,$AV$24:$BF$34,Q30+1))*V35</f>
        <v>1.8110436582451585E-4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7.7170557971745996E-7</v>
      </c>
      <c r="BQ30" s="31">
        <f>BM10+1</f>
        <v>7</v>
      </c>
      <c r="BR30" s="31">
        <v>6</v>
      </c>
      <c r="BS30" s="107">
        <f t="shared" si="17"/>
        <v>5.3553820964572256E-4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0.63509587402337886</v>
      </c>
      <c r="C31" s="61">
        <f>(C25*E25)+(C26*E26)+(C27*E27)+(C28*E28)+(C29*E29)+(C30*E30)/(C25+C26+C27+C28+C29+C30)</f>
        <v>0.40789204755725933</v>
      </c>
      <c r="G31" s="87">
        <v>6</v>
      </c>
      <c r="H31" s="126">
        <f>J31*L25+J30*L26+J29*L27+J28*L28</f>
        <v>9.1227292855083172E-2</v>
      </c>
      <c r="I31" s="138">
        <v>6</v>
      </c>
      <c r="J31" s="86">
        <f t="shared" si="18"/>
        <v>4.7174084244693978E-2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0.205078125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0.20548623046875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1.3483991594994684E-2</v>
      </c>
      <c r="AL31" s="28">
        <v>6</v>
      </c>
      <c r="AM31" s="176">
        <f>((($W$25)^Q31)*((1-($W$25))^($U$32-Q31))*HLOOKUP($U$32,$AV$24:$BF$34,Q31+1))*V32</f>
        <v>1.9789489696557139E-2</v>
      </c>
      <c r="AN31" s="28">
        <v>6</v>
      </c>
      <c r="AO31" s="176">
        <f>((($W$25)^Q31)*((1-($W$25))^($U$33-Q31))*HLOOKUP($U$33,$AV$24:$BF$34,Q31+1))*V33</f>
        <v>1.0930651012645237E-2</v>
      </c>
      <c r="AP31" s="28">
        <v>6</v>
      </c>
      <c r="AQ31" s="176">
        <f>((($W$25)^Q31)*((1-($W$25))^($U$34-Q31))*HLOOKUP($U$34,$AV$24:$BF$34,Q31+1))*V34</f>
        <v>2.7072833212741271E-3</v>
      </c>
      <c r="AR31" s="28">
        <v>6</v>
      </c>
      <c r="AS31" s="176">
        <f>((($W$25)^Q31)*((1-($W$25))^($U$35-Q31))*HLOOKUP($U$35,$AV$24:$BF$34,Q31+1))*V35</f>
        <v>2.6266861922278299E-4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2.801837665258922E-2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1.0368123342970317E-3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3.9337528875901889E-2</v>
      </c>
      <c r="I32" s="138">
        <v>7</v>
      </c>
      <c r="J32" s="86">
        <f t="shared" si="18"/>
        <v>1.2636461431631831E-2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0.1171875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0.11806523437500001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4.9203621916830489E-3</v>
      </c>
      <c r="AN32" s="28">
        <v>7</v>
      </c>
      <c r="AO32" s="176">
        <f>((($W$25)^Q32)*((1-($W$25))^($U$33-Q32))*HLOOKUP($U$33,$AV$24:$BF$34,Q32+1))*V33</f>
        <v>5.4354875034962093E-3</v>
      </c>
      <c r="AP32" s="28">
        <v>7</v>
      </c>
      <c r="AQ32" s="176">
        <f>((($W$25)^Q32)*((1-($W$25))^($U$34-Q32))*HLOOKUP($U$34,$AV$24:$BF$34,Q32+1))*V34</f>
        <v>2.0193771593547669E-3</v>
      </c>
      <c r="AR32" s="28">
        <v>7</v>
      </c>
      <c r="AS32" s="176">
        <f>((($W$25)^Q32)*((1-($W$25))^($U$35-Q32))*HLOOKUP($U$35,$AV$24:$BF$34,Q32+1))*V35</f>
        <v>2.612345770978059E-4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1.0834089266848956E-2</v>
      </c>
      <c r="BQ32" s="31">
        <f t="shared" si="24"/>
        <v>8</v>
      </c>
      <c r="BR32" s="31">
        <v>1</v>
      </c>
      <c r="BS32" s="107">
        <f t="shared" si="25"/>
        <v>2.9592058008106876E-3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1.3489838557085746E-2</v>
      </c>
      <c r="I33" s="138">
        <v>8</v>
      </c>
      <c r="J33" s="86">
        <f t="shared" si="18"/>
        <v>2.2316748541646994E-3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4.39453125E-2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4.4678100585937498E-2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1.1825214628421493E-3</v>
      </c>
      <c r="AP33" s="28">
        <v>8</v>
      </c>
      <c r="AQ33" s="176">
        <f>((($W$25)^Q33)*((1-($W$25))^($U$34-Q33))*HLOOKUP($U$34,$AV$24:$BF$34,Q33+1))*V34</f>
        <v>8.7865415235496088E-4</v>
      </c>
      <c r="AR33" s="28">
        <v>8</v>
      </c>
      <c r="AS33" s="176">
        <f>((($W$25)^Q33)*((1-($W$25))^($U$35-Q33))*HLOOKUP($U$35,$AV$24:$BF$34,Q33+1))*V35</f>
        <v>1.7049923896758881E-4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3.094037994464277E-3</v>
      </c>
      <c r="BQ33" s="31">
        <f t="shared" si="24"/>
        <v>8</v>
      </c>
      <c r="BR33" s="31">
        <v>2</v>
      </c>
      <c r="BS33" s="107">
        <f t="shared" si="25"/>
        <v>3.8748966416600385E-3</v>
      </c>
    </row>
    <row r="34" spans="1:71" x14ac:dyDescent="0.25">
      <c r="A34" s="40" t="s">
        <v>117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3.669043178529687E-3</v>
      </c>
      <c r="I34" s="138">
        <v>9</v>
      </c>
      <c r="J34" s="86">
        <f t="shared" si="18"/>
        <v>2.358599296203006E-4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9.765625E-3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1.0108398437499999E-2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1.699166642929525E-4</v>
      </c>
      <c r="AR34" s="28">
        <v>9</v>
      </c>
      <c r="AS34" s="176">
        <f>((($W$25)^Q34)*((1-($W$25))^($U$35-Q34))*HLOOKUP($U$35,$AV$24:$BF$34,Q34+1))*V35</f>
        <v>6.5943265327348107E-5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6.6243111823559981E-4</v>
      </c>
      <c r="BQ34" s="31">
        <f t="shared" si="24"/>
        <v>8</v>
      </c>
      <c r="BR34" s="31">
        <v>3</v>
      </c>
      <c r="BS34" s="107">
        <f t="shared" si="25"/>
        <v>3.0826589967702699E-3</v>
      </c>
    </row>
    <row r="35" spans="1:71" ht="15.75" thickBot="1" x14ac:dyDescent="0.3">
      <c r="G35" s="88">
        <v>10</v>
      </c>
      <c r="H35" s="127">
        <f>J35*L25+J34*L26+J33*L27+J32*L28</f>
        <v>7.6735861302201346E-4</v>
      </c>
      <c r="I35" s="94">
        <v>10</v>
      </c>
      <c r="J35" s="89">
        <f t="shared" si="18"/>
        <v>1.1477068289359636E-5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9.765625E-4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1.0750732421874742E-3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1.1477068289359636E-5</v>
      </c>
      <c r="BI35" s="31">
        <f t="shared" si="22"/>
        <v>3</v>
      </c>
      <c r="BJ35" s="31">
        <v>8</v>
      </c>
      <c r="BK35" s="107">
        <f t="shared" si="23"/>
        <v>1.0673377357845262E-4</v>
      </c>
      <c r="BQ35" s="31">
        <f t="shared" si="24"/>
        <v>8</v>
      </c>
      <c r="BR35" s="31">
        <v>4</v>
      </c>
      <c r="BS35" s="107">
        <f t="shared" si="25"/>
        <v>1.6630582713159194E-3</v>
      </c>
    </row>
    <row r="36" spans="1:71" ht="15.75" x14ac:dyDescent="0.25">
      <c r="A36" s="285" t="s">
        <v>118</v>
      </c>
      <c r="B36" s="182">
        <f>SUM(BO4:BO14)</f>
        <v>0.14874745466750125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1.285157121516232E-5</v>
      </c>
      <c r="BQ36" s="31">
        <f t="shared" si="24"/>
        <v>8</v>
      </c>
      <c r="BR36" s="31">
        <v>5</v>
      </c>
      <c r="BS36" s="107">
        <f t="shared" si="25"/>
        <v>6.4306801178444213E-4</v>
      </c>
    </row>
    <row r="37" spans="1:71" ht="16.5" thickBot="1" x14ac:dyDescent="0.3">
      <c r="A37" s="110" t="s">
        <v>119</v>
      </c>
      <c r="B37" s="182">
        <f>SUM(BK4:BK59)</f>
        <v>0.18861237951912391</v>
      </c>
      <c r="G37" s="157"/>
      <c r="H37" s="229">
        <f>SUM(H39:H49)</f>
        <v>0.99999968155473362</v>
      </c>
      <c r="I37" s="230"/>
      <c r="J37" s="229">
        <f>SUM(J39:J49)</f>
        <v>0.99999999999999989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0.99897460937500004</v>
      </c>
      <c r="W37" s="157"/>
      <c r="X37" s="157"/>
      <c r="Y37" s="168">
        <f>SUM(Y39:Y49)</f>
        <v>9.716796875E-4</v>
      </c>
      <c r="Z37" s="81"/>
      <c r="AA37" s="168">
        <f>SUM(AA39:AA49)</f>
        <v>9.7216796875000001E-3</v>
      </c>
      <c r="AB37" s="81"/>
      <c r="AC37" s="168">
        <f>SUM(AC39:AC49)</f>
        <v>4.3774414062499989E-2</v>
      </c>
      <c r="AD37" s="81"/>
      <c r="AE37" s="168">
        <f>SUM(AE39:AE49)</f>
        <v>0.11682128906249999</v>
      </c>
      <c r="AF37" s="81"/>
      <c r="AG37" s="168">
        <f>SUM(AG39:AG49)</f>
        <v>0.20463867187499998</v>
      </c>
      <c r="AH37" s="81"/>
      <c r="AI37" s="168">
        <f>SUM(AI39:AI49)</f>
        <v>0.24588867187500002</v>
      </c>
      <c r="AJ37" s="81"/>
      <c r="AK37" s="168">
        <f>SUM(AK39:AK49)</f>
        <v>0.20528320312499995</v>
      </c>
      <c r="AL37" s="81"/>
      <c r="AM37" s="168">
        <f>SUM(AM39:AM49)</f>
        <v>0.11762695312499999</v>
      </c>
      <c r="AN37" s="81"/>
      <c r="AO37" s="168">
        <f>SUM(AO39:AO49)</f>
        <v>4.4311523437499993E-2</v>
      </c>
      <c r="AP37" s="81"/>
      <c r="AQ37" s="168">
        <f>SUM(AQ39:AQ49)</f>
        <v>9.9365234374999972E-3</v>
      </c>
      <c r="AR37" s="81"/>
      <c r="AS37" s="168">
        <f>SUM(AS39:AS49)</f>
        <v>1.0253906249999554E-3</v>
      </c>
      <c r="BI37" s="31">
        <f t="shared" si="22"/>
        <v>3</v>
      </c>
      <c r="BJ37" s="31">
        <v>10</v>
      </c>
      <c r="BK37" s="107">
        <f t="shared" si="23"/>
        <v>1.1318915125319143E-6</v>
      </c>
      <c r="BQ37" s="31">
        <f t="shared" si="24"/>
        <v>8</v>
      </c>
      <c r="BR37" s="31">
        <v>6</v>
      </c>
      <c r="BS37" s="107">
        <f t="shared" si="25"/>
        <v>1.8364966472759675E-4</v>
      </c>
    </row>
    <row r="38" spans="1:71" ht="16.5" thickBot="1" x14ac:dyDescent="0.3">
      <c r="A38" s="111" t="s">
        <v>120</v>
      </c>
      <c r="B38" s="182">
        <f>SUM(BS4:BS47)</f>
        <v>0.66174548895566421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1.0838899238429676E-2</v>
      </c>
      <c r="BQ38" s="31">
        <f>BM11+1</f>
        <v>8</v>
      </c>
      <c r="BR38" s="31">
        <v>7</v>
      </c>
      <c r="BS38" s="107">
        <f t="shared" si="25"/>
        <v>3.9319249791617099E-5</v>
      </c>
    </row>
    <row r="39" spans="1:71" x14ac:dyDescent="0.25">
      <c r="G39" s="128">
        <v>0</v>
      </c>
      <c r="H39" s="129">
        <f>L39*J39</f>
        <v>7.6858765203860063E-2</v>
      </c>
      <c r="I39" s="97">
        <v>0</v>
      </c>
      <c r="J39" s="98">
        <f t="shared" ref="J39:J49" si="29">Y39+AA39+AC39+AE39+AG39+AI39+AK39+AM39+AO39+AQ39+AS39</f>
        <v>0.10198553387986012</v>
      </c>
      <c r="K39" s="102">
        <v>0</v>
      </c>
      <c r="L39" s="98">
        <f>AH18</f>
        <v>0.75362418845010304</v>
      </c>
      <c r="M39" s="85">
        <v>0</v>
      </c>
      <c r="N39" s="173">
        <f>(1-$C$24)^$B$21</f>
        <v>3.125E-2</v>
      </c>
      <c r="O39" s="72">
        <v>0</v>
      </c>
      <c r="P39" s="173">
        <f t="shared" ref="P39:P44" si="30">N39</f>
        <v>3.125E-2</v>
      </c>
      <c r="Q39" s="28">
        <v>0</v>
      </c>
      <c r="R39" s="174">
        <f>P39*N39</f>
        <v>9.765625E-4</v>
      </c>
      <c r="S39" s="72">
        <v>0</v>
      </c>
      <c r="T39" s="175">
        <f>(1-$C$33)^(INT(B23*2*(1-B31)))</f>
        <v>0.995</v>
      </c>
      <c r="U39" s="138">
        <v>0</v>
      </c>
      <c r="V39" s="86">
        <f>R39*T39</f>
        <v>9.716796875E-4</v>
      </c>
      <c r="W39" s="134">
        <f>C31</f>
        <v>0.40789204755725933</v>
      </c>
      <c r="X39" s="28">
        <v>0</v>
      </c>
      <c r="Y39" s="176">
        <f>V39</f>
        <v>9.716796875E-4</v>
      </c>
      <c r="Z39" s="28">
        <v>0</v>
      </c>
      <c r="AA39" s="176">
        <f>((1-W39)^Z40)*V40</f>
        <v>5.7562838540698071E-3</v>
      </c>
      <c r="AB39" s="28">
        <v>0</v>
      </c>
      <c r="AC39" s="176">
        <f>(((1-$W$39)^AB41))*V41</f>
        <v>1.534695181716946E-2</v>
      </c>
      <c r="AD39" s="28">
        <v>0</v>
      </c>
      <c r="AE39" s="176">
        <f>(((1-$W$39)^AB42))*V42</f>
        <v>2.4250722173406129E-2</v>
      </c>
      <c r="AF39" s="28">
        <v>0</v>
      </c>
      <c r="AG39" s="176">
        <f>(((1-$W$39)^AB43))*V43</f>
        <v>2.5153086514784349E-2</v>
      </c>
      <c r="AH39" s="28">
        <v>0</v>
      </c>
      <c r="AI39" s="176">
        <f>(((1-$W$39)^AB44))*V44</f>
        <v>1.7895465147422913E-2</v>
      </c>
      <c r="AJ39" s="28">
        <v>0</v>
      </c>
      <c r="AK39" s="176">
        <f>(((1-$W$39)^AB45))*V45</f>
        <v>8.8462412624499224E-3</v>
      </c>
      <c r="AL39" s="28">
        <v>0</v>
      </c>
      <c r="AM39" s="176">
        <f>(((1-$W$39)^AB46))*V46</f>
        <v>3.0013255530049513E-3</v>
      </c>
      <c r="AN39" s="28">
        <v>0</v>
      </c>
      <c r="AO39" s="176">
        <f>(((1-$W$39)^AB47))*V47</f>
        <v>6.6945876732336365E-4</v>
      </c>
      <c r="AP39" s="28">
        <v>0</v>
      </c>
      <c r="AQ39" s="176">
        <f>(((1-$W$39)^AB48))*V48</f>
        <v>8.8887871628442916E-5</v>
      </c>
      <c r="AR39" s="28">
        <v>0</v>
      </c>
      <c r="AS39" s="176">
        <f>(((1-$W$39)^AB49))*V49</f>
        <v>5.4312311007620293E-6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3.0954116433660433E-3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2.8199812818143762E-4</v>
      </c>
    </row>
    <row r="40" spans="1:71" x14ac:dyDescent="0.25">
      <c r="G40" s="91">
        <v>1</v>
      </c>
      <c r="H40" s="130">
        <f>L39*J40+L40*J39</f>
        <v>0.21936554602103217</v>
      </c>
      <c r="I40" s="138">
        <v>1</v>
      </c>
      <c r="J40" s="86">
        <f t="shared" si="29"/>
        <v>0.26149154365076344</v>
      </c>
      <c r="K40" s="95">
        <v>1</v>
      </c>
      <c r="L40" s="86">
        <f>AI18</f>
        <v>0.21865055564575986</v>
      </c>
      <c r="M40" s="85">
        <v>1</v>
      </c>
      <c r="N40" s="173">
        <f>(($C$24)^M26)*((1-($C$24))^($B$21-M26))*HLOOKUP($B$21,$AV$24:$BF$34,M26+1)</f>
        <v>0.15625</v>
      </c>
      <c r="O40" s="72">
        <v>1</v>
      </c>
      <c r="P40" s="173">
        <f t="shared" si="30"/>
        <v>0.15625</v>
      </c>
      <c r="Q40" s="28">
        <v>1</v>
      </c>
      <c r="R40" s="174">
        <f>P40*N39+P39*N40</f>
        <v>9.765625E-3</v>
      </c>
      <c r="S40" s="72">
        <v>1</v>
      </c>
      <c r="T40" s="175">
        <f t="shared" ref="T40:T49" si="33">(($C$33)^S40)*((1-($C$33))^(INT($B$23*2*(1-$B$31))-S40))*HLOOKUP(INT($B$23*2*(1-$B$31)),$AV$24:$BF$34,S40+1)</f>
        <v>5.0000000000000001E-3</v>
      </c>
      <c r="U40" s="138">
        <v>1</v>
      </c>
      <c r="V40" s="86">
        <f>R40*T39+T40*R39</f>
        <v>9.7216796875000001E-3</v>
      </c>
      <c r="W40" s="177"/>
      <c r="X40" s="28">
        <v>1</v>
      </c>
      <c r="Y40" s="174"/>
      <c r="Z40" s="28">
        <v>1</v>
      </c>
      <c r="AA40" s="176">
        <f>(1-((1-W39)^Z40))*V40</f>
        <v>3.9653958334301929E-3</v>
      </c>
      <c r="AB40" s="28">
        <v>1</v>
      </c>
      <c r="AC40" s="176">
        <f>((($W$39)^M40)*((1-($W$39))^($U$27-M40))*HLOOKUP($U$27,$AV$24:$BF$34,M40+1))*V41</f>
        <v>2.1144453725516248E-2</v>
      </c>
      <c r="AD40" s="28">
        <v>1</v>
      </c>
      <c r="AE40" s="176">
        <f>((($W$39)^M40)*((1-($W$39))^($U$28-M40))*HLOOKUP($U$28,$AV$24:$BF$34,M40+1))*V42</f>
        <v>5.011760109577023E-2</v>
      </c>
      <c r="AF40" s="28">
        <v>1</v>
      </c>
      <c r="AG40" s="176">
        <f>((($W$39)^M40)*((1-($W$39))^($U$29-M40))*HLOOKUP($U$29,$AV$24:$BF$34,M40+1))*V43</f>
        <v>6.9309955514522084E-2</v>
      </c>
      <c r="AH40" s="28">
        <v>1</v>
      </c>
      <c r="AI40" s="176">
        <f>((($W$39)^M40)*((1-($W$39))^($U$30-M40))*HLOOKUP($U$30,$AV$24:$BF$34,M40+1))*V44</f>
        <v>6.1639249150920568E-2</v>
      </c>
      <c r="AJ40" s="28">
        <v>1</v>
      </c>
      <c r="AK40" s="176">
        <f>((($W$39)^M40)*((1-($W$39))^($U$31-M40))*HLOOKUP($U$31,$AV$24:$BF$34,M40+1))*V45</f>
        <v>3.6564056741749167E-2</v>
      </c>
      <c r="AL40" s="28">
        <v>1</v>
      </c>
      <c r="AM40" s="176">
        <f>((($W$39)^Q40)*((1-($W$39))^($U$32-Q40))*HLOOKUP($U$32,$AV$24:$BF$34,Q40+1))*V46</f>
        <v>1.4472897621209539E-2</v>
      </c>
      <c r="AN40" s="28">
        <v>1</v>
      </c>
      <c r="AO40" s="176">
        <f>((($W$39)^Q40)*((1-($W$39))^($U$33-Q40))*HLOOKUP($U$33,$AV$24:$BF$34,Q40+1))*V47</f>
        <v>3.6894205690992457E-3</v>
      </c>
      <c r="AP40" s="28">
        <v>1</v>
      </c>
      <c r="AQ40" s="176">
        <f>((($W$39)^Q40)*((1-($W$39))^($U$34-Q40))*HLOOKUP($U$34,$AV$24:$BF$34,Q40+1))*V48</f>
        <v>5.5109866757843825E-4</v>
      </c>
      <c r="AR40" s="28">
        <v>1</v>
      </c>
      <c r="AS40" s="176">
        <f>((($W$39)^Q40)*((1-($W$39))^($U$35-Q40))*HLOOKUP($U$35,$AV$24:$BF$34,Q40+1))*V49</f>
        <v>3.74147309676731E-5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6.6272521539267675E-4</v>
      </c>
      <c r="BQ40" s="31">
        <f t="shared" si="31"/>
        <v>9</v>
      </c>
      <c r="BR40" s="31">
        <v>1</v>
      </c>
      <c r="BS40" s="107">
        <f t="shared" si="32"/>
        <v>8.048616602329082E-4</v>
      </c>
    </row>
    <row r="41" spans="1:71" x14ac:dyDescent="0.25">
      <c r="G41" s="91">
        <v>2</v>
      </c>
      <c r="H41" s="130">
        <f>L39*J41+J40*L40+J39*L41</f>
        <v>0.28724559046888587</v>
      </c>
      <c r="I41" s="138">
        <v>2</v>
      </c>
      <c r="J41" s="86">
        <f t="shared" si="29"/>
        <v>0.30176292081227607</v>
      </c>
      <c r="K41" s="95">
        <v>2</v>
      </c>
      <c r="L41" s="86">
        <f>AJ18</f>
        <v>2.602803309949547E-2</v>
      </c>
      <c r="M41" s="85">
        <v>2</v>
      </c>
      <c r="N41" s="173">
        <f>(($C$24)^M27)*((1-($C$24))^($B$21-M27))*HLOOKUP($B$21,$AV$24:$BF$34,M27+1)</f>
        <v>0.3125</v>
      </c>
      <c r="O41" s="72">
        <v>2</v>
      </c>
      <c r="P41" s="173">
        <f t="shared" si="30"/>
        <v>0.3125</v>
      </c>
      <c r="Q41" s="28">
        <v>2</v>
      </c>
      <c r="R41" s="174">
        <f>P41*N39+P40*N40+P39*N41</f>
        <v>4.39453125E-2</v>
      </c>
      <c r="S41" s="72">
        <v>2</v>
      </c>
      <c r="T41" s="175">
        <f t="shared" si="33"/>
        <v>0</v>
      </c>
      <c r="U41" s="138">
        <v>2</v>
      </c>
      <c r="V41" s="86">
        <f>R41*T39+T40*R40+R39*T41</f>
        <v>4.3774414062499996E-2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7.283008519814285E-3</v>
      </c>
      <c r="AD41" s="28">
        <v>2</v>
      </c>
      <c r="AE41" s="176">
        <f>((($W$39)^M41)*((1-($W$39))^($U$28-M41))*HLOOKUP($U$28,$AV$24:$BF$34,M41+1))*V42</f>
        <v>3.4525074093796349E-2</v>
      </c>
      <c r="AF41" s="28">
        <v>2</v>
      </c>
      <c r="AG41" s="176">
        <f>((($W$39)^M41)*((1-($W$39))^($U$29-M41))*HLOOKUP($U$29,$AV$24:$BF$34,M41+1))*V43</f>
        <v>7.1619489877536038E-2</v>
      </c>
      <c r="AH41" s="28">
        <v>2</v>
      </c>
      <c r="AI41" s="176">
        <f>((($W$39)^M41)*((1-($W$39))^($U$30-M41))*HLOOKUP($U$30,$AV$24:$BF$34,M41+1))*V44</f>
        <v>8.4924242082333484E-2</v>
      </c>
      <c r="AJ41" s="28">
        <v>2</v>
      </c>
      <c r="AK41" s="176">
        <f>((($W$39)^M41)*((1-($W$39))^($U$31-M41))*HLOOKUP($U$31,$AV$24:$BF$34,M41+1))*V45</f>
        <v>6.2970729872244655E-2</v>
      </c>
      <c r="AL41" s="28">
        <v>2</v>
      </c>
      <c r="AM41" s="176">
        <f>((($W$39)^Q41)*((1-($W$39))^($U$32-Q41))*HLOOKUP($U$32,$AV$24:$BF$34,Q41+1))*V46</f>
        <v>2.9910322030538661E-2</v>
      </c>
      <c r="AN41" s="28">
        <v>2</v>
      </c>
      <c r="AO41" s="176">
        <f>((($W$39)^Q41)*((1-($W$39))^($U$33-Q41))*HLOOKUP($U$33,$AV$24:$BF$34,Q41+1))*V47</f>
        <v>8.8955038757286605E-3</v>
      </c>
      <c r="AP41" s="28">
        <v>2</v>
      </c>
      <c r="AQ41" s="176">
        <f>((($W$39)^Q41)*((1-($W$39))^($U$34-Q41))*HLOOKUP($U$34,$AV$24:$BF$34,Q41+1))*V48</f>
        <v>1.5185660857773033E-3</v>
      </c>
      <c r="AR41" s="28">
        <v>2</v>
      </c>
      <c r="AS41" s="176">
        <f>((($W$39)^Q41)*((1-($W$39))^($U$35-Q41))*HLOOKUP($U$35,$AV$24:$BF$34,Q41+1))*V49</f>
        <v>1.159843745065694E-4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1.0678115978738725E-4</v>
      </c>
      <c r="BQ41" s="31">
        <f t="shared" si="31"/>
        <v>9</v>
      </c>
      <c r="BR41" s="31">
        <v>2</v>
      </c>
      <c r="BS41" s="107">
        <f t="shared" si="32"/>
        <v>1.0539164742725978E-3</v>
      </c>
    </row>
    <row r="42" spans="1:71" ht="15" customHeight="1" x14ac:dyDescent="0.25">
      <c r="G42" s="91">
        <v>3</v>
      </c>
      <c r="H42" s="130">
        <f>J42*L39+J41*L40+L42*J39+L41*J40</f>
        <v>0.22851711558483076</v>
      </c>
      <c r="I42" s="138">
        <v>3</v>
      </c>
      <c r="J42" s="86">
        <f t="shared" si="29"/>
        <v>0.20641227409198773</v>
      </c>
      <c r="K42" s="95">
        <v>3</v>
      </c>
      <c r="L42" s="86">
        <f>AK18</f>
        <v>1.6972228046416328E-3</v>
      </c>
      <c r="M42" s="85">
        <v>3</v>
      </c>
      <c r="N42" s="173">
        <f>(($C$24)^M28)*((1-($C$24))^($B$21-M28))*HLOOKUP($B$21,$AV$24:$BF$34,M28+1)</f>
        <v>0.3125</v>
      </c>
      <c r="O42" s="72">
        <v>3</v>
      </c>
      <c r="P42" s="173">
        <f t="shared" si="30"/>
        <v>0.3125</v>
      </c>
      <c r="Q42" s="28">
        <v>3</v>
      </c>
      <c r="R42" s="174">
        <f>P42*N39+P41*N40+P40*N41+P39*N42</f>
        <v>0.1171875</v>
      </c>
      <c r="S42" s="72">
        <v>3</v>
      </c>
      <c r="T42" s="175">
        <f t="shared" si="33"/>
        <v>0</v>
      </c>
      <c r="U42" s="138">
        <v>3</v>
      </c>
      <c r="V42" s="86">
        <f>R42*T39+R41*T40+R40*T41+R39*T42</f>
        <v>0.1168212890625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7.9278916995272758E-3</v>
      </c>
      <c r="AF42" s="28">
        <v>3</v>
      </c>
      <c r="AG42" s="176">
        <f>((($W$39)^M42)*((1-($W$39))^($U$29-M42))*HLOOKUP($U$29,$AV$24:$BF$34,M42+1))*V43</f>
        <v>3.2891547620256638E-2</v>
      </c>
      <c r="AH42" s="28">
        <v>3</v>
      </c>
      <c r="AI42" s="176">
        <f>((($W$39)^M42)*((1-($W$39))^($U$30-M42))*HLOOKUP($U$30,$AV$24:$BF$34,M42+1))*V44</f>
        <v>5.8502715336459191E-2</v>
      </c>
      <c r="AJ42" s="28">
        <v>3</v>
      </c>
      <c r="AK42" s="176">
        <f>((($W$39)^M42)*((1-($W$39))^($U$31-M42))*HLOOKUP($U$31,$AV$24:$BF$34,M42+1))*V45</f>
        <v>5.7839137469894199E-2</v>
      </c>
      <c r="AL42" s="28">
        <v>3</v>
      </c>
      <c r="AM42" s="176">
        <f>((($W$39)^Q42)*((1-($W$39))^($U$32-Q42))*HLOOKUP($U$32,$AV$24:$BF$34,Q42+1))*V46</f>
        <v>3.4341098459612474E-2</v>
      </c>
      <c r="AN42" s="28">
        <v>3</v>
      </c>
      <c r="AO42" s="176">
        <f>((($W$39)^Q42)*((1-($W$39))^($U$33-Q42))*HLOOKUP($U$33,$AV$24:$BF$34,Q42+1))*V47</f>
        <v>1.2255891092006173E-2</v>
      </c>
      <c r="AP42" s="28">
        <v>3</v>
      </c>
      <c r="AQ42" s="176">
        <f>((($W$39)^Q42)*((1-($W$39))^($U$34-Q42))*HLOOKUP($U$34,$AV$24:$BF$34,Q42+1))*V48</f>
        <v>2.4409271950401176E-3</v>
      </c>
      <c r="AR42" s="28">
        <v>3</v>
      </c>
      <c r="AS42" s="176">
        <f>((($W$39)^Q42)*((1-($W$39))^($U$35-Q42))*HLOOKUP($U$35,$AV$24:$BF$34,Q42+1))*V49</f>
        <v>2.1306521919168707E-4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1.2857276880935416E-5</v>
      </c>
      <c r="BQ42" s="31">
        <f t="shared" si="31"/>
        <v>9</v>
      </c>
      <c r="BR42" s="31">
        <v>3</v>
      </c>
      <c r="BS42" s="107">
        <f t="shared" si="32"/>
        <v>8.3843916411380334E-4</v>
      </c>
    </row>
    <row r="43" spans="1:71" ht="15" customHeight="1" x14ac:dyDescent="0.25">
      <c r="G43" s="91">
        <v>4</v>
      </c>
      <c r="H43" s="130">
        <f>J43*L39+J42*L40+J41*L41+J40*L42</f>
        <v>0.12328229609852316</v>
      </c>
      <c r="I43" s="138">
        <v>4</v>
      </c>
      <c r="J43" s="86">
        <f t="shared" si="29"/>
        <v>9.2688151527692983E-2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0.15625</v>
      </c>
      <c r="O43" s="72">
        <v>4</v>
      </c>
      <c r="P43" s="173">
        <f t="shared" si="30"/>
        <v>0.15625</v>
      </c>
      <c r="Q43" s="28">
        <v>4</v>
      </c>
      <c r="R43" s="174">
        <f>P43*N39+P42*N40+P41*N41+P40*N42+P39*N43</f>
        <v>0.205078125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0.20463867187499998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5.6645923479008604E-3</v>
      </c>
      <c r="AH43" s="28">
        <v>4</v>
      </c>
      <c r="AI43" s="176">
        <f>((($W$39)^M43)*((1-($W$39))^($U$30-M43))*HLOOKUP($U$30,$AV$24:$BF$34,M43+1))*V44</f>
        <v>2.0150710903140127E-2</v>
      </c>
      <c r="AJ43" s="28">
        <v>4</v>
      </c>
      <c r="AK43" s="176">
        <f>((($W$39)^M43)*((1-($W$39))^($U$31-M43))*HLOOKUP($U$31,$AV$24:$BF$34,M43+1))*V45</f>
        <v>2.9883221607915844E-2</v>
      </c>
      <c r="AL43" s="28">
        <v>4</v>
      </c>
      <c r="AM43" s="176">
        <f>((($W$39)^Q43)*((1-($W$39))^($U$32-Q43))*HLOOKUP($U$32,$AV$24:$BF$34,Q43+1))*V46</f>
        <v>2.3656937739594638E-2</v>
      </c>
      <c r="AN43" s="28">
        <v>4</v>
      </c>
      <c r="AO43" s="176">
        <f>((($W$39)^Q43)*((1-($W$39))^($U$33-Q43))*HLOOKUP($U$33,$AV$24:$BF$34,Q43+1))*V47</f>
        <v>1.0553566481275655E-2</v>
      </c>
      <c r="AP43" s="28">
        <v>4</v>
      </c>
      <c r="AQ43" s="176">
        <f>((($W$39)^Q43)*((1-($W$39))^($U$34-Q43))*HLOOKUP($U$34,$AV$24:$BF$34,Q43+1))*V48</f>
        <v>2.5222633493156639E-3</v>
      </c>
      <c r="AR43" s="28">
        <v>4</v>
      </c>
      <c r="AS43" s="176">
        <f>((($W$39)^Q43)*((1-($W$39))^($U$35-Q43))*HLOOKUP($U$35,$AV$24:$BF$34,Q43+1))*V49</f>
        <v>2.5685909855017731E-4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1.1323940343289606E-6</v>
      </c>
      <c r="BQ43" s="31">
        <f t="shared" si="31"/>
        <v>9</v>
      </c>
      <c r="BR43" s="31">
        <v>4</v>
      </c>
      <c r="BS43" s="107">
        <f t="shared" si="32"/>
        <v>4.5232806753376346E-4</v>
      </c>
    </row>
    <row r="44" spans="1:71" ht="15" customHeight="1" thickBot="1" x14ac:dyDescent="0.3">
      <c r="G44" s="91">
        <v>5</v>
      </c>
      <c r="H44" s="130">
        <f>J44*L39+J43*L40+J42*L41+J41*L42</f>
        <v>4.7670549136902808E-2</v>
      </c>
      <c r="I44" s="138">
        <v>5</v>
      </c>
      <c r="J44" s="86">
        <f t="shared" si="29"/>
        <v>2.855477467468907E-2</v>
      </c>
      <c r="K44" s="95">
        <v>5</v>
      </c>
      <c r="L44" s="86"/>
      <c r="M44" s="85">
        <v>5</v>
      </c>
      <c r="N44" s="173">
        <f>(($C$24)^M30)*((1-($C$24))^($B$21-M30))*HLOOKUP($B$21,$AV$24:$BF$34,M30+1)</f>
        <v>3.125E-2</v>
      </c>
      <c r="O44" s="72">
        <v>5</v>
      </c>
      <c r="P44" s="173">
        <f t="shared" si="30"/>
        <v>3.125E-2</v>
      </c>
      <c r="Q44" s="28">
        <v>5</v>
      </c>
      <c r="R44" s="174">
        <f>P44*N39+P43*N40+P42*N41+P41*N42+P40*N43+P39*N44</f>
        <v>0.24609375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0.24588867187500002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2.7762892547237186E-3</v>
      </c>
      <c r="AJ44" s="28">
        <v>5</v>
      </c>
      <c r="AK44" s="176">
        <f>((($W$39)^M44)*((1-($W$39))^($U$31-M44))*HLOOKUP($U$31,$AV$24:$BF$34,M44+1))*V45</f>
        <v>8.2343960414474372E-3</v>
      </c>
      <c r="AL44" s="28">
        <v>5</v>
      </c>
      <c r="AM44" s="176">
        <f>((($W$39)^Q44)*((1-($W$39))^($U$32-Q44))*HLOOKUP($U$32,$AV$24:$BF$34,Q44+1))*V46</f>
        <v>9.7780920527031825E-3</v>
      </c>
      <c r="AN44" s="28">
        <v>5</v>
      </c>
      <c r="AO44" s="176">
        <f>((($W$39)^Q44)*((1-($W$39))^($U$33-Q44))*HLOOKUP($U$33,$AV$24:$BF$34,Q44+1))*V47</f>
        <v>5.8161229867899414E-3</v>
      </c>
      <c r="AP44" s="28">
        <v>5</v>
      </c>
      <c r="AQ44" s="176">
        <f>((($W$39)^Q44)*((1-($W$39))^($U$34-Q44))*HLOOKUP($U$34,$AV$24:$BF$34,Q44+1))*V48</f>
        <v>1.7375398485810535E-3</v>
      </c>
      <c r="AR44" s="28">
        <v>5</v>
      </c>
      <c r="AS44" s="176">
        <f>((($W$39)^Q44)*((1-($W$39))^($U$35-Q44))*HLOOKUP($U$35,$AV$24:$BF$34,Q44+1))*V49</f>
        <v>2.123344904437347E-4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2.2513851029258417E-3</v>
      </c>
      <c r="BQ44" s="31">
        <f t="shared" si="31"/>
        <v>9</v>
      </c>
      <c r="BR44" s="31">
        <v>5</v>
      </c>
      <c r="BS44" s="107">
        <f t="shared" si="32"/>
        <v>1.7490530312751752E-4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1.3613926063713486E-2</v>
      </c>
      <c r="I45" s="138">
        <v>6</v>
      </c>
      <c r="J45" s="86">
        <f t="shared" si="29"/>
        <v>6.1139104751779206E-3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0.205078125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0.20528320312499998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9.4542012929874509E-4</v>
      </c>
      <c r="AL45" s="28">
        <v>6</v>
      </c>
      <c r="AM45" s="176">
        <f>((($W$39)^Q45)*((1-($W$39))^($U$32-Q45))*HLOOKUP($U$32,$AV$24:$BF$34,Q45+1))*V46</f>
        <v>2.2453146548284549E-3</v>
      </c>
      <c r="AN45" s="28">
        <v>6</v>
      </c>
      <c r="AO45" s="176">
        <f>((($W$39)^Q45)*((1-($W$39))^($U$33-Q45))*HLOOKUP($U$33,$AV$24:$BF$34,Q45+1))*V47</f>
        <v>2.0033089440358504E-3</v>
      </c>
      <c r="AP45" s="28">
        <v>6</v>
      </c>
      <c r="AQ45" s="176">
        <f>((($W$39)^Q45)*((1-($W$39))^($U$34-Q45))*HLOOKUP($U$34,$AV$24:$BF$34,Q45+1))*V48</f>
        <v>7.9797237832076283E-4</v>
      </c>
      <c r="AR45" s="28">
        <v>6</v>
      </c>
      <c r="AS45" s="176">
        <f>((($W$39)^Q45)*((1-($W$39))^($U$35-Q45))*HLOOKUP($U$35,$AV$24:$BF$34,Q45+1))*V49</f>
        <v>1.218943686941076E-4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4.8201979225157043E-4</v>
      </c>
      <c r="BQ45" s="31">
        <f t="shared" si="31"/>
        <v>9</v>
      </c>
      <c r="BR45" s="31">
        <v>6</v>
      </c>
      <c r="BS45" s="107">
        <f t="shared" si="32"/>
        <v>4.9950082557075476E-5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2.9147309380484808E-3</v>
      </c>
      <c r="I46" s="138">
        <v>7</v>
      </c>
      <c r="J46" s="86">
        <f t="shared" si="29"/>
        <v>8.9883520326115981E-4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0.1171875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0.117626953125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2.209650135080889E-4</v>
      </c>
      <c r="AN46" s="28">
        <v>7</v>
      </c>
      <c r="AO46" s="176">
        <f>((($W$39)^Q46)*((1-($W$39))^($U$33-Q46))*HLOOKUP($U$33,$AV$24:$BF$34,Q46+1))*V47</f>
        <v>3.9429768734447333E-4</v>
      </c>
      <c r="AP46" s="28">
        <v>7</v>
      </c>
      <c r="AQ46" s="176">
        <f>((($W$39)^Q46)*((1-($W$39))^($U$34-Q46))*HLOOKUP($U$34,$AV$24:$BF$34,Q46+1))*V48</f>
        <v>2.3558922172741168E-4</v>
      </c>
      <c r="AR46" s="28">
        <v>7</v>
      </c>
      <c r="AS46" s="176">
        <f>((($W$39)^Q46)*((1-($W$39))^($U$35-Q46))*HLOOKUP($U$35,$AV$24:$BF$34,Q46+1))*V49</f>
        <v>4.7983280681185926E-5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7.7665118606662424E-5</v>
      </c>
      <c r="BQ46" s="31">
        <f t="shared" si="31"/>
        <v>9</v>
      </c>
      <c r="BR46" s="31">
        <v>7</v>
      </c>
      <c r="BS46" s="107">
        <f t="shared" si="32"/>
        <v>1.0694273665496214E-5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4.6963408484251135E-4</v>
      </c>
      <c r="I47" s="138">
        <v>8</v>
      </c>
      <c r="J47" s="86">
        <f t="shared" si="29"/>
        <v>8.6921824225998518E-5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4.39453125E-2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4.43115234375E-2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3.3953033896631865E-5</v>
      </c>
      <c r="AP47" s="28">
        <v>8</v>
      </c>
      <c r="AQ47" s="176">
        <f>((($W$39)^Q47)*((1-($W$39))^($U$34-Q47))*HLOOKUP($U$34,$AV$24:$BF$34,Q47+1))*V48</f>
        <v>4.057324751186647E-5</v>
      </c>
      <c r="AR47" s="28">
        <v>8</v>
      </c>
      <c r="AS47" s="176">
        <f>((($W$39)^Q47)*((1-($W$39))^($U$35-Q47))*HLOOKUP($U$35,$AV$24:$BF$34,Q47+1))*V49</f>
        <v>1.2395542817500185E-5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9.351480503721741E-6</v>
      </c>
      <c r="BQ47" s="31">
        <f>BM12+1</f>
        <v>9</v>
      </c>
      <c r="BR47" s="31">
        <v>8</v>
      </c>
      <c r="BS47" s="107">
        <f t="shared" si="32"/>
        <v>1.7231077353964485E-6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5.6547573313191367E-5</v>
      </c>
      <c r="I48" s="138">
        <v>9</v>
      </c>
      <c r="J48" s="86">
        <f t="shared" si="29"/>
        <v>5.0031401602243473E-6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9.765625E-3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9.936523437499999E-3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3.1055720189363237E-6</v>
      </c>
      <c r="AR48" s="28">
        <v>9</v>
      </c>
      <c r="AS48" s="176">
        <f>((($W$39)^Q48)*((1-($W$39))^($U$35-Q48))*HLOOKUP($U$35,$AV$24:$BF$34,Q48+1))*V49</f>
        <v>1.8975681412880236E-6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8.2362391606111637E-7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4.9803807811424153E-6</v>
      </c>
      <c r="I49" s="94">
        <v>10</v>
      </c>
      <c r="J49" s="89">
        <f t="shared" si="29"/>
        <v>1.3071990527001816E-7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9.765625E-4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1.0253906249999556E-3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1.3071990527001816E-7</v>
      </c>
      <c r="BI49" s="31">
        <f>BQ14+1</f>
        <v>6</v>
      </c>
      <c r="BJ49" s="31">
        <v>0</v>
      </c>
      <c r="BK49" s="107">
        <f>$H$31*H39</f>
        <v>7.0116170817326184E-3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89"/>
      <c r="J50" s="289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89"/>
      <c r="X50" s="157"/>
      <c r="Y50" s="157"/>
      <c r="BI50" s="31">
        <f>BI45+1</f>
        <v>6</v>
      </c>
      <c r="BJ50" s="31">
        <v>7</v>
      </c>
      <c r="BK50" s="107">
        <f>$H$31*H46</f>
        <v>2.6590301287912003E-4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4.2843446192656759E-5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5.1586820308867949E-6</v>
      </c>
    </row>
    <row r="53" spans="1:63" x14ac:dyDescent="0.25">
      <c r="BI53" s="31">
        <f>BI48+1</f>
        <v>6</v>
      </c>
      <c r="BJ53" s="31">
        <v>10</v>
      </c>
      <c r="BK53" s="107">
        <f>$H$31*H49</f>
        <v>4.5434665605110704E-7</v>
      </c>
    </row>
    <row r="54" spans="1:63" x14ac:dyDescent="0.25">
      <c r="BI54" s="31">
        <f>BI51+1</f>
        <v>7</v>
      </c>
      <c r="BJ54" s="31">
        <v>8</v>
      </c>
      <c r="BK54" s="107">
        <f>$H$32*H47</f>
        <v>1.8474244373600047E-5</v>
      </c>
    </row>
    <row r="55" spans="1:63" x14ac:dyDescent="0.25">
      <c r="BI55" s="31">
        <f>BI52+1</f>
        <v>7</v>
      </c>
      <c r="BJ55" s="31">
        <v>9</v>
      </c>
      <c r="BK55" s="107">
        <f>$H$32*H48</f>
        <v>2.2244417980698447E-6</v>
      </c>
    </row>
    <row r="56" spans="1:63" x14ac:dyDescent="0.25">
      <c r="BI56" s="31">
        <f>BI53+1</f>
        <v>7</v>
      </c>
      <c r="BJ56" s="31">
        <v>10</v>
      </c>
      <c r="BK56" s="107">
        <f>$H$32*H49</f>
        <v>1.9591587279117658E-7</v>
      </c>
    </row>
    <row r="57" spans="1:63" x14ac:dyDescent="0.25">
      <c r="BI57" s="31">
        <f>BI55+1</f>
        <v>8</v>
      </c>
      <c r="BJ57" s="31">
        <v>9</v>
      </c>
      <c r="BK57" s="107">
        <f>$H$33*H48</f>
        <v>7.628176347899219E-7</v>
      </c>
    </row>
    <row r="58" spans="1:63" x14ac:dyDescent="0.25">
      <c r="BI58" s="31">
        <f>BI56+1</f>
        <v>8</v>
      </c>
      <c r="BJ58" s="31">
        <v>10</v>
      </c>
      <c r="BK58" s="107">
        <f>$H$33*H49</f>
        <v>6.718453269042378E-8</v>
      </c>
    </row>
    <row r="59" spans="1:63" x14ac:dyDescent="0.25">
      <c r="BI59" s="31">
        <f>BI58+1</f>
        <v>9</v>
      </c>
      <c r="BJ59" s="31">
        <v>10</v>
      </c>
      <c r="BK59" s="107">
        <f>$H$34*H49</f>
        <v>1.8273232131530934E-8</v>
      </c>
    </row>
  </sheetData>
  <mergeCells count="1">
    <mergeCell ref="B3:C3"/>
  </mergeCells>
  <conditionalFormatting sqref="H49">
    <cfRule type="cellIs" dxfId="111" priority="1" operator="greaterThan">
      <formula>0.15</formula>
    </cfRule>
  </conditionalFormatting>
  <conditionalFormatting sqref="H39:H49">
    <cfRule type="cellIs" dxfId="110" priority="2" operator="greaterThan">
      <formula>0.15</formula>
    </cfRule>
  </conditionalFormatting>
  <conditionalFormatting sqref="H49">
    <cfRule type="cellIs" dxfId="109" priority="3" operator="greaterThan">
      <formula>0.15</formula>
    </cfRule>
  </conditionalFormatting>
  <conditionalFormatting sqref="H39:H49">
    <cfRule type="cellIs" dxfId="108" priority="4" operator="greaterThan">
      <formula>0.15</formula>
    </cfRule>
  </conditionalFormatting>
  <conditionalFormatting sqref="H35">
    <cfRule type="cellIs" dxfId="107" priority="5" operator="greaterThan">
      <formula>0.15</formula>
    </cfRule>
  </conditionalFormatting>
  <conditionalFormatting sqref="H25:H35">
    <cfRule type="cellIs" dxfId="106" priority="6" operator="greaterThan">
      <formula>0.15</formula>
    </cfRule>
  </conditionalFormatting>
  <conditionalFormatting sqref="H35">
    <cfRule type="cellIs" dxfId="105" priority="7" operator="greaterThan">
      <formula>0.15</formula>
    </cfRule>
  </conditionalFormatting>
  <conditionalFormatting sqref="H25:H35">
    <cfRule type="cellIs" dxfId="104" priority="8" operator="greaterThan">
      <formula>0.15</formula>
    </cfRule>
  </conditionalFormatting>
  <conditionalFormatting sqref="V49">
    <cfRule type="cellIs" dxfId="103" priority="9" operator="greaterThan">
      <formula>0.15</formula>
    </cfRule>
  </conditionalFormatting>
  <conditionalFormatting sqref="V35">
    <cfRule type="cellIs" dxfId="102" priority="10" operator="greaterThan">
      <formula>0.15</formula>
    </cfRule>
  </conditionalFormatting>
  <conditionalFormatting sqref="V25:V35 V39:V49">
    <cfRule type="cellIs" dxfId="101" priority="11" operator="greaterThan">
      <formula>0.15</formula>
    </cfRule>
  </conditionalFormatting>
  <conditionalFormatting sqref="V49">
    <cfRule type="cellIs" dxfId="100" priority="12" operator="greaterThan">
      <formula>0.15</formula>
    </cfRule>
  </conditionalFormatting>
  <conditionalFormatting sqref="V35">
    <cfRule type="cellIs" dxfId="99" priority="13" operator="greaterThan">
      <formula>0.15</formula>
    </cfRule>
  </conditionalFormatting>
  <conditionalFormatting sqref="V25:V35 V39:V49">
    <cfRule type="cellIs" dxfId="9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63DE-08BF-41C9-A0EB-5EB52B92F669}">
  <sheetPr>
    <tabColor theme="9" tint="-0.249977111117893"/>
  </sheetPr>
  <dimension ref="A1:BS59"/>
  <sheetViews>
    <sheetView zoomScale="90" zoomScaleNormal="90" workbookViewId="0">
      <selection activeCell="C7" sqref="C7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1" t="s">
        <v>197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1" t="s">
        <v>137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2.68</v>
      </c>
      <c r="S2" s="166">
        <f>SUM(S4:S15)</f>
        <v>3.6700000000000004</v>
      </c>
      <c r="T2" s="219">
        <f>SUM(T4:T16)</f>
        <v>0.62880394615345547</v>
      </c>
      <c r="U2" s="219">
        <f>SUM(U4:U16)</f>
        <v>0.94450391966228542</v>
      </c>
      <c r="V2" s="157"/>
      <c r="W2" s="157"/>
      <c r="X2" s="253">
        <f>SUM(X4:X16)</f>
        <v>0.36948824220014909</v>
      </c>
      <c r="Y2" s="254">
        <f>SUM(Y4:Y16)</f>
        <v>0.52074617795032696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0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</v>
      </c>
      <c r="F4" s="283" t="s">
        <v>151</v>
      </c>
      <c r="G4" s="283" t="s">
        <v>138</v>
      </c>
      <c r="H4" s="283" t="s">
        <v>151</v>
      </c>
      <c r="I4" s="283" t="s">
        <v>6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2</v>
      </c>
      <c r="R4" s="221">
        <f t="shared" ref="R4:R14" si="0">IF(P4+Q4=0,0,N4)</f>
        <v>0.45</v>
      </c>
      <c r="S4" s="221">
        <f t="shared" ref="S4:S16" si="1">R4*$N$2/$R$2</f>
        <v>0.61623134328358209</v>
      </c>
      <c r="T4" s="226">
        <f>IF(S4=0,0,S4*(P4^2.7/(P4^2.7+Q4^2.7))*P4/L4)</f>
        <v>0</v>
      </c>
      <c r="U4" s="228">
        <f>IF(S4=0,0,S4*Q4^2.7/(P4^2.7+Q4^2.7)*Q4/L4)</f>
        <v>0.20541044776119402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0.11708395522388058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0.11708395522388058</v>
      </c>
      <c r="AH4" s="247">
        <f t="shared" ref="AH4:AH16" si="2">(1-AG4)</f>
        <v>0.8829160447761194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1.6388436073343147E-2</v>
      </c>
      <c r="BM4" s="31">
        <v>0</v>
      </c>
      <c r="BN4" s="31">
        <v>0</v>
      </c>
      <c r="BO4" s="107">
        <f>H25*H39</f>
        <v>6.6399881947491112E-3</v>
      </c>
      <c r="BQ4" s="31">
        <v>1</v>
      </c>
      <c r="BR4" s="31">
        <v>0</v>
      </c>
      <c r="BS4" s="107">
        <f>$H$26*H39</f>
        <v>1.972018343279373E-2</v>
      </c>
    </row>
    <row r="5" spans="1:71" ht="15.75" x14ac:dyDescent="0.25">
      <c r="A5" s="40" t="s">
        <v>26</v>
      </c>
      <c r="B5" s="154">
        <v>352</v>
      </c>
      <c r="C5" s="154">
        <v>532</v>
      </c>
      <c r="E5" s="283" t="s">
        <v>1</v>
      </c>
      <c r="F5" s="283" t="s">
        <v>151</v>
      </c>
      <c r="G5" s="283" t="s">
        <v>138</v>
      </c>
      <c r="H5" s="283" t="s">
        <v>138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0"/>
        <v>0</v>
      </c>
      <c r="S5" s="221">
        <f t="shared" si="1"/>
        <v>0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0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1.8274373568787031E-2</v>
      </c>
      <c r="BM5" s="31">
        <v>1</v>
      </c>
      <c r="BN5" s="31">
        <v>1</v>
      </c>
      <c r="BO5" s="107">
        <f>$H$26*H40</f>
        <v>4.8672219899202999E-2</v>
      </c>
      <c r="BQ5" s="31">
        <f>BQ4+1</f>
        <v>2</v>
      </c>
      <c r="BR5" s="31">
        <v>0</v>
      </c>
      <c r="BS5" s="107">
        <f>$H$27*H39</f>
        <v>2.6989372079091915E-2</v>
      </c>
    </row>
    <row r="6" spans="1:71" ht="15.75" x14ac:dyDescent="0.25">
      <c r="A6" s="2" t="s">
        <v>31</v>
      </c>
      <c r="B6" s="271">
        <v>14</v>
      </c>
      <c r="C6" s="272">
        <f>5-1-1.25+0.75</f>
        <v>3.5</v>
      </c>
      <c r="E6" s="211"/>
      <c r="F6" s="283" t="s">
        <v>2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2</v>
      </c>
      <c r="R6" s="221">
        <f t="shared" si="0"/>
        <v>0.45</v>
      </c>
      <c r="S6" s="221">
        <f t="shared" si="1"/>
        <v>0.61623134328358209</v>
      </c>
      <c r="T6" s="226">
        <f t="shared" si="5"/>
        <v>0</v>
      </c>
      <c r="U6" s="228">
        <f t="shared" si="6"/>
        <v>9.4804822043628015E-2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4.2662169919632606E-2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4.2662169919632606E-2</v>
      </c>
      <c r="AH6" s="247">
        <f t="shared" si="2"/>
        <v>0.95733783008036744</v>
      </c>
      <c r="AI6" s="247">
        <f>AG6*PRODUCT(AH3:AH5)*PRODUCT(AH7:AH17)</f>
        <v>2.5668937253285153E-2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1.0475911530565539E-2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1.3517562584659035E-2</v>
      </c>
      <c r="BM6" s="31">
        <f>BI14+1</f>
        <v>2</v>
      </c>
      <c r="BN6" s="31">
        <v>2</v>
      </c>
      <c r="BO6" s="107">
        <f>$H$27*H41</f>
        <v>7.427932901301669E-2</v>
      </c>
      <c r="BQ6" s="31">
        <f>BM5+1</f>
        <v>2</v>
      </c>
      <c r="BR6" s="31">
        <v>1</v>
      </c>
      <c r="BS6" s="107">
        <f>$H$27*H40</f>
        <v>6.6613612254258367E-2</v>
      </c>
    </row>
    <row r="7" spans="1:71" ht="15.75" x14ac:dyDescent="0.25">
      <c r="A7" s="5" t="s">
        <v>36</v>
      </c>
      <c r="B7" s="271">
        <v>14.25</v>
      </c>
      <c r="C7" s="272">
        <v>21.5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2</v>
      </c>
      <c r="Q7" s="214">
        <f>COUNTIF(E4:I4,"IMP")+COUNTIF(F5:H5,"IMP")</f>
        <v>0</v>
      </c>
      <c r="R7" s="221">
        <f t="shared" si="0"/>
        <v>0.04</v>
      </c>
      <c r="S7" s="221">
        <f t="shared" si="1"/>
        <v>5.4776119402985074E-2</v>
      </c>
      <c r="T7" s="226">
        <f t="shared" si="5"/>
        <v>1.3694029850746268E-2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6.162313432835821E-3</v>
      </c>
      <c r="Y7" s="252">
        <f t="shared" si="7"/>
        <v>0</v>
      </c>
      <c r="Z7" s="199"/>
      <c r="AA7" s="244">
        <f t="shared" si="8"/>
        <v>6.162313432835821E-3</v>
      </c>
      <c r="AB7" s="245">
        <f t="shared" si="9"/>
        <v>0.9938376865671642</v>
      </c>
      <c r="AC7" s="245">
        <f>PRODUCT(AB8:AB$16)*AA7*PRODUCT(AB$4:AB6)</f>
        <v>4.2304339466244616E-3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1.6483464865003285E-3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8.1075211259437601E-3</v>
      </c>
      <c r="BM7" s="31">
        <f>BI23+1</f>
        <v>3</v>
      </c>
      <c r="BN7" s="31">
        <v>3</v>
      </c>
      <c r="BO7" s="107">
        <f>$H$28*H42</f>
        <v>4.5928343424964269E-2</v>
      </c>
      <c r="BQ7" s="31">
        <f>BQ5+1</f>
        <v>3</v>
      </c>
      <c r="BR7" s="31">
        <v>0</v>
      </c>
      <c r="BS7" s="107">
        <f>$H$28*H39</f>
        <v>2.2560550856427792E-2</v>
      </c>
    </row>
    <row r="8" spans="1:71" ht="15.75" x14ac:dyDescent="0.25">
      <c r="A8" s="5" t="s">
        <v>39</v>
      </c>
      <c r="B8" s="271">
        <v>14.25</v>
      </c>
      <c r="C8" s="272">
        <f>20.5-1.15</f>
        <v>19.350000000000001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3</v>
      </c>
      <c r="Q8" s="214">
        <f>COUNTIF(E10:I11,"RAP")</f>
        <v>4</v>
      </c>
      <c r="R8" s="221">
        <f t="shared" si="0"/>
        <v>0.5</v>
      </c>
      <c r="S8" s="221">
        <f t="shared" si="1"/>
        <v>0.68470149253731349</v>
      </c>
      <c r="T8" s="226">
        <f t="shared" si="5"/>
        <v>8.0886159288525897E-2</v>
      </c>
      <c r="U8" s="228">
        <f t="shared" si="6"/>
        <v>0.23450253388395556</v>
      </c>
      <c r="V8" s="218">
        <f>$G$17</f>
        <v>0.56999999999999995</v>
      </c>
      <c r="W8" s="216">
        <f>$H$17</f>
        <v>0.56999999999999995</v>
      </c>
      <c r="X8" s="251">
        <f t="shared" si="7"/>
        <v>4.610511079445976E-2</v>
      </c>
      <c r="Y8" s="252">
        <f t="shared" si="7"/>
        <v>0.13366644431385466</v>
      </c>
      <c r="Z8" s="199"/>
      <c r="AA8" s="244">
        <f t="shared" si="8"/>
        <v>4.610511079445976E-2</v>
      </c>
      <c r="AB8" s="245">
        <f t="shared" si="9"/>
        <v>0.95389488920554022</v>
      </c>
      <c r="AC8" s="245">
        <f>PRODUCT(AB9:AB$16)*AA8*PRODUCT(AB$4:AB7)</f>
        <v>3.2976544373733145E-2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1.1255109416855804E-2</v>
      </c>
      <c r="AE8" s="183"/>
      <c r="AF8" s="197"/>
      <c r="AG8" s="246">
        <f t="shared" si="10"/>
        <v>0.13366644431385466</v>
      </c>
      <c r="AH8" s="247">
        <f t="shared" si="2"/>
        <v>0.86633355568614534</v>
      </c>
      <c r="AI8" s="247">
        <f>AG8*PRODUCT(AH3:AH7)*PRODUCT(AH9:AH17)</f>
        <v>8.887250616154023E-2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2.2558195248180389E-2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4.0538870465794798E-3</v>
      </c>
      <c r="BM8" s="31">
        <f>BI31+1</f>
        <v>4</v>
      </c>
      <c r="BN8" s="31">
        <v>4</v>
      </c>
      <c r="BO8" s="107">
        <f>$H$29*H43</f>
        <v>1.5712562917603284E-2</v>
      </c>
      <c r="BQ8" s="31">
        <f>BQ6+1</f>
        <v>3</v>
      </c>
      <c r="BR8" s="31">
        <v>1</v>
      </c>
      <c r="BS8" s="107">
        <f>$H$28*H40</f>
        <v>5.5682651029764975E-2</v>
      </c>
    </row>
    <row r="9" spans="1:71" ht="15.75" x14ac:dyDescent="0.25">
      <c r="A9" s="5" t="s">
        <v>42</v>
      </c>
      <c r="B9" s="271">
        <v>14.5</v>
      </c>
      <c r="C9" s="272">
        <f>19.75+0.5</f>
        <v>20.25</v>
      </c>
      <c r="E9" s="284" t="s">
        <v>33</v>
      </c>
      <c r="F9" s="284" t="s">
        <v>151</v>
      </c>
      <c r="G9" s="284" t="s">
        <v>151</v>
      </c>
      <c r="H9" s="284" t="s">
        <v>151</v>
      </c>
      <c r="I9" s="284" t="s">
        <v>33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3</v>
      </c>
      <c r="Q9" s="214">
        <f>COUNTIF(E10:I11,"RAP")</f>
        <v>4</v>
      </c>
      <c r="R9" s="221">
        <f t="shared" si="0"/>
        <v>0.5</v>
      </c>
      <c r="S9" s="221">
        <f t="shared" si="1"/>
        <v>0.68470149253731349</v>
      </c>
      <c r="T9" s="226">
        <f t="shared" si="5"/>
        <v>8.0886159288525897E-2</v>
      </c>
      <c r="U9" s="228">
        <f t="shared" si="6"/>
        <v>0.23450253388395556</v>
      </c>
      <c r="V9" s="218">
        <f>$G$17</f>
        <v>0.56999999999999995</v>
      </c>
      <c r="W9" s="216">
        <f>$H$17</f>
        <v>0.56999999999999995</v>
      </c>
      <c r="X9" s="251">
        <f t="shared" si="7"/>
        <v>4.610511079445976E-2</v>
      </c>
      <c r="Y9" s="252">
        <f t="shared" si="7"/>
        <v>0.13366644431385466</v>
      </c>
      <c r="Z9" s="199"/>
      <c r="AA9" s="244">
        <f t="shared" si="8"/>
        <v>4.610511079445976E-2</v>
      </c>
      <c r="AB9" s="245">
        <f t="shared" si="9"/>
        <v>0.95389488920554022</v>
      </c>
      <c r="AC9" s="245">
        <f>PRODUCT(AB10:AB$16)*AA9*PRODUCT(AB$4:AB8)</f>
        <v>3.2976544373733152E-2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9.6612364973398483E-3</v>
      </c>
      <c r="AE9" s="183"/>
      <c r="AF9" s="197"/>
      <c r="AG9" s="246">
        <f t="shared" si="10"/>
        <v>0.13366644431385466</v>
      </c>
      <c r="AH9" s="247">
        <f t="shared" si="2"/>
        <v>0.86633355568614534</v>
      </c>
      <c r="AI9" s="247">
        <f>AG9*PRODUCT(AH3:AH8)*PRODUCT(AH10:AH17)</f>
        <v>8.8872506161540243E-2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8.8460726853348201E-3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1.5573212804993616E-3</v>
      </c>
      <c r="BM9" s="31">
        <f>BI38+1</f>
        <v>5</v>
      </c>
      <c r="BN9" s="31">
        <v>5</v>
      </c>
      <c r="BO9" s="107">
        <f>$H$30*H44</f>
        <v>3.2351709827121004E-3</v>
      </c>
      <c r="BQ9" s="31">
        <f>BM6+1</f>
        <v>3</v>
      </c>
      <c r="BR9" s="31">
        <v>2</v>
      </c>
      <c r="BS9" s="107">
        <f>$H$28*H41</f>
        <v>6.2090461936966962E-2</v>
      </c>
    </row>
    <row r="10" spans="1:71" ht="15.75" x14ac:dyDescent="0.25">
      <c r="A10" s="6" t="s">
        <v>45</v>
      </c>
      <c r="B10" s="271">
        <v>12.75</v>
      </c>
      <c r="C10" s="272">
        <f>18.25-(0.75/2)</f>
        <v>17.875</v>
      </c>
      <c r="E10" s="284" t="s">
        <v>1</v>
      </c>
      <c r="F10" s="284" t="s">
        <v>151</v>
      </c>
      <c r="G10" s="284" t="s">
        <v>151</v>
      </c>
      <c r="H10" s="284" t="s">
        <v>151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0.26018656716417909</v>
      </c>
      <c r="T10" s="226">
        <f>S10*G13</f>
        <v>0.2081492537313433</v>
      </c>
      <c r="U10" s="228">
        <f>S10*G14</f>
        <v>5.2037313432835811E-2</v>
      </c>
      <c r="V10" s="218">
        <f>$G$18</f>
        <v>0.45</v>
      </c>
      <c r="W10" s="216">
        <f>$H$18</f>
        <v>0.45</v>
      </c>
      <c r="X10" s="251">
        <f t="shared" si="7"/>
        <v>9.3667164179104492E-2</v>
      </c>
      <c r="Y10" s="252">
        <f t="shared" si="7"/>
        <v>2.3416791044776116E-2</v>
      </c>
      <c r="Z10" s="199"/>
      <c r="AA10" s="244">
        <f t="shared" si="8"/>
        <v>9.3667164179104492E-2</v>
      </c>
      <c r="AB10" s="245">
        <f t="shared" si="9"/>
        <v>0.90633283582089552</v>
      </c>
      <c r="AC10" s="245">
        <f>PRODUCT(AB11:AB$16)*AA10*PRODUCT(AB$4:AB9)</f>
        <v>7.0510899210423542E-2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1.3370668489867734E-2</v>
      </c>
      <c r="AE10" s="183"/>
      <c r="AF10" s="197"/>
      <c r="AG10" s="246">
        <f t="shared" si="10"/>
        <v>2.3416791044776116E-2</v>
      </c>
      <c r="AH10" s="247">
        <f t="shared" si="2"/>
        <v>0.97658320895522388</v>
      </c>
      <c r="AI10" s="247">
        <f>AG10*PRODUCT(AH3:AH9)*PRODUCT(AH11:AH17)</f>
        <v>1.3811736864022902E-2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1.0435924256315418E-3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4.2640254952492544E-4</v>
      </c>
      <c r="BM10" s="31">
        <f>BI44+1</f>
        <v>6</v>
      </c>
      <c r="BN10" s="31">
        <v>6</v>
      </c>
      <c r="BO10" s="107">
        <f>$H$31*H45</f>
        <v>3.8101546167814348E-4</v>
      </c>
      <c r="BQ10" s="31">
        <f>BQ7+1</f>
        <v>4</v>
      </c>
      <c r="BR10" s="31">
        <v>0</v>
      </c>
      <c r="BS10" s="107">
        <f>$H$29*H39</f>
        <v>1.2868450252726751E-2</v>
      </c>
    </row>
    <row r="11" spans="1:71" ht="15.75" x14ac:dyDescent="0.25">
      <c r="A11" s="6" t="s">
        <v>48</v>
      </c>
      <c r="B11" s="271">
        <v>12</v>
      </c>
      <c r="C11" s="272">
        <v>7.5</v>
      </c>
      <c r="E11" s="213"/>
      <c r="F11" s="284" t="s">
        <v>1</v>
      </c>
      <c r="G11" s="284" t="s">
        <v>151</v>
      </c>
      <c r="H11" s="284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3</v>
      </c>
      <c r="Q11" s="214">
        <f>COUNTIF(E9:I11,"CAB")</f>
        <v>0</v>
      </c>
      <c r="R11" s="221">
        <f t="shared" si="0"/>
        <v>0.19</v>
      </c>
      <c r="S11" s="221">
        <f t="shared" si="1"/>
        <v>0.26018656716417909</v>
      </c>
      <c r="T11" s="226">
        <f>IF(P11&gt;0,IF(Q11&gt;0,G13^2.7/(G14^2.7+G13^2.7),1),0)*P11/L11*S11</f>
        <v>8.6728855721393022E-2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0.83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7.1984950248756202E-2</v>
      </c>
      <c r="Y11" s="252">
        <f t="shared" si="7"/>
        <v>0</v>
      </c>
      <c r="Z11" s="199"/>
      <c r="AA11" s="244">
        <f t="shared" si="8"/>
        <v>7.1984950248756202E-2</v>
      </c>
      <c r="AB11" s="245">
        <f t="shared" si="9"/>
        <v>0.92801504975124383</v>
      </c>
      <c r="AC11" s="245">
        <f>PRODUCT(AB12:AB$16)*AA11*PRODUCT(AB$4:AB10)</f>
        <v>5.2922857492570557E-2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5.9303673698504703E-3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7.9436812497067337E-5</v>
      </c>
      <c r="BM11" s="31">
        <f>BI50+1</f>
        <v>7</v>
      </c>
      <c r="BN11" s="31">
        <v>7</v>
      </c>
      <c r="BO11" s="107">
        <f>$H$32*H46</f>
        <v>2.4181800508248614E-5</v>
      </c>
      <c r="BQ11" s="31">
        <f>BQ8+1</f>
        <v>4</v>
      </c>
      <c r="BR11" s="31">
        <v>1</v>
      </c>
      <c r="BS11" s="107">
        <f>$H$29*H40</f>
        <v>3.1761167059993142E-2</v>
      </c>
    </row>
    <row r="12" spans="1:71" ht="15.75" x14ac:dyDescent="0.25">
      <c r="A12" s="6" t="s">
        <v>52</v>
      </c>
      <c r="B12" s="271">
        <v>12.75</v>
      </c>
      <c r="C12" s="272">
        <v>17.8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9.6817107189908169E-6</v>
      </c>
      <c r="BM12" s="31">
        <f>BI54+1</f>
        <v>8</v>
      </c>
      <c r="BN12" s="31">
        <v>8</v>
      </c>
      <c r="BO12" s="107">
        <f>$H$33*H47</f>
        <v>7.9227055183854539E-7</v>
      </c>
      <c r="BQ12" s="31">
        <f>BQ9+1</f>
        <v>4</v>
      </c>
      <c r="BR12" s="31">
        <v>2</v>
      </c>
      <c r="BS12" s="107">
        <f>$H$29*H41</f>
        <v>3.5416157419624152E-2</v>
      </c>
    </row>
    <row r="13" spans="1:71" ht="15.75" x14ac:dyDescent="0.25">
      <c r="A13" s="7" t="s">
        <v>55</v>
      </c>
      <c r="B13" s="271">
        <v>11.5</v>
      </c>
      <c r="C13" s="272">
        <v>13</v>
      </c>
      <c r="E13" s="210"/>
      <c r="F13" s="210" t="s">
        <v>152</v>
      </c>
      <c r="G13" s="217">
        <f>B22</f>
        <v>0.8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2</v>
      </c>
      <c r="Q13" s="214">
        <f>COUNTIF(E10:I11,"CAB")</f>
        <v>0</v>
      </c>
      <c r="R13" s="221">
        <f t="shared" si="0"/>
        <v>0.18</v>
      </c>
      <c r="S13" s="221">
        <f t="shared" si="1"/>
        <v>0.24649253731343285</v>
      </c>
      <c r="T13" s="226">
        <f>IF((Q13+P13)=0,0,S13*P14/4*P13/L13)</f>
        <v>3.5213219616204695E-2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3.5213219616204695E-2</v>
      </c>
      <c r="Y13" s="252">
        <f t="shared" si="7"/>
        <v>0</v>
      </c>
      <c r="Z13" s="199"/>
      <c r="AA13" s="244">
        <f t="shared" si="8"/>
        <v>3.5213219616204695E-2</v>
      </c>
      <c r="AB13" s="245">
        <f t="shared" si="9"/>
        <v>0.96478678038379528</v>
      </c>
      <c r="AC13" s="245">
        <f>PRODUCT(AB14:AB$16)*AA13*PRODUCT(AB$4:AB12)</f>
        <v>2.4901814116103427E-2</v>
      </c>
      <c r="AD13" s="245">
        <f>AA13*AA14*PRODUCT(AB3:AB12)*PRODUCT(AB15:AB17)+AA13*AA15*PRODUCT(AB3:AB12)*AB14*PRODUCT(AB16:AB17)+AA13*AA16*PRODUCT(AB3:AB12)*AB14*AB15*AB17+AA13*AA17*PRODUCT(AB3:AB12)*AB14*AB15*AB16</f>
        <v>1.8815406673249411E-3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7.3762177337042914E-7</v>
      </c>
      <c r="BM13" s="31">
        <f>BI57+1</f>
        <v>9</v>
      </c>
      <c r="BN13" s="31">
        <v>9</v>
      </c>
      <c r="BO13" s="107">
        <f>$H$34*H48</f>
        <v>1.2773027902825565E-8</v>
      </c>
      <c r="BQ13" s="31">
        <f>BM7+1</f>
        <v>4</v>
      </c>
      <c r="BR13" s="31">
        <v>3</v>
      </c>
      <c r="BS13" s="107">
        <f>$H$29*H42</f>
        <v>2.6197348030884242E-2</v>
      </c>
    </row>
    <row r="14" spans="1:71" ht="15.75" x14ac:dyDescent="0.25">
      <c r="A14" s="7" t="s">
        <v>58</v>
      </c>
      <c r="B14" s="271">
        <v>9</v>
      </c>
      <c r="C14" s="272">
        <v>11</v>
      </c>
      <c r="E14" s="210"/>
      <c r="F14" s="210" t="s">
        <v>153</v>
      </c>
      <c r="G14" s="215">
        <f>C22</f>
        <v>0.19999999999999996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0.24649253731343285</v>
      </c>
      <c r="T14" s="226">
        <f>S14*P14^2.7/(Q14^2.7+P14^2.7)</f>
        <v>0.12324626865671644</v>
      </c>
      <c r="U14" s="228">
        <f>S14*Q14^2.7/(Q14^2.7+P14^2.7)</f>
        <v>0.12324626865671644</v>
      </c>
      <c r="V14" s="218">
        <f>$G$17</f>
        <v>0.56999999999999995</v>
      </c>
      <c r="W14" s="216">
        <f>$H$17</f>
        <v>0.56999999999999995</v>
      </c>
      <c r="X14" s="251">
        <f t="shared" si="7"/>
        <v>7.0250373134328359E-2</v>
      </c>
      <c r="Y14" s="252">
        <f t="shared" si="7"/>
        <v>7.0250373134328359E-2</v>
      </c>
      <c r="Z14" s="199"/>
      <c r="AA14" s="244">
        <f t="shared" si="8"/>
        <v>7.0250373134328359E-2</v>
      </c>
      <c r="AB14" s="245">
        <f t="shared" si="9"/>
        <v>0.92974962686567164</v>
      </c>
      <c r="AC14" s="245">
        <f>PRODUCT(AB15:AB$16)*AA14*PRODUCT(AB$4:AB13)</f>
        <v>5.1551252125614642E-2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7.0250373134328359E-2</v>
      </c>
      <c r="AH14" s="247">
        <f t="shared" si="2"/>
        <v>0.92974962686567164</v>
      </c>
      <c r="AI14" s="247">
        <f>AG14*PRODUCT(AH3:AH13)*PRODUCT(AH15:AH17)</f>
        <v>4.3522395443331793E-2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5.427328909723976E-2</v>
      </c>
      <c r="BM14" s="31">
        <f>BQ39+1</f>
        <v>10</v>
      </c>
      <c r="BN14" s="31">
        <v>10</v>
      </c>
      <c r="BO14" s="107">
        <f>$H$35*H49</f>
        <v>9.4448088252185851E-11</v>
      </c>
      <c r="BQ14" s="31">
        <f>BQ10+1</f>
        <v>5</v>
      </c>
      <c r="BR14" s="31">
        <v>0</v>
      </c>
      <c r="BS14" s="107">
        <f>$H$30*H39</f>
        <v>5.2989875855886312E-3</v>
      </c>
    </row>
    <row r="15" spans="1:71" ht="15.75" x14ac:dyDescent="0.25">
      <c r="A15" s="162" t="s">
        <v>62</v>
      </c>
      <c r="B15" s="273">
        <v>9.25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4.0145977058294709E-2</v>
      </c>
      <c r="BQ15" s="31">
        <f>BQ11+1</f>
        <v>5</v>
      </c>
      <c r="BR15" s="31">
        <v>1</v>
      </c>
      <c r="BS15" s="107">
        <f>$H$30*H40</f>
        <v>1.3078655677209306E-2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2.4078627717334728E-2</v>
      </c>
      <c r="BQ16" s="31">
        <f>BQ12+1</f>
        <v>5</v>
      </c>
      <c r="BR16" s="31">
        <v>2</v>
      </c>
      <c r="BS16" s="107">
        <f>$H$30*H41</f>
        <v>1.4583712475872916E-2</v>
      </c>
    </row>
    <row r="17" spans="1:71" x14ac:dyDescent="0.25">
      <c r="A17" s="161" t="s">
        <v>69</v>
      </c>
      <c r="B17" s="275" t="s">
        <v>70</v>
      </c>
      <c r="C17" s="276" t="s">
        <v>186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1.2039689503904967E-2</v>
      </c>
      <c r="BQ17" s="31">
        <f>BQ13+1</f>
        <v>5</v>
      </c>
      <c r="BR17" s="31">
        <v>3</v>
      </c>
      <c r="BS17" s="107">
        <f>$H$30*H42</f>
        <v>1.0787578866506116E-2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0.68227050319861082</v>
      </c>
      <c r="AC18" s="159">
        <f>SUM(AC4:AC16)</f>
        <v>0.27007034563880294</v>
      </c>
      <c r="AD18" s="159">
        <f>SUM(AD3:AD17)</f>
        <v>4.3747268927739121E-2</v>
      </c>
      <c r="AE18" s="159">
        <f>IF((1-AB18-AC18-AD18)&lt;0,(1-AB18-AC18-AD18)-1,1-AB18-AC18-AD18)</f>
        <v>3.9118822348471124E-3</v>
      </c>
      <c r="AF18" s="197"/>
      <c r="AG18" s="157"/>
      <c r="AH18" s="160">
        <f>PRODUCT(AH3:AH17)</f>
        <v>0.5760101920934062</v>
      </c>
      <c r="AI18" s="159">
        <f>SUM(AI3:AI17)</f>
        <v>0.26074808188372034</v>
      </c>
      <c r="AJ18" s="159">
        <f>SUM(AJ3:AJ17)</f>
        <v>4.2923771889712289E-2</v>
      </c>
      <c r="AK18" s="159">
        <f>IF((1-AH18-AI18-AJ18)&lt;0,(1-AH18-AI18-AJ18)-1,(1-AH18-AI18-AJ18))</f>
        <v>0.12031795413316117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4.6251078186443995E-3</v>
      </c>
      <c r="BQ18" s="31">
        <f>BM8+1</f>
        <v>5</v>
      </c>
      <c r="BR18" s="31">
        <v>4</v>
      </c>
      <c r="BS18" s="107">
        <f>$H$30*H43</f>
        <v>6.4701400870332175E-3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1.2663782293305965E-3</v>
      </c>
      <c r="BQ19" s="31">
        <f>BQ15+1</f>
        <v>6</v>
      </c>
      <c r="BR19" s="31">
        <v>1</v>
      </c>
      <c r="BS19" s="107">
        <f>$H$31*H40</f>
        <v>4.0096077892580627E-3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2.3592037633401232E-4</v>
      </c>
      <c r="BQ20" s="31">
        <f>BQ16+1</f>
        <v>6</v>
      </c>
      <c r="BR20" s="31">
        <v>2</v>
      </c>
      <c r="BS20" s="107">
        <f>$H$31*H41</f>
        <v>4.4710227551488903E-3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2.8753832946981348E-5</v>
      </c>
      <c r="BQ21" s="31">
        <f>BQ17+1</f>
        <v>6</v>
      </c>
      <c r="BR21" s="31">
        <v>3</v>
      </c>
      <c r="BS21" s="107">
        <f>$H$31*H42</f>
        <v>3.3072176007930515E-3</v>
      </c>
    </row>
    <row r="22" spans="1:71" x14ac:dyDescent="0.25">
      <c r="A22" s="26" t="s">
        <v>81</v>
      </c>
      <c r="B22" s="169">
        <f>(B6)/((B6)+(C6))</f>
        <v>0.8</v>
      </c>
      <c r="C22" s="170">
        <f>1-B22</f>
        <v>0.19999999999999996</v>
      </c>
      <c r="V22" s="171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2"/>
        <v>2.1906720687230205E-6</v>
      </c>
      <c r="BQ22" s="31">
        <f>BQ18+1</f>
        <v>6</v>
      </c>
      <c r="BR22" s="31">
        <v>4</v>
      </c>
      <c r="BS22" s="107">
        <f>$H$31*H43</f>
        <v>1.9835925595752687E-3</v>
      </c>
    </row>
    <row r="23" spans="1:71" ht="15.75" thickBot="1" x14ac:dyDescent="0.3">
      <c r="A23" s="40" t="s">
        <v>82</v>
      </c>
      <c r="B23" s="56">
        <f>((B22^2.8)/((B22^2.8)+(C22^2.8)))*B21</f>
        <v>4.898995877879595</v>
      </c>
      <c r="C23" s="57">
        <f>B21-B23</f>
        <v>0.10100412212040499</v>
      </c>
      <c r="D23" s="149">
        <f>SUM(D25:D30)</f>
        <v>1</v>
      </c>
      <c r="E23" s="149">
        <f>SUM(E25:E30)</f>
        <v>1</v>
      </c>
      <c r="H23" s="229">
        <f>SUM(H25:H35)</f>
        <v>0.99999937621996171</v>
      </c>
      <c r="I23" s="81"/>
      <c r="J23" s="229">
        <f>SUM(J25:J35)</f>
        <v>1.0000000000000002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1.0050760126517704</v>
      </c>
      <c r="V23" s="171">
        <f>SUM(V25:V34)</f>
        <v>0.18468291056948474</v>
      </c>
      <c r="Y23" s="168">
        <f>SUM(Y25:Y35)</f>
        <v>1.131594791380058E-17</v>
      </c>
      <c r="Z23" s="81"/>
      <c r="AA23" s="168">
        <f>SUM(AA25:AA35)</f>
        <v>5.4886231740490943E-15</v>
      </c>
      <c r="AB23" s="81"/>
      <c r="AC23" s="168">
        <f>SUM(AC25:AC35)</f>
        <v>1.197979548378303E-12</v>
      </c>
      <c r="AD23" s="81"/>
      <c r="AE23" s="168">
        <f>SUM(AE25:AE35)</f>
        <v>1.5495050161891958E-10</v>
      </c>
      <c r="AF23" s="81"/>
      <c r="AG23" s="168">
        <f>SUM(AG25:AG35)</f>
        <v>1.3152486054449533E-8</v>
      </c>
      <c r="AH23" s="81"/>
      <c r="AI23" s="168">
        <f>SUM(AI25:AI35)</f>
        <v>7.6554170966249519E-7</v>
      </c>
      <c r="AJ23" s="81"/>
      <c r="AK23" s="168">
        <f>SUM(AK25:AK35)</f>
        <v>3.0943689079761972E-5</v>
      </c>
      <c r="AL23" s="81"/>
      <c r="AM23" s="168">
        <f>SUM(AM25:AM35)</f>
        <v>8.5768293538161778E-4</v>
      </c>
      <c r="AN23" s="81"/>
      <c r="AO23" s="168">
        <f>SUM(AO25:AO35)</f>
        <v>1.5601532948934599E-2</v>
      </c>
      <c r="AP23" s="81"/>
      <c r="AQ23" s="168">
        <f>SUM(AQ25:AQ35)</f>
        <v>0.16819197214573903</v>
      </c>
      <c r="AR23" s="81"/>
      <c r="AS23" s="168">
        <f>SUM(AS25:AS35)</f>
        <v>0.8153170894305154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5.4944454041090218E-2</v>
      </c>
      <c r="BQ23" s="31">
        <f>BM9+1</f>
        <v>6</v>
      </c>
      <c r="BR23" s="31">
        <v>5</v>
      </c>
      <c r="BS23" s="107">
        <f>$H$31*H44</f>
        <v>9.9182722536755277E-4</v>
      </c>
    </row>
    <row r="24" spans="1:71" ht="15.75" thickBot="1" x14ac:dyDescent="0.3">
      <c r="A24" s="26" t="s">
        <v>83</v>
      </c>
      <c r="B24" s="64">
        <f>B23/B21</f>
        <v>0.979799175575919</v>
      </c>
      <c r="C24" s="65">
        <f>C23/B21</f>
        <v>2.0200824424080999E-2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3.2954411647935507E-2</v>
      </c>
      <c r="BQ24" s="31">
        <f>BI49+1</f>
        <v>7</v>
      </c>
      <c r="BR24" s="31">
        <v>0</v>
      </c>
      <c r="BS24" s="107">
        <f t="shared" ref="BS24:BS30" si="17">$H$32*H39</f>
        <v>3.7656170227275544E-4</v>
      </c>
    </row>
    <row r="25" spans="1:71" x14ac:dyDescent="0.25">
      <c r="A25" s="26" t="s">
        <v>108</v>
      </c>
      <c r="B25" s="172">
        <f>1/(1+EXP(-3.1416*4*((B11/(B11+C8))-(3.1416/6))))</f>
        <v>0.14558439533027484</v>
      </c>
      <c r="C25" s="170">
        <f>1/(1+EXP(-3.1416*4*((C11/(C11+B8))-(3.1416/6))))</f>
        <v>9.5649575888445956E-2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6.9055383424580813E-2</v>
      </c>
      <c r="I25" s="97">
        <v>0</v>
      </c>
      <c r="J25" s="98">
        <f t="shared" ref="J25:J35" si="18">Y25+AA25+AC25+AE25+AG25+AI25+AK25+AM25+AO25+AQ25+AS25</f>
        <v>0.1012140831251481</v>
      </c>
      <c r="K25" s="97">
        <v>0</v>
      </c>
      <c r="L25" s="98">
        <f>AB18</f>
        <v>0.68227050319861082</v>
      </c>
      <c r="M25" s="85">
        <v>0</v>
      </c>
      <c r="N25" s="173">
        <f>(1-$B$24)^$B$21</f>
        <v>3.3639185355475806E-9</v>
      </c>
      <c r="O25" s="72">
        <v>0</v>
      </c>
      <c r="P25" s="173">
        <f t="shared" ref="P25:P30" si="19">N25</f>
        <v>3.3639185355475806E-9</v>
      </c>
      <c r="Q25" s="28">
        <v>0</v>
      </c>
      <c r="R25" s="174">
        <f>P25*N25</f>
        <v>1.131594791380058E-17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1.131594791380058E-17</v>
      </c>
      <c r="W25" s="134">
        <f>B31</f>
        <v>0.20893504215303824</v>
      </c>
      <c r="X25" s="28">
        <v>0</v>
      </c>
      <c r="Y25" s="176">
        <f>V25</f>
        <v>1.131594791380058E-17</v>
      </c>
      <c r="Z25" s="28">
        <v>0</v>
      </c>
      <c r="AA25" s="176">
        <f>((1-W25)^Z26)*V26</f>
        <v>4.3418574598170044E-15</v>
      </c>
      <c r="AB25" s="28">
        <v>0</v>
      </c>
      <c r="AC25" s="176">
        <f>(((1-$W$25)^AB27))*V27</f>
        <v>7.4967615521215399E-13</v>
      </c>
      <c r="AD25" s="28">
        <v>0</v>
      </c>
      <c r="AE25" s="176">
        <f>(((1-$W$25)^AB28))*V28</f>
        <v>7.6706016039939227E-11</v>
      </c>
      <c r="AF25" s="28">
        <v>0</v>
      </c>
      <c r="AG25" s="176">
        <f>(((1-$W$25)^AB29))*V29</f>
        <v>5.1505835589218168E-9</v>
      </c>
      <c r="AH25" s="28">
        <v>0</v>
      </c>
      <c r="AI25" s="176">
        <f>(((1-$W$25)^AB30))*V30</f>
        <v>2.3715352906497613E-7</v>
      </c>
      <c r="AJ25" s="28">
        <v>0</v>
      </c>
      <c r="AK25" s="176">
        <f>(((1-$W$25)^AB31))*V31</f>
        <v>7.5830683320815805E-6</v>
      </c>
      <c r="AL25" s="28">
        <v>0</v>
      </c>
      <c r="AM25" s="176">
        <f>(((1-$W$25)^AB32))*V32</f>
        <v>1.6626919609588571E-4</v>
      </c>
      <c r="AN25" s="28">
        <v>0</v>
      </c>
      <c r="AO25" s="176">
        <f>(((1-$W$25)^AB33))*V33</f>
        <v>2.3925688660537273E-3</v>
      </c>
      <c r="AP25" s="28">
        <v>0</v>
      </c>
      <c r="AQ25" s="176">
        <f>(((1-$W$25)^AB34))*V34</f>
        <v>2.0403965671976762E-2</v>
      </c>
      <c r="AR25" s="28">
        <v>0</v>
      </c>
      <c r="AS25" s="176">
        <f>(((1-$W$25)^AB35))*V35</f>
        <v>7.8243453941116967E-2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1.6477719938307614E-2</v>
      </c>
      <c r="BQ25" s="31">
        <f>BQ19+1</f>
        <v>7</v>
      </c>
      <c r="BR25" s="31">
        <v>1</v>
      </c>
      <c r="BS25" s="107">
        <f t="shared" si="17"/>
        <v>9.2940788512945621E-4</v>
      </c>
    </row>
    <row r="26" spans="1:71" x14ac:dyDescent="0.25">
      <c r="A26" s="40" t="s">
        <v>109</v>
      </c>
      <c r="B26" s="169">
        <f>1/(1+EXP(-3.1416*4*((B10/(B10+C9))-(3.1416/6))))</f>
        <v>0.15128383489716007</v>
      </c>
      <c r="C26" s="170">
        <f>1/(1+EXP(-3.1416*4*((C10/(C10+B9))-(3.1416/6))))</f>
        <v>0.58866235386499299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0.20508844115589453</v>
      </c>
      <c r="I26" s="138">
        <v>1</v>
      </c>
      <c r="J26" s="86">
        <f t="shared" si="18"/>
        <v>0.26053232245777846</v>
      </c>
      <c r="K26" s="138">
        <v>1</v>
      </c>
      <c r="L26" s="86">
        <f>AC18</f>
        <v>0.27007034563880294</v>
      </c>
      <c r="M26" s="85">
        <v>1</v>
      </c>
      <c r="N26" s="173">
        <f>(($B$24)^M26)*((1-($B$24))^($B$21-M26))*HLOOKUP($B$21,$AV$24:$BF$34,M26+1)</f>
        <v>8.1579952843533912E-7</v>
      </c>
      <c r="O26" s="72">
        <v>1</v>
      </c>
      <c r="P26" s="173">
        <f t="shared" si="19"/>
        <v>8.1579952843533912E-7</v>
      </c>
      <c r="Q26" s="28">
        <v>1</v>
      </c>
      <c r="R26" s="174">
        <f>N26*P25+P26*N25</f>
        <v>5.4885663099892256E-15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5.4886231740490943E-15</v>
      </c>
      <c r="W26" s="177"/>
      <c r="X26" s="28">
        <v>1</v>
      </c>
      <c r="Y26" s="174"/>
      <c r="Z26" s="28">
        <v>1</v>
      </c>
      <c r="AA26" s="176">
        <f>(1-((1-W25)^Z26))*V26</f>
        <v>1.1467657142320901E-15</v>
      </c>
      <c r="AB26" s="28">
        <v>1</v>
      </c>
      <c r="AC26" s="176">
        <f>((($W$25)^M26)*((1-($W$25))^($U$27-M26))*HLOOKUP($U$27,$AV$24:$BF$34,M26+1))*V27</f>
        <v>3.9600697145450136E-13</v>
      </c>
      <c r="AD26" s="28">
        <v>1</v>
      </c>
      <c r="AE26" s="176">
        <f>((($W$25)^M26)*((1-($W$25))^($U$28-M26))*HLOOKUP($U$28,$AV$24:$BF$34,M26+1))*V28</f>
        <v>6.0778477933022574E-11</v>
      </c>
      <c r="AF26" s="28">
        <v>1</v>
      </c>
      <c r="AG26" s="176">
        <f>((($W$25)^M26)*((1-($W$25))^($U$29-M26))*HLOOKUP($U$29,$AV$24:$BF$34,M26+1))*V29</f>
        <v>5.4414615756713299E-9</v>
      </c>
      <c r="AH26" s="28">
        <v>1</v>
      </c>
      <c r="AI26" s="176">
        <f>((($W$25)^M26)*((1-($W$25))^($U$30-M26))*HLOOKUP($U$30,$AV$24:$BF$34,M26+1))*V30</f>
        <v>3.1318339979811351E-7</v>
      </c>
      <c r="AJ26" s="28">
        <v>1</v>
      </c>
      <c r="AK26" s="176">
        <f>((($W$25)^M26)*((1-($W$25))^($U$31-M26))*HLOOKUP($U$31,$AV$24:$BF$34,M26+1))*V31</f>
        <v>1.2016980546768277E-5</v>
      </c>
      <c r="AL26" s="28">
        <v>1</v>
      </c>
      <c r="AM26" s="176">
        <f>((($W$25)^Q26)*((1-($W$25))^($U$32-Q26))*HLOOKUP($U$32,$AV$24:$BF$34,Q26+1))*V32</f>
        <v>3.0740361844262625E-4</v>
      </c>
      <c r="AN26" s="28">
        <v>1</v>
      </c>
      <c r="AO26" s="176">
        <f>((($W$25)^Q26)*((1-($W$25))^($U$33-Q26))*HLOOKUP($U$33,$AV$24:$BF$34,Q26+1))*V33</f>
        <v>5.0553772802024747E-3</v>
      </c>
      <c r="AP26" s="28">
        <v>1</v>
      </c>
      <c r="AQ26" s="176">
        <f>((($W$25)^Q26)*((1-($W$25))^($U$34-Q26))*HLOOKUP($U$34,$AV$24:$BF$34,Q26+1))*V34</f>
        <v>4.850161857036156E-2</v>
      </c>
      <c r="AR26" s="28">
        <v>1</v>
      </c>
      <c r="AS26" s="176">
        <f>((($W$25)^Q26)*((1-($W$25))^($U$35-Q26))*HLOOKUP($U$35,$AV$24:$BF$34,Q26+1))*V35</f>
        <v>0.20665558732218803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6.3299997309217001E-3</v>
      </c>
      <c r="BQ26" s="31">
        <f>BQ20+1</f>
        <v>7</v>
      </c>
      <c r="BR26" s="31">
        <v>2</v>
      </c>
      <c r="BS26" s="107">
        <f t="shared" si="17"/>
        <v>1.0363616646897826E-3</v>
      </c>
    </row>
    <row r="27" spans="1:71" x14ac:dyDescent="0.25">
      <c r="A27" s="26" t="s">
        <v>110</v>
      </c>
      <c r="B27" s="169">
        <f>1/(1+EXP(-3.1416*4*((B12/(B12+C7))-(3.1416/6))))</f>
        <v>0.12990894102484798</v>
      </c>
      <c r="C27" s="170">
        <f>1/(1+EXP(-3.1416*4*((C12/(C12+B7))-(3.1416/6))))</f>
        <v>0.59854061891681032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0.28068746248438015</v>
      </c>
      <c r="I27" s="138">
        <v>2</v>
      </c>
      <c r="J27" s="86">
        <f t="shared" si="18"/>
        <v>0.30178289612271297</v>
      </c>
      <c r="K27" s="138">
        <v>2</v>
      </c>
      <c r="L27" s="86">
        <f>AD18</f>
        <v>4.3747268927739121E-2</v>
      </c>
      <c r="M27" s="85">
        <v>2</v>
      </c>
      <c r="N27" s="173">
        <f>(($B$24)^M27)*((1-($B$24))^($B$21-M27))*HLOOKUP($B$21,$AV$24:$BF$34,M27+1)</f>
        <v>7.9137335052852174E-5</v>
      </c>
      <c r="O27" s="72">
        <v>2</v>
      </c>
      <c r="P27" s="173">
        <f t="shared" si="19"/>
        <v>7.9137335052852174E-5</v>
      </c>
      <c r="Q27" s="28">
        <v>2</v>
      </c>
      <c r="R27" s="174">
        <f>P25*N27+P26*N26+P27*N25</f>
        <v>1.1979519670715791E-12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1.1979795483783032E-12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5.2296421711647827E-14</v>
      </c>
      <c r="AD27" s="28">
        <v>2</v>
      </c>
      <c r="AE27" s="176">
        <f>((($W$25)^M27)*((1-($W$25))^($U$28-M27))*HLOOKUP($U$28,$AV$24:$BF$34,M27+1))*V28</f>
        <v>1.6052732108745809E-11</v>
      </c>
      <c r="AF27" s="28">
        <v>2</v>
      </c>
      <c r="AG27" s="176">
        <f>((($W$25)^M27)*((1-($W$25))^($U$29-M27))*HLOOKUP($U$29,$AV$24:$BF$34,M27+1))*V29</f>
        <v>2.1557875729599167E-9</v>
      </c>
      <c r="AH27" s="28">
        <v>2</v>
      </c>
      <c r="AI27" s="176">
        <f>((($W$25)^M27)*((1-($W$25))^($U$30-M27))*HLOOKUP($U$30,$AV$24:$BF$34,M27+1))*V30</f>
        <v>1.6543517997951725E-7</v>
      </c>
      <c r="AJ27" s="28">
        <v>2</v>
      </c>
      <c r="AK27" s="176">
        <f>((($W$25)^M27)*((1-($W$25))^($U$31-M27))*HLOOKUP($U$31,$AV$24:$BF$34,M27+1))*V31</f>
        <v>7.9347729670797766E-6</v>
      </c>
      <c r="AL27" s="28">
        <v>2</v>
      </c>
      <c r="AM27" s="176">
        <f>((($W$25)^Q27)*((1-($W$25))^($U$32-Q27))*HLOOKUP($U$32,$AV$24:$BF$34,Q27+1))*V32</f>
        <v>2.4357312508993198E-4</v>
      </c>
      <c r="AN27" s="28">
        <v>2</v>
      </c>
      <c r="AO27" s="176">
        <f>((($W$25)^Q27)*((1-($W$25))^($U$33-Q27))*HLOOKUP($U$33,$AV$24:$BF$34,Q27+1))*V33</f>
        <v>4.6732687263090029E-3</v>
      </c>
      <c r="AP27" s="28">
        <v>2</v>
      </c>
      <c r="AQ27" s="176">
        <f>((($W$25)^Q27)*((1-($W$25))^($U$34-Q27))*HLOOKUP($U$34,$AV$24:$BF$34,Q27+1))*V34</f>
        <v>5.1240736275665111E-2</v>
      </c>
      <c r="AR27" s="28">
        <v>2</v>
      </c>
      <c r="AS27" s="176">
        <f>((($W$25)^Q27)*((1-($W$25))^($U$35-Q27))*HLOOKUP($U$35,$AV$24:$BF$34,Q27+1))*V35</f>
        <v>0.24561721561560929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1.7331863742924122E-3</v>
      </c>
      <c r="BQ27" s="31">
        <f>BQ21+1</f>
        <v>7</v>
      </c>
      <c r="BR27" s="31">
        <v>3</v>
      </c>
      <c r="BS27" s="107">
        <f t="shared" si="17"/>
        <v>7.6659720291114843E-4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0.23462805113002794</v>
      </c>
      <c r="I28" s="138">
        <v>3</v>
      </c>
      <c r="J28" s="86">
        <f t="shared" si="18"/>
        <v>0.20714939932926177</v>
      </c>
      <c r="K28" s="138">
        <v>3</v>
      </c>
      <c r="L28" s="86">
        <f>AE18</f>
        <v>3.9118822348471124E-3</v>
      </c>
      <c r="M28" s="85">
        <v>3</v>
      </c>
      <c r="N28" s="173">
        <f>(($B$24)^M28)*((1-($B$24))^($B$21-M28))*HLOOKUP($B$21,$AV$24:$BF$34,M28+1)</f>
        <v>3.8383926326109501E-3</v>
      </c>
      <c r="O28" s="72">
        <v>3</v>
      </c>
      <c r="P28" s="173">
        <f t="shared" si="19"/>
        <v>3.8383926326109501E-3</v>
      </c>
      <c r="Q28" s="28">
        <v>3</v>
      </c>
      <c r="R28" s="174">
        <f>P25*N28+P26*N27+P27*N26+P28*N25</f>
        <v>1.5494448148259095E-10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1.5495050161891961E-10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1.4132755372119904E-12</v>
      </c>
      <c r="AF28" s="28">
        <v>3</v>
      </c>
      <c r="AG28" s="176">
        <f>((($W$25)^M28)*((1-($W$25))^($U$29-M28))*HLOOKUP($U$29,$AV$24:$BF$34,M28+1))*V29</f>
        <v>3.7958919636240014E-10</v>
      </c>
      <c r="AH28" s="28">
        <v>3</v>
      </c>
      <c r="AI28" s="176">
        <f>((($W$25)^M28)*((1-($W$25))^($U$30-M28))*HLOOKUP($U$30,$AV$24:$BF$34,M28+1))*V30</f>
        <v>4.3694523388688436E-8</v>
      </c>
      <c r="AJ28" s="28">
        <v>3</v>
      </c>
      <c r="AK28" s="176">
        <f>((($W$25)^M28)*((1-($W$25))^($U$31-M28))*HLOOKUP($U$31,$AV$24:$BF$34,M28+1))*V31</f>
        <v>2.7942958125103841E-6</v>
      </c>
      <c r="AL28" s="28">
        <v>3</v>
      </c>
      <c r="AM28" s="176">
        <f>((($W$25)^Q28)*((1-($W$25))^($U$32-Q28))*HLOOKUP($U$32,$AV$24:$BF$34,Q28+1))*V32</f>
        <v>1.0722035877753519E-4</v>
      </c>
      <c r="AN28" s="28">
        <v>3</v>
      </c>
      <c r="AO28" s="176">
        <f>((($W$25)^Q28)*((1-($W$25))^($U$33-Q28))*HLOOKUP($U$33,$AV$24:$BF$34,Q28+1))*V33</f>
        <v>2.4685952490711674E-3</v>
      </c>
      <c r="AP28" s="28">
        <v>3</v>
      </c>
      <c r="AQ28" s="176">
        <f>((($W$25)^Q28)*((1-($W$25))^($U$34-Q28))*HLOOKUP($U$34,$AV$24:$BF$34,Q28+1))*V34</f>
        <v>3.1578484595386744E-2</v>
      </c>
      <c r="AR28" s="28">
        <v>3</v>
      </c>
      <c r="AS28" s="176">
        <f>((($W$25)^Q28)*((1-($W$25))^($U$35-Q28))*HLOOKUP($U$35,$AV$24:$BF$34,Q28+1))*V35</f>
        <v>0.17299226075468796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3.2288456340266389E-4</v>
      </c>
      <c r="BQ28" s="31">
        <f>BQ22+1</f>
        <v>7</v>
      </c>
      <c r="BR28" s="31">
        <v>4</v>
      </c>
      <c r="BS28" s="107">
        <f t="shared" si="17"/>
        <v>4.5978725667193221E-4</v>
      </c>
    </row>
    <row r="29" spans="1:71" x14ac:dyDescent="0.25">
      <c r="A29" s="26" t="s">
        <v>112</v>
      </c>
      <c r="B29" s="169">
        <f>1/(1+EXP(-3.1416*4*((B14/(B14+C13))-(3.1416/6))))</f>
        <v>0.19170535930287408</v>
      </c>
      <c r="C29" s="170">
        <f>1/(1+EXP(-3.1416*4*((C14/(C14+B13))-(3.1416/6))))</f>
        <v>0.39264830554808755</v>
      </c>
      <c r="D29" s="167">
        <v>0.04</v>
      </c>
      <c r="E29" s="167">
        <v>0.04</v>
      </c>
      <c r="G29" s="87">
        <v>4</v>
      </c>
      <c r="H29" s="126">
        <f>J29*L25+J28*L26+J27*L27+J26*L28</f>
        <v>0.13383092563100052</v>
      </c>
      <c r="I29" s="138">
        <v>4</v>
      </c>
      <c r="J29" s="86">
        <f t="shared" si="18"/>
        <v>9.3312939924130214E-2</v>
      </c>
      <c r="K29" s="138">
        <v>4</v>
      </c>
      <c r="L29" s="86"/>
      <c r="M29" s="85">
        <v>4</v>
      </c>
      <c r="N29" s="173">
        <f>(($B$24)^M29)*((1-($B$24))^($B$21-M29))*HLOOKUP($B$21,$AV$24:$BF$34,M29+1)</f>
        <v>9.3086644832318113E-2</v>
      </c>
      <c r="O29" s="72">
        <v>4</v>
      </c>
      <c r="P29" s="173">
        <f t="shared" si="19"/>
        <v>9.3086644832318113E-2</v>
      </c>
      <c r="Q29" s="28">
        <v>4</v>
      </c>
      <c r="R29" s="174">
        <f>P25*N29+P26*N28+P27*N27+P28*N26+P29*N25</f>
        <v>1.3151707378461511E-8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1.3152486054449535E-8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2.5064150534070012E-11</v>
      </c>
      <c r="AH29" s="28">
        <v>4</v>
      </c>
      <c r="AI29" s="176">
        <f>((($W$25)^M29)*((1-($W$25))^($U$30-M29))*HLOOKUP($U$30,$AV$24:$BF$34,M29+1))*V30</f>
        <v>5.7702701880005911E-9</v>
      </c>
      <c r="AJ29" s="28">
        <v>4</v>
      </c>
      <c r="AK29" s="176">
        <f>((($W$25)^M29)*((1-($W$25))^($U$31-M29))*HLOOKUP($U$31,$AV$24:$BF$34,M29+1))*V31</f>
        <v>5.5351931682441712E-7</v>
      </c>
      <c r="AL29" s="28">
        <v>4</v>
      </c>
      <c r="AM29" s="176">
        <f>((($W$25)^Q29)*((1-($W$25))^($U$32-Q29))*HLOOKUP($U$32,$AV$24:$BF$34,Q29+1))*V32</f>
        <v>2.8318900943128457E-5</v>
      </c>
      <c r="AN29" s="28">
        <v>4</v>
      </c>
      <c r="AO29" s="176">
        <f>((($W$25)^Q29)*((1-($W$25))^($U$33-Q29))*HLOOKUP($U$33,$AV$24:$BF$34,Q29+1))*V33</f>
        <v>8.1500268610567065E-4</v>
      </c>
      <c r="AP29" s="28">
        <v>4</v>
      </c>
      <c r="AQ29" s="176">
        <f>((($W$25)^Q29)*((1-($W$25))^($U$34-Q29))*HLOOKUP($U$34,$AV$24:$BF$34,Q29+1))*V34</f>
        <v>1.251070208195711E-2</v>
      </c>
      <c r="AR29" s="28">
        <v>4</v>
      </c>
      <c r="AS29" s="176">
        <f>((($W$25)^Q29)*((1-($W$25))^($U$35-Q29))*HLOOKUP($U$35,$AV$24:$BF$34,Q29+1))*V35</f>
        <v>7.9958356940473138E-2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3.9352975531434494E-5</v>
      </c>
      <c r="BQ29" s="31">
        <f>BQ23+1</f>
        <v>7</v>
      </c>
      <c r="BR29" s="31">
        <v>5</v>
      </c>
      <c r="BS29" s="107">
        <f t="shared" si="17"/>
        <v>2.2990080137320508E-4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5.5109076816475117E-2</v>
      </c>
      <c r="I30" s="138">
        <v>5</v>
      </c>
      <c r="J30" s="86">
        <f t="shared" si="18"/>
        <v>2.8823258745025674E-2</v>
      </c>
      <c r="K30" s="138">
        <v>5</v>
      </c>
      <c r="L30" s="86"/>
      <c r="M30" s="85">
        <v>5</v>
      </c>
      <c r="N30" s="173">
        <f>(($B$24)^M30)*((1-($B$24))^($B$21-M30))*HLOOKUP($B$21,$AV$24:$BF$34,M30+1)</f>
        <v>0.90299500603657112</v>
      </c>
      <c r="O30" s="72">
        <v>5</v>
      </c>
      <c r="P30" s="173">
        <f t="shared" si="19"/>
        <v>0.90299500603657112</v>
      </c>
      <c r="Q30" s="28">
        <v>5</v>
      </c>
      <c r="R30" s="174">
        <f>P25*N30+P26*N29+P27*N28+P28*N27+P29*N26+P30*N25</f>
        <v>7.6547561285495669E-7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7.655417096624953E-7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3.0480724319925173E-10</v>
      </c>
      <c r="AJ30" s="28">
        <v>5</v>
      </c>
      <c r="AK30" s="176">
        <f>((($W$25)^M30)*((1-($W$25))^($U$31-M30))*HLOOKUP($U$31,$AV$24:$BF$34,M30+1))*V31</f>
        <v>5.8477919238386445E-8</v>
      </c>
      <c r="AL30" s="28">
        <v>5</v>
      </c>
      <c r="AM30" s="176">
        <f>((($W$25)^Q30)*((1-($W$25))^($U$32-Q30))*HLOOKUP($U$32,$AV$24:$BF$34,Q30+1))*V32</f>
        <v>4.4877306498702848E-6</v>
      </c>
      <c r="AN30" s="28">
        <v>5</v>
      </c>
      <c r="AO30" s="176">
        <f>((($W$25)^Q30)*((1-($W$25))^($U$33-Q30))*HLOOKUP($U$33,$AV$24:$BF$34,Q30+1))*V33</f>
        <v>1.7220595490897254E-4</v>
      </c>
      <c r="AP30" s="28">
        <v>5</v>
      </c>
      <c r="AQ30" s="176">
        <f>((($W$25)^Q30)*((1-($W$25))^($U$34-Q30))*HLOOKUP($U$34,$AV$24:$BF$34,Q30+1))*V34</f>
        <v>3.3043102730427073E-3</v>
      </c>
      <c r="AR30" s="28">
        <v>5</v>
      </c>
      <c r="AS30" s="176">
        <f>((($W$25)^Q30)*((1-($W$25))^($U$35-Q30))*HLOOKUP($U$35,$AV$24:$BF$34,Q30+1))*V35</f>
        <v>2.5342196003697644E-2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2.9981903448077349E-6</v>
      </c>
      <c r="BQ30" s="31">
        <f>BM10+1</f>
        <v>7</v>
      </c>
      <c r="BR30" s="31">
        <v>6</v>
      </c>
      <c r="BS30" s="107">
        <f t="shared" si="17"/>
        <v>8.8317559485146758E-5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0.20893504215303824</v>
      </c>
      <c r="C31" s="61">
        <f>(C25*E25)+(C26*E26)+(C27*E27)+(C28*E28)+(C29*E29)+(C30*E30)/(C25+C26+C27+C28+C29+C30)</f>
        <v>0.43180597930269099</v>
      </c>
      <c r="G31" s="87">
        <v>6</v>
      </c>
      <c r="H31" s="126">
        <f>J31*L25+J30*L26+J29*L27+J28*L28</f>
        <v>1.6895144968699774E-2</v>
      </c>
      <c r="I31" s="138">
        <v>6</v>
      </c>
      <c r="J31" s="86">
        <f t="shared" si="18"/>
        <v>6.1827488726590857E-3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3.0939841804372238E-5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3.0943689079761972E-5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2.5741852591448691E-9</v>
      </c>
      <c r="AL31" s="28">
        <v>6</v>
      </c>
      <c r="AM31" s="176">
        <f>((($W$25)^Q31)*((1-($W$25))^($U$32-Q31))*HLOOKUP($U$32,$AV$24:$BF$34,Q31+1))*V32</f>
        <v>3.950978501412038E-7</v>
      </c>
      <c r="AN31" s="28">
        <v>6</v>
      </c>
      <c r="AO31" s="176">
        <f>((($W$25)^Q31)*((1-($W$25))^($U$33-Q31))*HLOOKUP($U$33,$AV$24:$BF$34,Q31+1))*V33</f>
        <v>2.2741405804294896E-5</v>
      </c>
      <c r="AP31" s="28">
        <v>6</v>
      </c>
      <c r="AQ31" s="176">
        <f>((($W$25)^Q31)*((1-($W$25))^($U$34-Q31))*HLOOKUP($U$34,$AV$24:$BF$34,Q31+1))*V34</f>
        <v>5.8182007207424678E-4</v>
      </c>
      <c r="AR31" s="28">
        <v>6</v>
      </c>
      <c r="AS31" s="176">
        <f>((($W$25)^Q31)*((1-($W$25))^($U$35-Q31))*HLOOKUP($U$35,$AV$24:$BF$34,Q31+1))*V35</f>
        <v>5.5777897227451438E-3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2.7546757210511592E-2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6.6224549373119907E-5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3.9162136995998841E-3</v>
      </c>
      <c r="I32" s="138">
        <v>7</v>
      </c>
      <c r="J32" s="86">
        <f t="shared" si="18"/>
        <v>9.094171417217173E-4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8.5752742012522082E-4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8.5768293538161788E-4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1.4907532498704134E-8</v>
      </c>
      <c r="AN32" s="28">
        <v>7</v>
      </c>
      <c r="AO32" s="176">
        <f>((($W$25)^Q32)*((1-($W$25))^($U$33-Q32))*HLOOKUP($U$33,$AV$24:$BF$34,Q32+1))*V33</f>
        <v>1.716122960287349E-6</v>
      </c>
      <c r="AP32" s="28">
        <v>7</v>
      </c>
      <c r="AQ32" s="176">
        <f>((($W$25)^Q32)*((1-($W$25))^($U$34-Q32))*HLOOKUP($U$34,$AV$24:$BF$34,Q32+1))*V34</f>
        <v>6.5858381383842495E-5</v>
      </c>
      <c r="AR32" s="28">
        <v>7</v>
      </c>
      <c r="AS32" s="176">
        <f>((($W$25)^Q32)*((1-($W$25))^($U$35-Q32))*HLOOKUP($U$35,$AV$24:$BF$34,Q32+1))*V35</f>
        <v>8.4182772984508873E-4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1.3773808355999031E-2</v>
      </c>
      <c r="BQ32" s="31">
        <f t="shared" si="24"/>
        <v>8</v>
      </c>
      <c r="BR32" s="31">
        <v>1</v>
      </c>
      <c r="BS32" s="107">
        <f t="shared" si="25"/>
        <v>1.6345161498112283E-4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v>0.5</v>
      </c>
      <c r="G33" s="87">
        <v>8</v>
      </c>
      <c r="H33" s="126">
        <f>J33*L25+J32*L26+J31*L27+J30*L28</f>
        <v>6.8873038851143215E-4</v>
      </c>
      <c r="I33" s="138">
        <v>8</v>
      </c>
      <c r="J33" s="86">
        <f t="shared" si="18"/>
        <v>8.778367957584179E-5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1.5597222203048648E-2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1.5601532948934602E-2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5.6657519001871929E-8</v>
      </c>
      <c r="AP33" s="28">
        <v>8</v>
      </c>
      <c r="AQ33" s="176">
        <f>((($W$25)^Q33)*((1-($W$25))^($U$34-Q33))*HLOOKUP($U$34,$AV$24:$BF$34,Q33+1))*V34</f>
        <v>4.348607391235883E-6</v>
      </c>
      <c r="AR33" s="28">
        <v>8</v>
      </c>
      <c r="AS33" s="176">
        <f>((($W$25)^Q33)*((1-($W$25))^($U$35-Q33))*HLOOKUP($U$35,$AV$24:$BF$34,Q33+1))*V35</f>
        <v>8.3378414665604032E-5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5.291278375507808E-3</v>
      </c>
      <c r="BQ33" s="31">
        <f t="shared" si="24"/>
        <v>8</v>
      </c>
      <c r="BR33" s="31">
        <v>2</v>
      </c>
      <c r="BS33" s="107">
        <f t="shared" si="25"/>
        <v>1.8226119070904485E-4</v>
      </c>
    </row>
    <row r="34" spans="1:71" x14ac:dyDescent="0.25">
      <c r="A34" s="40" t="s">
        <v>117</v>
      </c>
      <c r="B34" s="56">
        <f>B23*2</f>
        <v>9.79799175575919</v>
      </c>
      <c r="C34" s="57">
        <f>C23*2</f>
        <v>0.20200824424080999</v>
      </c>
      <c r="G34" s="87">
        <v>9</v>
      </c>
      <c r="H34" s="126">
        <f>J34*L25+J33*L26+J32*L27+J31*L28</f>
        <v>9.1104388978731007E-5</v>
      </c>
      <c r="I34" s="138">
        <v>9</v>
      </c>
      <c r="J34" s="86">
        <f t="shared" si="18"/>
        <v>5.0213493538182375E-6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0.1681135508245665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0.16819197214573905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1.2761649969902623E-7</v>
      </c>
      <c r="AR34" s="28">
        <v>9</v>
      </c>
      <c r="AS34" s="176">
        <f>((($W$25)^Q34)*((1-($W$25))^($U$35-Q34))*HLOOKUP($U$35,$AV$24:$BF$34,Q34+1))*V35</f>
        <v>4.8937328541192116E-6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1.4487791426308454E-3</v>
      </c>
      <c r="BQ34" s="31">
        <f t="shared" si="24"/>
        <v>8</v>
      </c>
      <c r="BR34" s="31">
        <v>3</v>
      </c>
      <c r="BS34" s="107">
        <f t="shared" si="25"/>
        <v>1.3481868710247234E-4</v>
      </c>
    </row>
    <row r="35" spans="1:71" ht="15.75" thickBot="1" x14ac:dyDescent="0.3">
      <c r="G35" s="88">
        <v>10</v>
      </c>
      <c r="H35" s="127">
        <f>J35*L25+J34*L26+J33*L27+J32*L28</f>
        <v>8.8421318125840591E-6</v>
      </c>
      <c r="I35" s="94">
        <v>10</v>
      </c>
      <c r="J35" s="89">
        <f t="shared" si="18"/>
        <v>1.2925263216613264E-7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0.81539998092698707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0.81531708943051528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1.2925263216613264E-7</v>
      </c>
      <c r="BI35" s="31">
        <f t="shared" si="22"/>
        <v>3</v>
      </c>
      <c r="BJ35" s="31">
        <v>8</v>
      </c>
      <c r="BK35" s="107">
        <f t="shared" si="23"/>
        <v>2.6990081844269328E-4</v>
      </c>
      <c r="BQ35" s="31">
        <f t="shared" si="24"/>
        <v>8</v>
      </c>
      <c r="BR35" s="31">
        <v>4</v>
      </c>
      <c r="BS35" s="107">
        <f t="shared" si="25"/>
        <v>8.0861127663339532E-5</v>
      </c>
    </row>
    <row r="36" spans="1:71" ht="15.75" x14ac:dyDescent="0.25">
      <c r="A36" s="285" t="s">
        <v>118</v>
      </c>
      <c r="B36" s="182">
        <f>SUM(BO4:BO14)</f>
        <v>0.19487361683246268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1.0000000000000004</v>
      </c>
      <c r="BI36" s="31">
        <f t="shared" si="22"/>
        <v>3</v>
      </c>
      <c r="BJ36" s="31">
        <v>9</v>
      </c>
      <c r="BK36" s="107">
        <f t="shared" si="23"/>
        <v>3.2895348703442609E-5</v>
      </c>
      <c r="BQ36" s="31">
        <f t="shared" si="24"/>
        <v>8</v>
      </c>
      <c r="BR36" s="31">
        <v>5</v>
      </c>
      <c r="BS36" s="107">
        <f t="shared" si="25"/>
        <v>4.0431825327875886E-5</v>
      </c>
    </row>
    <row r="37" spans="1:71" ht="16.5" thickBot="1" x14ac:dyDescent="0.3">
      <c r="A37" s="110" t="s">
        <v>119</v>
      </c>
      <c r="B37" s="182">
        <f>SUM(BK4:BK59)</f>
        <v>0.37556825711142489</v>
      </c>
      <c r="G37" s="157"/>
      <c r="H37" s="229">
        <f>SUM(H39:H49)</f>
        <v>0.99999949525288512</v>
      </c>
      <c r="I37" s="230"/>
      <c r="J37" s="229">
        <f>SUM(J39:J49)</f>
        <v>1.0000000000000004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0.9999911867020268</v>
      </c>
      <c r="W37" s="157"/>
      <c r="X37" s="157"/>
      <c r="Y37" s="168">
        <f>SUM(Y39:Y49)</f>
        <v>6.3703123509920865E-3</v>
      </c>
      <c r="Z37" s="81"/>
      <c r="AA37" s="168">
        <f>SUM(AA39:AA49)</f>
        <v>4.5905573572761531E-2</v>
      </c>
      <c r="AB37" s="81"/>
      <c r="AC37" s="168">
        <f>SUM(AC39:AC49)</f>
        <v>0.14309212248001363</v>
      </c>
      <c r="AD37" s="81"/>
      <c r="AE37" s="168">
        <f>SUM(AE39:AE49)</f>
        <v>0.25140173423907747</v>
      </c>
      <c r="AF37" s="81"/>
      <c r="AG37" s="168">
        <f>SUM(AG39:AG49)</f>
        <v>0.27153553835430538</v>
      </c>
      <c r="AH37" s="81"/>
      <c r="AI37" s="168">
        <f>SUM(AI39:AI49)</f>
        <v>0.18415235996581361</v>
      </c>
      <c r="AJ37" s="81"/>
      <c r="AK37" s="168">
        <f>SUM(AK39:AK49)</f>
        <v>7.6677779521677994E-2</v>
      </c>
      <c r="AL37" s="81"/>
      <c r="AM37" s="168">
        <f>SUM(AM39:AM49)</f>
        <v>1.8366008002619359E-2</v>
      </c>
      <c r="AN37" s="81"/>
      <c r="AO37" s="168">
        <f>SUM(AO39:AO49)</f>
        <v>2.3157198863265945E-3</v>
      </c>
      <c r="AP37" s="81"/>
      <c r="AQ37" s="168">
        <f>SUM(AQ39:AQ49)</f>
        <v>1.7403832843945676E-4</v>
      </c>
      <c r="AR37" s="81"/>
      <c r="AS37" s="168">
        <f>SUM(AS39:AS49)</f>
        <v>8.8132979731980839E-6</v>
      </c>
      <c r="BI37" s="31">
        <f t="shared" si="22"/>
        <v>3</v>
      </c>
      <c r="BJ37" s="31">
        <v>10</v>
      </c>
      <c r="BK37" s="107">
        <f t="shared" si="23"/>
        <v>2.506202276698596E-6</v>
      </c>
      <c r="BQ37" s="31">
        <f t="shared" si="24"/>
        <v>8</v>
      </c>
      <c r="BR37" s="31">
        <v>6</v>
      </c>
      <c r="BS37" s="107">
        <f t="shared" si="25"/>
        <v>1.5532090872058714E-5</v>
      </c>
    </row>
    <row r="38" spans="1:71" ht="16.5" thickBot="1" x14ac:dyDescent="0.3">
      <c r="A38" s="111" t="s">
        <v>120</v>
      </c>
      <c r="B38" s="182">
        <f>SUM(BS4:BS47)</f>
        <v>0.42954815549637249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7.8565265869501334E-3</v>
      </c>
      <c r="BQ38" s="31">
        <f>BM11+1</f>
        <v>8</v>
      </c>
      <c r="BR38" s="31">
        <v>7</v>
      </c>
      <c r="BS38" s="107">
        <f t="shared" si="25"/>
        <v>4.2527660992181331E-6</v>
      </c>
    </row>
    <row r="39" spans="1:71" x14ac:dyDescent="0.25">
      <c r="G39" s="128">
        <v>0</v>
      </c>
      <c r="H39" s="129">
        <f>L39*J39</f>
        <v>9.6154533730176267E-2</v>
      </c>
      <c r="I39" s="97">
        <v>0</v>
      </c>
      <c r="J39" s="98">
        <f t="shared" ref="J39:J49" si="29">Y39+AA39+AC39+AE39+AG39+AI39+AK39+AM39+AO39+AQ39+AS39</f>
        <v>0.16693200059658628</v>
      </c>
      <c r="K39" s="102">
        <v>0</v>
      </c>
      <c r="L39" s="98">
        <f>AH18</f>
        <v>0.5760101920934062</v>
      </c>
      <c r="M39" s="85">
        <v>0</v>
      </c>
      <c r="N39" s="173">
        <f>(1-$C$24)^$B$21</f>
        <v>0.90299500603657112</v>
      </c>
      <c r="O39" s="72">
        <v>0</v>
      </c>
      <c r="P39" s="173">
        <f t="shared" ref="P39:P44" si="30">N39</f>
        <v>0.90299500603657112</v>
      </c>
      <c r="Q39" s="28">
        <v>0</v>
      </c>
      <c r="R39" s="174">
        <f>P39*N39</f>
        <v>0.81539998092698707</v>
      </c>
      <c r="S39" s="72">
        <v>0</v>
      </c>
      <c r="T39" s="175">
        <f>(1-$C$33)^(INT(B23*2*(1-B31)))</f>
        <v>7.8125E-3</v>
      </c>
      <c r="U39" s="138">
        <v>0</v>
      </c>
      <c r="V39" s="86">
        <f>R39*T39</f>
        <v>6.3703123509920865E-3</v>
      </c>
      <c r="W39" s="134">
        <f>C31</f>
        <v>0.43180597930269099</v>
      </c>
      <c r="X39" s="28">
        <v>0</v>
      </c>
      <c r="Y39" s="176">
        <f>V39</f>
        <v>6.3703123509920865E-3</v>
      </c>
      <c r="Z39" s="28">
        <v>0</v>
      </c>
      <c r="AA39" s="176">
        <f>((1-W39)^Z40)*V40</f>
        <v>2.6083272420723509E-2</v>
      </c>
      <c r="AB39" s="28">
        <v>0</v>
      </c>
      <c r="AC39" s="176">
        <f>(((1-$W$39)^AB41))*V41</f>
        <v>4.6196496888279308E-2</v>
      </c>
      <c r="AD39" s="28">
        <v>0</v>
      </c>
      <c r="AE39" s="176">
        <f>(((1-$W$39)^AB42))*V42</f>
        <v>4.6116702560803212E-2</v>
      </c>
      <c r="AF39" s="28">
        <v>0</v>
      </c>
      <c r="AG39" s="176">
        <f>(((1-$W$39)^AB43))*V43</f>
        <v>2.8301751571698584E-2</v>
      </c>
      <c r="AH39" s="28">
        <v>0</v>
      </c>
      <c r="AI39" s="176">
        <f>(((1-$W$39)^AB44))*V44</f>
        <v>1.090587673554227E-2</v>
      </c>
      <c r="AJ39" s="28">
        <v>0</v>
      </c>
      <c r="AK39" s="176">
        <f>(((1-$W$39)^AB45))*V45</f>
        <v>2.5801769011317421E-3</v>
      </c>
      <c r="AL39" s="28">
        <v>0</v>
      </c>
      <c r="AM39" s="176">
        <f>(((1-$W$39)^AB46))*V46</f>
        <v>3.5114895755117368E-4</v>
      </c>
      <c r="AN39" s="28">
        <v>0</v>
      </c>
      <c r="AO39" s="176">
        <f>(((1-$W$39)^AB47))*V47</f>
        <v>2.5157026000525724E-5</v>
      </c>
      <c r="AP39" s="28">
        <v>0</v>
      </c>
      <c r="AQ39" s="176">
        <f>(((1-$W$39)^AB48))*V48</f>
        <v>1.0742734339352287E-6</v>
      </c>
      <c r="AR39" s="28">
        <v>0</v>
      </c>
      <c r="AS39" s="176">
        <f>(((1-$W$39)^AB49))*V49</f>
        <v>3.0910429914511514E-8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3.0181245565265601E-3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8.76010004302249E-6</v>
      </c>
    </row>
    <row r="40" spans="1:71" x14ac:dyDescent="0.25">
      <c r="G40" s="91">
        <v>1</v>
      </c>
      <c r="H40" s="130">
        <f>L39*J40+L40*J39</f>
        <v>0.23732307693638194</v>
      </c>
      <c r="I40" s="138">
        <v>1</v>
      </c>
      <c r="J40" s="86">
        <f t="shared" si="29"/>
        <v>0.33644522377545694</v>
      </c>
      <c r="K40" s="95">
        <v>1</v>
      </c>
      <c r="L40" s="86">
        <f>AI18</f>
        <v>0.26074808188372034</v>
      </c>
      <c r="M40" s="85">
        <v>1</v>
      </c>
      <c r="N40" s="173">
        <f>(($C$24)^M26)*((1-($C$24))^($B$21-M26))*HLOOKUP($B$21,$AV$24:$BF$34,M26+1)</f>
        <v>9.3086644832318113E-2</v>
      </c>
      <c r="O40" s="72">
        <v>1</v>
      </c>
      <c r="P40" s="173">
        <f t="shared" si="30"/>
        <v>9.3086644832318113E-2</v>
      </c>
      <c r="Q40" s="28">
        <v>1</v>
      </c>
      <c r="R40" s="174">
        <f>P40*N39+P39*N40</f>
        <v>0.1681135508245665</v>
      </c>
      <c r="S40" s="72">
        <v>1</v>
      </c>
      <c r="T40" s="175">
        <f t="shared" ref="T40:T49" si="33">(($C$33)^S40)*((1-($C$33))^(INT($B$23*2*(1-$B$31))-S40))*HLOOKUP(INT($B$23*2*(1-$B$31)),$AV$24:$BF$34,S40+1)</f>
        <v>5.46875E-2</v>
      </c>
      <c r="U40" s="138">
        <v>1</v>
      </c>
      <c r="V40" s="86">
        <f>R40*T39+T40*R39</f>
        <v>4.5905573572761531E-2</v>
      </c>
      <c r="W40" s="177"/>
      <c r="X40" s="28">
        <v>1</v>
      </c>
      <c r="Y40" s="174"/>
      <c r="Z40" s="28">
        <v>1</v>
      </c>
      <c r="AA40" s="176">
        <f>(1-((1-W39)^Z40))*V40</f>
        <v>1.9822301152038022E-2</v>
      </c>
      <c r="AB40" s="28">
        <v>1</v>
      </c>
      <c r="AC40" s="176">
        <f>((($W$39)^M40)*((1-($W$39))^($U$27-M40))*HLOOKUP($U$27,$AV$24:$BF$34,M40+1))*V41</f>
        <v>7.0215183027502889E-2</v>
      </c>
      <c r="AD40" s="28">
        <v>1</v>
      </c>
      <c r="AE40" s="176">
        <f>((($W$39)^M40)*((1-($W$39))^($U$28-M40))*HLOOKUP($U$28,$AV$24:$BF$34,M40+1))*V42</f>
        <v>0.10514085252273506</v>
      </c>
      <c r="AF40" s="28">
        <v>1</v>
      </c>
      <c r="AG40" s="176">
        <f>((($W$39)^M40)*((1-($W$39))^($U$29-M40))*HLOOKUP($U$29,$AV$24:$BF$34,M40+1))*V43</f>
        <v>8.6033045813476691E-2</v>
      </c>
      <c r="AH40" s="28">
        <v>1</v>
      </c>
      <c r="AI40" s="176">
        <f>((($W$39)^M40)*((1-($W$39))^($U$30-M40))*HLOOKUP($U$30,$AV$24:$BF$34,M40+1))*V44</f>
        <v>4.1440270509762921E-2</v>
      </c>
      <c r="AJ40" s="28">
        <v>1</v>
      </c>
      <c r="AK40" s="176">
        <f>((($W$39)^M40)*((1-($W$39))^($U$31-M40))*HLOOKUP($U$31,$AV$24:$BF$34,M40+1))*V45</f>
        <v>1.1765021520642523E-2</v>
      </c>
      <c r="AL40" s="28">
        <v>1</v>
      </c>
      <c r="AM40" s="176">
        <f>((($W$39)^Q40)*((1-($W$39))^($U$32-Q40))*HLOOKUP($U$32,$AV$24:$BF$34,Q40+1))*V46</f>
        <v>1.8680195458110217E-3</v>
      </c>
      <c r="AN40" s="28">
        <v>1</v>
      </c>
      <c r="AO40" s="176">
        <f>((($W$39)^Q40)*((1-($W$39))^($U$33-Q40))*HLOOKUP($U$33,$AV$24:$BF$34,Q40+1))*V47</f>
        <v>1.5294711106137782E-4</v>
      </c>
      <c r="AP40" s="28">
        <v>1</v>
      </c>
      <c r="AQ40" s="176">
        <f>((($W$39)^Q40)*((1-($W$39))^($U$34-Q40))*HLOOKUP($U$34,$AV$24:$BF$34,Q40+1))*V48</f>
        <v>7.3476648425300242E-6</v>
      </c>
      <c r="AR40" s="28">
        <v>1</v>
      </c>
      <c r="AS40" s="176">
        <f>((($W$39)^Q40)*((1-($W$39))^($U$35-Q40))*HLOOKUP($U$35,$AV$24:$BF$34,Q40+1))*V49</f>
        <v>2.3490758391865022E-7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8.263779746681744E-4</v>
      </c>
      <c r="BQ40" s="31">
        <f t="shared" si="31"/>
        <v>9</v>
      </c>
      <c r="BR40" s="31">
        <v>1</v>
      </c>
      <c r="BS40" s="107">
        <f t="shared" si="32"/>
        <v>2.1621173914841447E-5</v>
      </c>
    </row>
    <row r="41" spans="1:71" x14ac:dyDescent="0.25">
      <c r="G41" s="91">
        <v>2</v>
      </c>
      <c r="H41" s="130">
        <f>L39*J41+J40*L40+J39*L41</f>
        <v>0.26463358340114757</v>
      </c>
      <c r="I41" s="138">
        <v>2</v>
      </c>
      <c r="J41" s="86">
        <f t="shared" si="29"/>
        <v>0.29468364945273684</v>
      </c>
      <c r="K41" s="95">
        <v>2</v>
      </c>
      <c r="L41" s="86">
        <f>AJ18</f>
        <v>4.2923771889712289E-2</v>
      </c>
      <c r="M41" s="85">
        <v>2</v>
      </c>
      <c r="N41" s="173">
        <f>(($C$24)^M27)*((1-($C$24))^($B$21-M27))*HLOOKUP($B$21,$AV$24:$BF$34,M27+1)</f>
        <v>3.8383926326109501E-3</v>
      </c>
      <c r="O41" s="72">
        <v>2</v>
      </c>
      <c r="P41" s="173">
        <f t="shared" si="30"/>
        <v>3.8383926326109501E-3</v>
      </c>
      <c r="Q41" s="28">
        <v>2</v>
      </c>
      <c r="R41" s="174">
        <f>P41*N39+P40*N40+P39*N41</f>
        <v>1.5597222203048648E-2</v>
      </c>
      <c r="S41" s="72">
        <v>2</v>
      </c>
      <c r="T41" s="175">
        <f t="shared" si="33"/>
        <v>0.1640625</v>
      </c>
      <c r="U41" s="138">
        <v>2</v>
      </c>
      <c r="V41" s="86">
        <f>R41*T39+T40*R40+R39*T41</f>
        <v>0.14309212248001363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2.6680442564231445E-2</v>
      </c>
      <c r="AD41" s="28">
        <v>2</v>
      </c>
      <c r="AE41" s="176">
        <f>((($W$39)^M41)*((1-($W$39))^($U$28-M41))*HLOOKUP($U$28,$AV$24:$BF$34,M41+1))*V42</f>
        <v>7.990307383485358E-2</v>
      </c>
      <c r="AF41" s="28">
        <v>2</v>
      </c>
      <c r="AG41" s="176">
        <f>((($W$39)^M41)*((1-($W$39))^($U$29-M41))*HLOOKUP($U$29,$AV$24:$BF$34,M41+1))*V43</f>
        <v>9.8072794450450806E-2</v>
      </c>
      <c r="AH41" s="28">
        <v>2</v>
      </c>
      <c r="AI41" s="176">
        <f>((($W$39)^M41)*((1-($W$39))^($U$30-M41))*HLOOKUP($U$30,$AV$24:$BF$34,M41+1))*V44</f>
        <v>6.2986078480995716E-2</v>
      </c>
      <c r="AJ41" s="28">
        <v>2</v>
      </c>
      <c r="AK41" s="176">
        <f>((($W$39)^M41)*((1-($W$39))^($U$31-M41))*HLOOKUP($U$31,$AV$24:$BF$34,M41+1))*V45</f>
        <v>2.2352429162329355E-2</v>
      </c>
      <c r="AL41" s="28">
        <v>2</v>
      </c>
      <c r="AM41" s="176">
        <f>((($W$39)^Q41)*((1-($W$39))^($U$32-Q41))*HLOOKUP($U$32,$AV$24:$BF$34,Q41+1))*V46</f>
        <v>4.2588727439207075E-3</v>
      </c>
      <c r="AN41" s="28">
        <v>2</v>
      </c>
      <c r="AO41" s="176">
        <f>((($W$39)^Q41)*((1-($W$39))^($U$33-Q41))*HLOOKUP($U$33,$AV$24:$BF$34,Q41+1))*V47</f>
        <v>4.068190817515755E-4</v>
      </c>
      <c r="AP41" s="28">
        <v>2</v>
      </c>
      <c r="AQ41" s="176">
        <f>((($W$39)^Q41)*((1-($W$39))^($U$34-Q41))*HLOOKUP($U$34,$AV$24:$BF$34,Q41+1))*V48</f>
        <v>2.2335790221958987E-5</v>
      </c>
      <c r="AR41" s="28">
        <v>2</v>
      </c>
      <c r="AS41" s="176">
        <f>((($W$39)^Q41)*((1-($W$39))^($U$35-Q41))*HLOOKUP($U$35,$AV$24:$BF$34,Q41+1))*V49</f>
        <v>8.0334398165281494E-7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1.5395037458983287E-4</v>
      </c>
      <c r="BQ41" s="31">
        <f t="shared" si="31"/>
        <v>9</v>
      </c>
      <c r="BR41" s="31">
        <v>2</v>
      </c>
      <c r="BS41" s="107">
        <f t="shared" si="32"/>
        <v>2.4109280919013602E-5</v>
      </c>
    </row>
    <row r="42" spans="1:71" ht="15" customHeight="1" x14ac:dyDescent="0.25">
      <c r="G42" s="91">
        <v>3</v>
      </c>
      <c r="H42" s="130">
        <f>J42*L39+J41*L40+L42*J39+L41*J40</f>
        <v>0.19574958409176468</v>
      </c>
      <c r="I42" s="138">
        <v>3</v>
      </c>
      <c r="J42" s="86">
        <f t="shared" si="29"/>
        <v>0.14649909682661869</v>
      </c>
      <c r="K42" s="95">
        <v>3</v>
      </c>
      <c r="L42" s="86">
        <f>AK18</f>
        <v>0.12031795413316117</v>
      </c>
      <c r="M42" s="85">
        <v>3</v>
      </c>
      <c r="N42" s="173">
        <f>(($C$24)^M28)*((1-($C$24))^($B$21-M28))*HLOOKUP($B$21,$AV$24:$BF$34,M28+1)</f>
        <v>7.9137335052852174E-5</v>
      </c>
      <c r="O42" s="72">
        <v>3</v>
      </c>
      <c r="P42" s="173">
        <f t="shared" si="30"/>
        <v>7.9137335052852174E-5</v>
      </c>
      <c r="Q42" s="28">
        <v>3</v>
      </c>
      <c r="R42" s="174">
        <f>P42*N39+P41*N40+P40*N41+P39*N42</f>
        <v>8.5752742012522082E-4</v>
      </c>
      <c r="S42" s="72">
        <v>3</v>
      </c>
      <c r="T42" s="175">
        <f t="shared" si="33"/>
        <v>0.2734375</v>
      </c>
      <c r="U42" s="138">
        <v>3</v>
      </c>
      <c r="V42" s="86">
        <f>R42*T39+R41*T40+R40*T41+R39*T42</f>
        <v>0.25140173423907741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2.0241105320685626E-2</v>
      </c>
      <c r="AF42" s="28">
        <v>3</v>
      </c>
      <c r="AG42" s="176">
        <f>((($W$39)^M42)*((1-($W$39))^($U$29-M42))*HLOOKUP($U$29,$AV$24:$BF$34,M42+1))*V43</f>
        <v>4.96877445708385E-2</v>
      </c>
      <c r="AH42" s="28">
        <v>3</v>
      </c>
      <c r="AI42" s="176">
        <f>((($W$39)^M42)*((1-($W$39))^($U$30-M42))*HLOOKUP($U$30,$AV$24:$BF$34,M42+1))*V44</f>
        <v>4.786703891664397E-2</v>
      </c>
      <c r="AJ42" s="28">
        <v>3</v>
      </c>
      <c r="AK42" s="176">
        <f>((($W$39)^M42)*((1-($W$39))^($U$31-M42))*HLOOKUP($U$31,$AV$24:$BF$34,M42+1))*V45</f>
        <v>2.2649335057271378E-2</v>
      </c>
      <c r="AL42" s="28">
        <v>3</v>
      </c>
      <c r="AM42" s="176">
        <f>((($W$39)^Q42)*((1-($W$39))^($U$32-Q42))*HLOOKUP($U$32,$AV$24:$BF$34,Q42+1))*V46</f>
        <v>5.3943038496407792E-3</v>
      </c>
      <c r="AN42" s="28">
        <v>3</v>
      </c>
      <c r="AO42" s="176">
        <f>((($W$39)^Q42)*((1-($W$39))^($U$33-Q42))*HLOOKUP($U$33,$AV$24:$BF$34,Q42+1))*V47</f>
        <v>6.1833425061099897E-4</v>
      </c>
      <c r="AP42" s="28">
        <v>3</v>
      </c>
      <c r="AQ42" s="176">
        <f>((($W$39)^Q42)*((1-($W$39))^($U$34-Q42))*HLOOKUP($U$34,$AV$24:$BF$34,Q42+1))*V48</f>
        <v>3.9606831430100054E-5</v>
      </c>
      <c r="AR42" s="28">
        <v>3</v>
      </c>
      <c r="AS42" s="176">
        <f>((($W$39)^Q42)*((1-($W$39))^($U$35-Q42))*HLOOKUP($U$35,$AV$24:$BF$34,Q42+1))*V49</f>
        <v>1.6280294973363821E-6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1.8763378652864034E-5</v>
      </c>
      <c r="BQ42" s="31">
        <f t="shared" si="31"/>
        <v>9</v>
      </c>
      <c r="BR42" s="31">
        <v>3</v>
      </c>
      <c r="BS42" s="107">
        <f t="shared" si="32"/>
        <v>1.7833646251520946E-5</v>
      </c>
    </row>
    <row r="43" spans="1:71" ht="15" customHeight="1" x14ac:dyDescent="0.25">
      <c r="G43" s="91">
        <v>4</v>
      </c>
      <c r="H43" s="130">
        <f>J43*L39+J42*L40+J41*L41+J40*L42</f>
        <v>0.11740606921397273</v>
      </c>
      <c r="I43" s="138">
        <v>4</v>
      </c>
      <c r="J43" s="86">
        <f t="shared" si="29"/>
        <v>4.5272421088049027E-2</v>
      </c>
      <c r="K43" s="95">
        <v>4</v>
      </c>
      <c r="L43" s="86"/>
      <c r="M43" s="85">
        <v>4</v>
      </c>
      <c r="N43" s="173">
        <f>(($C$24)^M29)*((1-($C$24))^($B$21-M29))*HLOOKUP($B$21,$AV$24:$BF$34,M29+1)</f>
        <v>8.1579952843533912E-7</v>
      </c>
      <c r="O43" s="72">
        <v>4</v>
      </c>
      <c r="P43" s="173">
        <f t="shared" si="30"/>
        <v>8.1579952843533912E-7</v>
      </c>
      <c r="Q43" s="28">
        <v>4</v>
      </c>
      <c r="R43" s="174">
        <f>P43*N39+P42*N40+P41*N41+P40*N42+P39*N43</f>
        <v>3.0939841804372238E-5</v>
      </c>
      <c r="S43" s="72">
        <v>4</v>
      </c>
      <c r="T43" s="175">
        <f t="shared" si="33"/>
        <v>0.2734375</v>
      </c>
      <c r="U43" s="138">
        <v>4</v>
      </c>
      <c r="V43" s="86">
        <f>T43*R39+T42*R40+T41*R41+T40*R42+T39*R43</f>
        <v>0.27153553835430527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9.4402019478407803E-3</v>
      </c>
      <c r="AH43" s="28">
        <v>4</v>
      </c>
      <c r="AI43" s="176">
        <f>((($W$39)^M43)*((1-($W$39))^($U$30-M43))*HLOOKUP($U$30,$AV$24:$BF$34,M43+1))*V44</f>
        <v>1.8188570156330897E-2</v>
      </c>
      <c r="AJ43" s="28">
        <v>4</v>
      </c>
      <c r="AK43" s="176">
        <f>((($W$39)^M43)*((1-($W$39))^($U$31-M43))*HLOOKUP($U$31,$AV$24:$BF$34,M43+1))*V45</f>
        <v>1.2909478913062093E-2</v>
      </c>
      <c r="AL43" s="28">
        <v>4</v>
      </c>
      <c r="AM43" s="176">
        <f>((($W$39)^Q43)*((1-($W$39))^($U$32-Q43))*HLOOKUP($U$32,$AV$24:$BF$34,Q43+1))*V46</f>
        <v>4.0994670334471607E-3</v>
      </c>
      <c r="AN43" s="28">
        <v>4</v>
      </c>
      <c r="AO43" s="176">
        <f>((($W$39)^Q43)*((1-($W$39))^($U$33-Q43))*HLOOKUP($U$33,$AV$24:$BF$34,Q43+1))*V47</f>
        <v>5.8738832356464491E-4</v>
      </c>
      <c r="AP43" s="28">
        <v>4</v>
      </c>
      <c r="AQ43" s="176">
        <f>((($W$39)^Q43)*((1-($W$39))^($U$34-Q43))*HLOOKUP($U$34,$AV$24:$BF$34,Q43+1))*V48</f>
        <v>4.5149542259602168E-5</v>
      </c>
      <c r="AR43" s="28">
        <v>4</v>
      </c>
      <c r="AS43" s="176">
        <f>((($W$39)^Q43)*((1-($W$39))^($U$35-Q43))*HLOOKUP($U$35,$AV$24:$BF$34,Q43+1))*V49</f>
        <v>2.1651715438583174E-6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1.4295280078135901E-6</v>
      </c>
      <c r="BQ43" s="31">
        <f t="shared" si="31"/>
        <v>9</v>
      </c>
      <c r="BR43" s="31">
        <v>4</v>
      </c>
      <c r="BS43" s="107">
        <f t="shared" si="32"/>
        <v>1.0696208198133588E-5</v>
      </c>
    </row>
    <row r="44" spans="1:71" ht="15" customHeight="1" thickBot="1" x14ac:dyDescent="0.3">
      <c r="G44" s="91">
        <v>5</v>
      </c>
      <c r="H44" s="130">
        <f>J44*L39+J43*L40+J42*L41+J41*L42</f>
        <v>5.8704866232579145E-2</v>
      </c>
      <c r="I44" s="138">
        <v>5</v>
      </c>
      <c r="J44" s="86">
        <f t="shared" si="29"/>
        <v>8.9514763966547228E-3</v>
      </c>
      <c r="K44" s="95">
        <v>5</v>
      </c>
      <c r="L44" s="86"/>
      <c r="M44" s="85">
        <v>5</v>
      </c>
      <c r="N44" s="173">
        <f>(($C$24)^M30)*((1-($C$24))^($B$21-M30))*HLOOKUP($B$21,$AV$24:$BF$34,M30+1)</f>
        <v>3.3639185355475806E-9</v>
      </c>
      <c r="O44" s="72">
        <v>5</v>
      </c>
      <c r="P44" s="173">
        <f t="shared" si="30"/>
        <v>3.3639185355475806E-9</v>
      </c>
      <c r="Q44" s="28">
        <v>5</v>
      </c>
      <c r="R44" s="174">
        <f>P44*N39+P43*N40+P42*N41+P41*N42+P40*N43+P39*N44</f>
        <v>7.6547561285495669E-7</v>
      </c>
      <c r="S44" s="72">
        <v>5</v>
      </c>
      <c r="T44" s="175">
        <f t="shared" si="33"/>
        <v>0.1640625</v>
      </c>
      <c r="U44" s="138">
        <v>5</v>
      </c>
      <c r="V44" s="86">
        <f>T44*R39+T43*R40+T42*R41+T41*R42+T40*R43+T39*R44</f>
        <v>0.18415235996581353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2.7645251665378385E-3</v>
      </c>
      <c r="AJ44" s="28">
        <v>5</v>
      </c>
      <c r="AK44" s="176">
        <f>((($W$39)^M44)*((1-($W$39))^($U$31-M44))*HLOOKUP($U$31,$AV$24:$BF$34,M44+1))*V45</f>
        <v>3.9242864101252705E-3</v>
      </c>
      <c r="AL44" s="28">
        <v>5</v>
      </c>
      <c r="AM44" s="176">
        <f>((($W$39)^Q44)*((1-($W$39))^($U$32-Q44))*HLOOKUP($U$32,$AV$24:$BF$34,Q44+1))*V46</f>
        <v>1.8692639969962979E-3</v>
      </c>
      <c r="AN44" s="28">
        <v>5</v>
      </c>
      <c r="AO44" s="176">
        <f>((($W$39)^Q44)*((1-($W$39))^($U$33-Q44))*HLOOKUP($U$33,$AV$24:$BF$34,Q44+1))*V47</f>
        <v>3.5711433918508828E-4</v>
      </c>
      <c r="AP44" s="28">
        <v>5</v>
      </c>
      <c r="AQ44" s="176">
        <f>((($W$39)^Q44)*((1-($W$39))^($U$34-Q44))*HLOOKUP($U$34,$AV$24:$BF$34,Q44+1))*V48</f>
        <v>3.4311945568434028E-5</v>
      </c>
      <c r="AR44" s="28">
        <v>5</v>
      </c>
      <c r="AS44" s="176">
        <f>((($W$39)^Q44)*((1-($W$39))^($U$35-Q44))*HLOOKUP($U$35,$AV$24:$BF$34,Q44+1))*V49</f>
        <v>1.9745382417928445E-6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1.2428073499686266E-3</v>
      </c>
      <c r="BQ44" s="31">
        <f t="shared" si="31"/>
        <v>9</v>
      </c>
      <c r="BR44" s="31">
        <v>5</v>
      </c>
      <c r="BS44" s="107">
        <f t="shared" si="32"/>
        <v>5.3482709681972619E-6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2.2551772262624503E-2</v>
      </c>
      <c r="I45" s="138">
        <v>6</v>
      </c>
      <c r="J45" s="86">
        <f t="shared" si="29"/>
        <v>1.124905918073156E-3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1.3151707378461511E-8</v>
      </c>
      <c r="S45" s="72">
        <v>6</v>
      </c>
      <c r="T45" s="175">
        <f t="shared" si="33"/>
        <v>5.46875E-2</v>
      </c>
      <c r="U45" s="138">
        <v>6</v>
      </c>
      <c r="V45" s="86">
        <f>T45*R39+T44*R40+T43*R41+T42*R42+T41*R43+T40*R44+T39*R45</f>
        <v>7.6677779521677966E-2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4.9705155711564646E-4</v>
      </c>
      <c r="AL45" s="28">
        <v>6</v>
      </c>
      <c r="AM45" s="176">
        <f>((($W$39)^Q45)*((1-($W$39))^($U$32-Q45))*HLOOKUP($U$32,$AV$24:$BF$34,Q45+1))*V46</f>
        <v>4.7352332794566222E-4</v>
      </c>
      <c r="AN45" s="28">
        <v>6</v>
      </c>
      <c r="AO45" s="176">
        <f>((($W$39)^Q45)*((1-($W$39))^($U$33-Q45))*HLOOKUP($U$33,$AV$24:$BF$34,Q45+1))*V47</f>
        <v>1.3569669983996426E-4</v>
      </c>
      <c r="AP45" s="28">
        <v>6</v>
      </c>
      <c r="AQ45" s="176">
        <f>((($W$39)^Q45)*((1-($W$39))^($U$34-Q45))*HLOOKUP($U$34,$AV$24:$BF$34,Q45+1))*V48</f>
        <v>1.7383854479584751E-5</v>
      </c>
      <c r="AR45" s="28">
        <v>6</v>
      </c>
      <c r="AS45" s="176">
        <f>((($W$39)^Q45)*((1-($W$39))^($U$35-Q45))*HLOOKUP($U$35,$AV$24:$BF$34,Q45+1))*V49</f>
        <v>1.2504786922983467E-6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3.402870231279524E-4</v>
      </c>
      <c r="BQ45" s="31">
        <f t="shared" si="31"/>
        <v>9</v>
      </c>
      <c r="BR45" s="31">
        <v>6</v>
      </c>
      <c r="BS45" s="107">
        <f t="shared" si="32"/>
        <v>2.0545654323738996E-6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6.1747908472714972E-3</v>
      </c>
      <c r="I46" s="138">
        <v>7</v>
      </c>
      <c r="J46" s="86">
        <f t="shared" si="29"/>
        <v>8.7077577146327129E-5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1.5494448148259095E-10</v>
      </c>
      <c r="S46" s="72">
        <v>7</v>
      </c>
      <c r="T46" s="175">
        <f t="shared" si="33"/>
        <v>7.8125E-3</v>
      </c>
      <c r="U46" s="138">
        <v>7</v>
      </c>
      <c r="V46" s="86">
        <f>T46*R39+T45*R40+T44*R41+T43*R42+T42*R43+T41*R44+T40*R45+T39*R46</f>
        <v>1.8366008002619349E-2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5.1408547306557733E-5</v>
      </c>
      <c r="AN46" s="28">
        <v>7</v>
      </c>
      <c r="AO46" s="176">
        <f>((($W$39)^Q46)*((1-($W$39))^($U$33-Q46))*HLOOKUP($U$33,$AV$24:$BF$34,Q46+1))*V47</f>
        <v>2.9464103672911653E-5</v>
      </c>
      <c r="AP46" s="28">
        <v>7</v>
      </c>
      <c r="AQ46" s="176">
        <f>((($W$39)^Q46)*((1-($W$39))^($U$34-Q46))*HLOOKUP($U$34,$AV$24:$BF$34,Q46+1))*V48</f>
        <v>5.6618881434703022E-6</v>
      </c>
      <c r="AR46" s="28">
        <v>7</v>
      </c>
      <c r="AS46" s="176">
        <f>((($W$39)^Q46)*((1-($W$39))^($U$35-Q46))*HLOOKUP($U$35,$AV$24:$BF$34,Q46+1))*V49</f>
        <v>5.4303802338742535E-7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6.3393890307450546E-5</v>
      </c>
      <c r="BQ46" s="31">
        <f t="shared" si="31"/>
        <v>9</v>
      </c>
      <c r="BR46" s="31">
        <v>7</v>
      </c>
      <c r="BS46" s="107">
        <f t="shared" si="32"/>
        <v>5.625505472121305E-7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1.1503348263039428E-3</v>
      </c>
      <c r="I47" s="138">
        <v>8</v>
      </c>
      <c r="J47" s="86">
        <f t="shared" si="29"/>
        <v>4.0294140247482816E-6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1.1979519670715791E-12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2.3157198863265924E-3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2.7989506395068539E-6</v>
      </c>
      <c r="AP47" s="28">
        <v>8</v>
      </c>
      <c r="AQ47" s="176">
        <f>((($W$39)^Q47)*((1-($W$39))^($U$34-Q47))*HLOOKUP($U$34,$AV$24:$BF$34,Q47+1))*V48</f>
        <v>1.075705245671669E-6</v>
      </c>
      <c r="AR47" s="28">
        <v>8</v>
      </c>
      <c r="AS47" s="176">
        <f>((($W$39)^Q47)*((1-($W$39))^($U$35-Q47))*HLOOKUP($U$35,$AV$24:$BF$34,Q47+1))*V49</f>
        <v>1.5475813956975919E-7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7.7264090541250113E-6</v>
      </c>
      <c r="BQ47" s="31">
        <f>BM12+1</f>
        <v>9</v>
      </c>
      <c r="BR47" s="31">
        <v>8</v>
      </c>
      <c r="BS47" s="107">
        <f t="shared" si="32"/>
        <v>1.0480055147137538E-7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1.4020211370724986E-4</v>
      </c>
      <c r="I48" s="138">
        <v>9</v>
      </c>
      <c r="J48" s="86">
        <f t="shared" si="29"/>
        <v>1.1696844451872916E-7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5.4885663099892256E-15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1.7403832843945662E-4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9.083281416956246E-8</v>
      </c>
      <c r="AR48" s="28">
        <v>9</v>
      </c>
      <c r="AS48" s="176">
        <f>((($W$39)^Q48)*((1-($W$39))^($U$35-Q48))*HLOOKUP($U$35,$AV$24:$BF$34,Q48+1))*V49</f>
        <v>2.6135630349166705E-8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5.8865294716046728E-7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1.0681596955811946E-5</v>
      </c>
      <c r="I49" s="94">
        <v>10</v>
      </c>
      <c r="J49" s="89">
        <f t="shared" si="29"/>
        <v>1.9862091198645567E-9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1.131594791380058E-17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8.8132979731980754E-6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1.9862091198645567E-9</v>
      </c>
      <c r="BI49" s="31">
        <f>BQ14+1</f>
        <v>6</v>
      </c>
      <c r="BJ49" s="31">
        <v>0</v>
      </c>
      <c r="BK49" s="107">
        <f>$H$31*H39</f>
        <v>1.6245447867690602E-3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1"/>
      <c r="J50" s="291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1"/>
      <c r="X50" s="157"/>
      <c r="Y50" s="157"/>
      <c r="BI50" s="31">
        <f>BI45+1</f>
        <v>6</v>
      </c>
      <c r="BJ50" s="31">
        <v>7</v>
      </c>
      <c r="BK50" s="107">
        <f>$H$31*H46</f>
        <v>1.0432398651605245E-4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1.9435073652949187E-5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2.3687350360021162E-6</v>
      </c>
    </row>
    <row r="53" spans="1:63" x14ac:dyDescent="0.25">
      <c r="BI53" s="31">
        <f>BI48+1</f>
        <v>6</v>
      </c>
      <c r="BJ53" s="31">
        <v>10</v>
      </c>
      <c r="BK53" s="107">
        <f>$H$31*H49</f>
        <v>1.8046712906566503E-7</v>
      </c>
    </row>
    <row r="54" spans="1:63" x14ac:dyDescent="0.25">
      <c r="BI54" s="31">
        <f>BI51+1</f>
        <v>7</v>
      </c>
      <c r="BJ54" s="31">
        <v>8</v>
      </c>
      <c r="BK54" s="107">
        <f>$H$32*H47</f>
        <v>4.5049570058983537E-6</v>
      </c>
    </row>
    <row r="55" spans="1:63" x14ac:dyDescent="0.25">
      <c r="BI55" s="31">
        <f>BI52+1</f>
        <v>7</v>
      </c>
      <c r="BJ55" s="31">
        <v>9</v>
      </c>
      <c r="BK55" s="107">
        <f>$H$32*H48</f>
        <v>5.4906143841319257E-7</v>
      </c>
    </row>
    <row r="56" spans="1:63" x14ac:dyDescent="0.25">
      <c r="BI56" s="31">
        <f>BI53+1</f>
        <v>7</v>
      </c>
      <c r="BJ56" s="31">
        <v>10</v>
      </c>
      <c r="BK56" s="107">
        <f>$H$32*H49</f>
        <v>4.1831416331955163E-8</v>
      </c>
    </row>
    <row r="57" spans="1:63" x14ac:dyDescent="0.25">
      <c r="BI57" s="31">
        <f>BI55+1</f>
        <v>8</v>
      </c>
      <c r="BJ57" s="31">
        <v>9</v>
      </c>
      <c r="BK57" s="107">
        <f>$H$33*H48</f>
        <v>9.656145624371818E-8</v>
      </c>
    </row>
    <row r="58" spans="1:63" x14ac:dyDescent="0.25">
      <c r="BI58" s="31">
        <f>BI56+1</f>
        <v>8</v>
      </c>
      <c r="BJ58" s="31">
        <v>10</v>
      </c>
      <c r="BK58" s="107">
        <f>$H$33*H49</f>
        <v>7.3567404212988925E-9</v>
      </c>
    </row>
    <row r="59" spans="1:63" x14ac:dyDescent="0.25">
      <c r="BI59" s="31">
        <f>BI58+1</f>
        <v>9</v>
      </c>
      <c r="BJ59" s="31">
        <v>10</v>
      </c>
      <c r="BK59" s="107">
        <f>$H$34*H49</f>
        <v>9.7314036397632045E-10</v>
      </c>
    </row>
  </sheetData>
  <mergeCells count="1"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2593-3F85-4F60-9880-FC39C5C5C1BC}">
  <sheetPr>
    <tabColor theme="9" tint="-0.249977111117893"/>
  </sheetPr>
  <dimension ref="A1:BS59"/>
  <sheetViews>
    <sheetView zoomScale="90" zoomScaleNormal="90" workbookViewId="0">
      <selection activeCell="G6" sqref="G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3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5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3.0300000000000002</v>
      </c>
      <c r="S2" s="166">
        <f>SUM(S4:S15)</f>
        <v>3.6700000000000008</v>
      </c>
      <c r="T2" s="219">
        <f>SUM(T4:T16)</f>
        <v>1.0114478410033785</v>
      </c>
      <c r="U2" s="219">
        <f>SUM(U4:U16)</f>
        <v>0.48947359458379752</v>
      </c>
      <c r="V2" s="157"/>
      <c r="W2" s="157"/>
      <c r="X2" s="253">
        <f>SUM(X4:X16)</f>
        <v>0.56102665644857908</v>
      </c>
      <c r="Y2" s="254">
        <f>SUM(Y4:Y16)</f>
        <v>0.30328007342294444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4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33</v>
      </c>
      <c r="F4" s="283" t="s">
        <v>151</v>
      </c>
      <c r="G4" s="283" t="s">
        <v>151</v>
      </c>
      <c r="H4" s="283" t="s">
        <v>151</v>
      </c>
      <c r="I4" s="283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0">IF(P4+Q4=0,0,N4)</f>
        <v>0.45</v>
      </c>
      <c r="S4" s="221">
        <f t="shared" ref="S4:S16" si="1">R4*$N$2/$R$2</f>
        <v>0.54504950495049509</v>
      </c>
      <c r="T4" s="226">
        <f>IF(S4=0,0,S4*(P4^2.7/(P4^2.7+Q4^2.7))*P4/L4)</f>
        <v>0.18168316831683171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0.10355940594059407</v>
      </c>
      <c r="Y4" s="252">
        <f>W4*U4</f>
        <v>0</v>
      </c>
      <c r="Z4" s="190"/>
      <c r="AA4" s="244">
        <f>X4</f>
        <v>0.10355940594059407</v>
      </c>
      <c r="AB4" s="245">
        <f>1-AA4</f>
        <v>0.8964405940594059</v>
      </c>
      <c r="AC4" s="245">
        <f>PRODUCT(AB5:AB16)*AA4</f>
        <v>6.3288715012057253E-2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3.6432943863854178E-2</v>
      </c>
      <c r="BM4" s="31">
        <v>0</v>
      </c>
      <c r="BN4" s="31">
        <v>0</v>
      </c>
      <c r="BO4" s="107">
        <f>H25*H39</f>
        <v>1.4583025044807497E-2</v>
      </c>
      <c r="BQ4" s="31">
        <v>1</v>
      </c>
      <c r="BR4" s="31">
        <v>0</v>
      </c>
      <c r="BS4" s="107">
        <f>$H$26*H39</f>
        <v>3.0710374094060518E-2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</v>
      </c>
      <c r="F5" s="283" t="s">
        <v>151</v>
      </c>
      <c r="G5" s="283" t="s">
        <v>1</v>
      </c>
      <c r="H5" s="283" t="s">
        <v>151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0.42392739273927388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5.2990924092409235E-2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3.0204826732673263E-2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3.0204826732673263E-2</v>
      </c>
      <c r="AH5" s="247">
        <f t="shared" si="2"/>
        <v>0.96979517326732678</v>
      </c>
      <c r="AI5" s="247">
        <f>AG5*PRODUCT(AH3:AH4)*PRODUCT(AH6:AH17)</f>
        <v>2.2751528498393649E-2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6.6945175175960412E-3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4.1892888097108151E-2</v>
      </c>
      <c r="BM5" s="31">
        <v>1</v>
      </c>
      <c r="BN5" s="31">
        <v>1</v>
      </c>
      <c r="BO5" s="107">
        <f>$H$26*H40</f>
        <v>7.6724090644365889E-2</v>
      </c>
      <c r="BQ5" s="31">
        <f>BQ4+1</f>
        <v>2</v>
      </c>
      <c r="BR5" s="31">
        <v>0</v>
      </c>
      <c r="BS5" s="107">
        <f>$H$27*H39</f>
        <v>2.8849152837456524E-2</v>
      </c>
    </row>
    <row r="6" spans="1:71" ht="15.75" x14ac:dyDescent="0.25">
      <c r="A6" s="2" t="s">
        <v>31</v>
      </c>
      <c r="B6" s="271">
        <v>3.75</v>
      </c>
      <c r="C6" s="272">
        <v>11.75</v>
      </c>
      <c r="E6" s="211"/>
      <c r="F6" s="283" t="s">
        <v>151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2</v>
      </c>
      <c r="Q6" s="214">
        <f>COUNTIF(E9:I11,"IMP")</f>
        <v>1</v>
      </c>
      <c r="R6" s="221">
        <f t="shared" si="0"/>
        <v>0.45</v>
      </c>
      <c r="S6" s="221">
        <f t="shared" si="1"/>
        <v>0.54504950495049509</v>
      </c>
      <c r="T6" s="226">
        <f t="shared" si="5"/>
        <v>7.2670313657891825E-2</v>
      </c>
      <c r="U6" s="228">
        <f t="shared" si="6"/>
        <v>5.5917281672460172E-3</v>
      </c>
      <c r="V6" s="218">
        <f>$G$18</f>
        <v>0.45</v>
      </c>
      <c r="W6" s="216">
        <f>$H$18</f>
        <v>0.45</v>
      </c>
      <c r="X6" s="251">
        <f t="shared" si="7"/>
        <v>3.270164114605132E-2</v>
      </c>
      <c r="Y6" s="252">
        <f t="shared" si="7"/>
        <v>2.516277675260708E-3</v>
      </c>
      <c r="Z6" s="199"/>
      <c r="AA6" s="244">
        <f t="shared" si="8"/>
        <v>3.270164114605132E-2</v>
      </c>
      <c r="AB6" s="245">
        <f t="shared" si="9"/>
        <v>0.96729835885394866</v>
      </c>
      <c r="AC6" s="245">
        <f>PRODUCT(AB7:AB16)*AA6*PRODUCT(AB4:AB5)</f>
        <v>1.8521124018275166E-2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9.2218984504574952E-3</v>
      </c>
      <c r="AE6" s="183"/>
      <c r="AF6" s="197"/>
      <c r="AG6" s="246">
        <f t="shared" si="10"/>
        <v>2.516277675260708E-3</v>
      </c>
      <c r="AH6" s="247">
        <f t="shared" si="2"/>
        <v>0.99748372232473925</v>
      </c>
      <c r="AI6" s="247">
        <f>AG6*PRODUCT(AH3:AH5)*PRODUCT(AH7:AH17)</f>
        <v>1.8427524427232264E-3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5.375716337870345E-4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2.9371711382946197E-2</v>
      </c>
      <c r="BM6" s="31">
        <f>BI14+1</f>
        <v>2</v>
      </c>
      <c r="BN6" s="31">
        <v>2</v>
      </c>
      <c r="BO6" s="107">
        <f>$H$27*H41</f>
        <v>8.2875420415345652E-2</v>
      </c>
      <c r="BQ6" s="31">
        <f>BM5+1</f>
        <v>2</v>
      </c>
      <c r="BR6" s="31">
        <v>1</v>
      </c>
      <c r="BS6" s="107">
        <f>$H$27*H40</f>
        <v>7.2074179576414307E-2</v>
      </c>
    </row>
    <row r="7" spans="1:71" ht="15.75" x14ac:dyDescent="0.25">
      <c r="A7" s="5" t="s">
        <v>36</v>
      </c>
      <c r="B7" s="271">
        <v>16</v>
      </c>
      <c r="C7" s="272">
        <v>19.75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2</v>
      </c>
      <c r="R7" s="221">
        <f t="shared" si="0"/>
        <v>0.04</v>
      </c>
      <c r="S7" s="221">
        <f t="shared" si="1"/>
        <v>4.8448844884488453E-2</v>
      </c>
      <c r="T7" s="226">
        <f t="shared" si="5"/>
        <v>8.0769406860220245E-4</v>
      </c>
      <c r="U7" s="228">
        <f t="shared" si="6"/>
        <v>1.0496823083917707E-2</v>
      </c>
      <c r="V7" s="218">
        <f>$G$18</f>
        <v>0.45</v>
      </c>
      <c r="W7" s="216">
        <f>$H$18</f>
        <v>0.45</v>
      </c>
      <c r="X7" s="251">
        <f t="shared" si="7"/>
        <v>3.6346233087099108E-4</v>
      </c>
      <c r="Y7" s="252">
        <f t="shared" si="7"/>
        <v>4.7235703877629683E-3</v>
      </c>
      <c r="Z7" s="199"/>
      <c r="AA7" s="244">
        <f t="shared" si="8"/>
        <v>3.6346233087099108E-4</v>
      </c>
      <c r="AB7" s="245">
        <f t="shared" si="9"/>
        <v>0.99963653766912897</v>
      </c>
      <c r="AC7" s="245">
        <f>PRODUCT(AB8:AB$16)*AA7*PRODUCT(AB$4:AB6)</f>
        <v>1.991936676078444E-4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9.9108583643386252E-5</v>
      </c>
      <c r="AE7" s="183"/>
      <c r="AF7" s="197"/>
      <c r="AG7" s="246">
        <f t="shared" si="10"/>
        <v>4.7235703877629683E-3</v>
      </c>
      <c r="AH7" s="247">
        <f t="shared" si="2"/>
        <v>0.99527642961223706</v>
      </c>
      <c r="AI7" s="247">
        <f>AG7*PRODUCT(AH3:AH6)*PRODUCT(AH8:AH17)</f>
        <v>3.4668968515303967E-3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9.9491661806813919E-4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1.4020436893376372E-2</v>
      </c>
      <c r="BM7" s="31">
        <f>BI23+1</f>
        <v>3</v>
      </c>
      <c r="BN7" s="31">
        <v>3</v>
      </c>
      <c r="BO7" s="107">
        <f>$H$28*H42</f>
        <v>3.4580635450402464E-2</v>
      </c>
      <c r="BQ7" s="31">
        <f>BQ5+1</f>
        <v>3</v>
      </c>
      <c r="BR7" s="31">
        <v>0</v>
      </c>
      <c r="BS7" s="107">
        <f>$H$28*H39</f>
        <v>1.716925058481196E-2</v>
      </c>
    </row>
    <row r="8" spans="1:71" ht="15.75" x14ac:dyDescent="0.25">
      <c r="A8" s="5" t="s">
        <v>39</v>
      </c>
      <c r="B8" s="271">
        <v>14.5</v>
      </c>
      <c r="C8" s="272">
        <v>22.5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4</v>
      </c>
      <c r="Q8" s="214">
        <f>COUNTIF(E10:I11,"RAP")</f>
        <v>1</v>
      </c>
      <c r="R8" s="221">
        <f t="shared" si="0"/>
        <v>0.5</v>
      </c>
      <c r="S8" s="221">
        <f t="shared" si="1"/>
        <v>0.60561056105610567</v>
      </c>
      <c r="T8" s="226">
        <f t="shared" si="5"/>
        <v>0.29579983200094617</v>
      </c>
      <c r="U8" s="228">
        <f t="shared" si="6"/>
        <v>1.7513621317766668E-3</v>
      </c>
      <c r="V8" s="218">
        <f>$G$17</f>
        <v>0.56999999999999995</v>
      </c>
      <c r="W8" s="216">
        <f>$H$17</f>
        <v>0.56999999999999995</v>
      </c>
      <c r="X8" s="251">
        <f t="shared" si="7"/>
        <v>0.16860590424053931</v>
      </c>
      <c r="Y8" s="252">
        <f t="shared" si="7"/>
        <v>9.9827641511270005E-4</v>
      </c>
      <c r="Z8" s="199"/>
      <c r="AA8" s="244">
        <f t="shared" si="8"/>
        <v>0.16860590424053931</v>
      </c>
      <c r="AB8" s="245">
        <f t="shared" si="9"/>
        <v>0.83139409575946066</v>
      </c>
      <c r="AC8" s="245">
        <f>PRODUCT(AB9:AB$16)*AA8*PRODUCT(AB$4:AB7)</f>
        <v>0.11110256485898085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3.2747464482777745E-2</v>
      </c>
      <c r="AE8" s="183"/>
      <c r="AF8" s="197"/>
      <c r="AG8" s="246">
        <f t="shared" si="10"/>
        <v>9.9827641511270005E-4</v>
      </c>
      <c r="AH8" s="247">
        <f t="shared" si="2"/>
        <v>0.99900172358488726</v>
      </c>
      <c r="AI8" s="247">
        <f>AG8*PRODUCT(AH3:AH7)*PRODUCT(AH9:AH17)</f>
        <v>7.2995959504930992E-4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2.0875154507697728E-4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4.8173946816774419E-3</v>
      </c>
      <c r="BM8" s="31">
        <f>BI31+1</f>
        <v>4</v>
      </c>
      <c r="BN8" s="31">
        <v>4</v>
      </c>
      <c r="BO8" s="107">
        <f>$H$29*H43</f>
        <v>7.2516578376018619E-3</v>
      </c>
      <c r="BQ8" s="31">
        <f>BQ6+1</f>
        <v>3</v>
      </c>
      <c r="BR8" s="31">
        <v>1</v>
      </c>
      <c r="BS8" s="107">
        <f>$H$28*H40</f>
        <v>4.2894141703721994E-2</v>
      </c>
    </row>
    <row r="9" spans="1:71" ht="15.75" x14ac:dyDescent="0.25">
      <c r="A9" s="5" t="s">
        <v>42</v>
      </c>
      <c r="B9" s="271">
        <v>15.5</v>
      </c>
      <c r="C9" s="272">
        <v>20.25</v>
      </c>
      <c r="E9" s="284" t="s">
        <v>1</v>
      </c>
      <c r="F9" s="284" t="s">
        <v>138</v>
      </c>
      <c r="G9" s="284" t="s">
        <v>6</v>
      </c>
      <c r="H9" s="284" t="s">
        <v>138</v>
      </c>
      <c r="I9" s="284" t="s">
        <v>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4</v>
      </c>
      <c r="Q9" s="214">
        <f>COUNTIF(E10:I11,"RAP")</f>
        <v>1</v>
      </c>
      <c r="R9" s="221">
        <f t="shared" si="0"/>
        <v>0.5</v>
      </c>
      <c r="S9" s="221">
        <f t="shared" si="1"/>
        <v>0.60561056105610567</v>
      </c>
      <c r="T9" s="226">
        <f t="shared" si="5"/>
        <v>0.29579983200094617</v>
      </c>
      <c r="U9" s="228">
        <f t="shared" si="6"/>
        <v>1.7513621317766668E-3</v>
      </c>
      <c r="V9" s="218">
        <f>$G$17</f>
        <v>0.56999999999999995</v>
      </c>
      <c r="W9" s="216">
        <f>$H$17</f>
        <v>0.56999999999999995</v>
      </c>
      <c r="X9" s="251">
        <f t="shared" si="7"/>
        <v>0.16860590424053931</v>
      </c>
      <c r="Y9" s="252">
        <f t="shared" si="7"/>
        <v>9.9827641511270005E-4</v>
      </c>
      <c r="Z9" s="199"/>
      <c r="AA9" s="244">
        <f t="shared" si="8"/>
        <v>0.16860590424053931</v>
      </c>
      <c r="AB9" s="245">
        <f t="shared" si="9"/>
        <v>0.83139409575946066</v>
      </c>
      <c r="AC9" s="245">
        <f>PRODUCT(AB10:AB$16)*AA9*PRODUCT(AB$4:AB8)</f>
        <v>0.11110256485898083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1.0215973692745312E-2</v>
      </c>
      <c r="AE9" s="183"/>
      <c r="AF9" s="197"/>
      <c r="AG9" s="246">
        <f t="shared" si="10"/>
        <v>9.9827641511270005E-4</v>
      </c>
      <c r="AH9" s="247">
        <f t="shared" si="2"/>
        <v>0.99900172358488726</v>
      </c>
      <c r="AI9" s="247">
        <f>AG9*PRODUCT(AH3:AH8)*PRODUCT(AH10:AH17)</f>
        <v>7.2995959504930992E-4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2.0802211545686811E-4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1.2278012090878498E-3</v>
      </c>
      <c r="BM9" s="31">
        <f>BI38+1</f>
        <v>5</v>
      </c>
      <c r="BN9" s="31">
        <v>5</v>
      </c>
      <c r="BO9" s="107">
        <f>$H$30*H44</f>
        <v>8.4960702992100648E-4</v>
      </c>
      <c r="BQ9" s="31">
        <f>BM6+1</f>
        <v>3</v>
      </c>
      <c r="BR9" s="31">
        <v>2</v>
      </c>
      <c r="BS9" s="107">
        <f>$H$28*H41</f>
        <v>4.9322379358927498E-2</v>
      </c>
    </row>
    <row r="10" spans="1:71" ht="15.75" x14ac:dyDescent="0.25">
      <c r="A10" s="6" t="s">
        <v>45</v>
      </c>
      <c r="B10" s="271">
        <v>20.5</v>
      </c>
      <c r="C10" s="272">
        <v>2</v>
      </c>
      <c r="E10" s="284" t="s">
        <v>138</v>
      </c>
      <c r="F10" s="284" t="s">
        <v>138</v>
      </c>
      <c r="G10" s="284" t="s">
        <v>6</v>
      </c>
      <c r="H10" s="284" t="s">
        <v>33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0.23013201320132012</v>
      </c>
      <c r="T10" s="226">
        <f>S10*G13</f>
        <v>5.5677099968061319E-2</v>
      </c>
      <c r="U10" s="228">
        <f>S10*G14</f>
        <v>0.17445491323325879</v>
      </c>
      <c r="V10" s="218">
        <f>$G$18</f>
        <v>0.45</v>
      </c>
      <c r="W10" s="216">
        <f>$H$18</f>
        <v>0.45</v>
      </c>
      <c r="X10" s="251">
        <f t="shared" si="7"/>
        <v>2.5054694985627596E-2</v>
      </c>
      <c r="Y10" s="252">
        <f t="shared" si="7"/>
        <v>7.8504710954966458E-2</v>
      </c>
      <c r="Z10" s="199"/>
      <c r="AA10" s="244">
        <f t="shared" si="8"/>
        <v>2.5054694985627596E-2</v>
      </c>
      <c r="AB10" s="245">
        <f t="shared" si="9"/>
        <v>0.97494530501437238</v>
      </c>
      <c r="AC10" s="245">
        <f>PRODUCT(AB11:AB$16)*AA10*PRODUCT(AB$4:AB9)</f>
        <v>1.4078847673564725E-2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9.3275563234555586E-4</v>
      </c>
      <c r="AE10" s="183"/>
      <c r="AF10" s="197"/>
      <c r="AG10" s="246">
        <f t="shared" si="10"/>
        <v>7.8504710954966458E-2</v>
      </c>
      <c r="AH10" s="247">
        <f t="shared" si="2"/>
        <v>0.92149528904503353</v>
      </c>
      <c r="AI10" s="247">
        <f>AG10*PRODUCT(AH3:AH9)*PRODUCT(AH11:AH17)</f>
        <v>6.2232442703004549E-2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1.2433098154107832E-2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2.355374470293591E-4</v>
      </c>
      <c r="BM10" s="31">
        <f>BI44+1</f>
        <v>6</v>
      </c>
      <c r="BN10" s="31">
        <v>6</v>
      </c>
      <c r="BO10" s="107">
        <f>$H$31*H45</f>
        <v>5.6654731755218048E-5</v>
      </c>
      <c r="BQ10" s="31">
        <f>BQ7+1</f>
        <v>4</v>
      </c>
      <c r="BR10" s="31">
        <v>0</v>
      </c>
      <c r="BS10" s="107">
        <f>$H$29*H39</f>
        <v>7.542639980932562E-3</v>
      </c>
    </row>
    <row r="11" spans="1:71" ht="15.75" x14ac:dyDescent="0.25">
      <c r="A11" s="6" t="s">
        <v>48</v>
      </c>
      <c r="B11" s="271">
        <v>9.5</v>
      </c>
      <c r="C11" s="272">
        <v>1.25</v>
      </c>
      <c r="E11" s="213"/>
      <c r="F11" s="284" t="s">
        <v>151</v>
      </c>
      <c r="G11" s="284" t="s">
        <v>151</v>
      </c>
      <c r="H11" s="284" t="s">
        <v>151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0</v>
      </c>
      <c r="Q11" s="214">
        <f>COUNTIF(E9:I11,"CAB")</f>
        <v>4</v>
      </c>
      <c r="R11" s="221">
        <f t="shared" si="0"/>
        <v>0.19</v>
      </c>
      <c r="S11" s="221">
        <f t="shared" si="1"/>
        <v>0.23013201320132012</v>
      </c>
      <c r="T11" s="226">
        <f>IF(P11&gt;0,IF(Q11&gt;0,G13^2.7/(G14^2.7+G13^2.7),1),0)*P11/L11*S11</f>
        <v>0</v>
      </c>
      <c r="U11" s="228">
        <f>IF(Q11&gt;0,IF(P11&gt;0,G14^2.7/(G14^2.7+G13^2.7),1),0)*Q11/L11*S11</f>
        <v>0.10228089475614227</v>
      </c>
      <c r="V11" s="218">
        <f>IF(P11-Q11&gt;3,0.9,IF(P11-Q11=3,0.83,IF(P11-Q11=2,0.75,IF(P11-Q11=1,0.65,IF(P11-Q11=0,0.44,IF(P11-Q11=-1,0.16,IF(P11-Q11&lt;-1,0.05,0.02)))))))</f>
        <v>0.05</v>
      </c>
      <c r="W11" s="216">
        <f>IF(Q11-P11&gt;3,0.9,IF(Q11-P11=3,0.83,IF(Q11-P11=2,0.75,IF(Q11-P11=1,0.65,IF(Q11-P11=0,0.44,IF(Q11-P11=-1,0.16,IF(Q11-P11&lt;-1,0.05,0.02)))))))</f>
        <v>0.9</v>
      </c>
      <c r="X11" s="251">
        <f t="shared" si="7"/>
        <v>0</v>
      </c>
      <c r="Y11" s="252">
        <f t="shared" si="7"/>
        <v>9.2052805280528047E-2</v>
      </c>
      <c r="Z11" s="199"/>
      <c r="AA11" s="244">
        <f t="shared" si="8"/>
        <v>0</v>
      </c>
      <c r="AB11" s="245">
        <f t="shared" si="9"/>
        <v>1</v>
      </c>
      <c r="AC11" s="245">
        <f>PRODUCT(AB12:AB$16)*AA11*PRODUCT(AB$4:AB10)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0"/>
        <v>9.2052805280528047E-2</v>
      </c>
      <c r="AH11" s="247">
        <f t="shared" si="2"/>
        <v>0.90794719471947194</v>
      </c>
      <c r="AI11" s="247">
        <f>AG11*PRODUCT(AH3:AH10)*PRODUCT(AH12:AH17)</f>
        <v>7.4061189882558442E-2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7.287561469802392E-3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3.4106177587008055E-5</v>
      </c>
      <c r="BM11" s="31">
        <f>BI50+1</f>
        <v>7</v>
      </c>
      <c r="BN11" s="31">
        <v>7</v>
      </c>
      <c r="BO11" s="107">
        <f>$H$32*H46</f>
        <v>2.1188055854811124E-6</v>
      </c>
      <c r="BQ11" s="31">
        <f>BQ8+1</f>
        <v>4</v>
      </c>
      <c r="BR11" s="31">
        <v>1</v>
      </c>
      <c r="BS11" s="107">
        <f>$H$29*H40</f>
        <v>1.8843866630293211E-2</v>
      </c>
    </row>
    <row r="12" spans="1:71" ht="15.75" x14ac:dyDescent="0.25">
      <c r="A12" s="6" t="s">
        <v>52</v>
      </c>
      <c r="B12" s="271">
        <v>19.75</v>
      </c>
      <c r="C12" s="272">
        <v>1.25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3.6943447625583907E-6</v>
      </c>
      <c r="BM12" s="31">
        <f>BI54+1</f>
        <v>8</v>
      </c>
      <c r="BN12" s="31">
        <v>8</v>
      </c>
      <c r="BO12" s="107">
        <f>$H$33*H47</f>
        <v>4.3445935580386426E-8</v>
      </c>
      <c r="BQ12" s="31">
        <f>BQ9+1</f>
        <v>4</v>
      </c>
      <c r="BR12" s="31">
        <v>2</v>
      </c>
      <c r="BS12" s="107">
        <f>$H$29*H41</f>
        <v>2.1667861894709713E-2</v>
      </c>
    </row>
    <row r="13" spans="1:71" ht="15.75" x14ac:dyDescent="0.25">
      <c r="A13" s="7" t="s">
        <v>55</v>
      </c>
      <c r="B13" s="271">
        <v>13.25</v>
      </c>
      <c r="C13" s="272">
        <v>14</v>
      </c>
      <c r="E13" s="210"/>
      <c r="F13" s="210" t="s">
        <v>152</v>
      </c>
      <c r="G13" s="217">
        <f>B22</f>
        <v>0.24193548387096775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2</v>
      </c>
      <c r="R13" s="221">
        <f t="shared" si="0"/>
        <v>0.18</v>
      </c>
      <c r="S13" s="221">
        <f t="shared" si="1"/>
        <v>0.21801980198019802</v>
      </c>
      <c r="T13" s="226">
        <f>IF((Q13+P13)=0,0,S13*P14/4*P13/L13)</f>
        <v>0</v>
      </c>
      <c r="U13" s="228">
        <f>IF(P13+Q13=0,0,S13*Q14/4*Q13/L13)</f>
        <v>3.1145685997171147E-2</v>
      </c>
      <c r="V13" s="218">
        <v>1</v>
      </c>
      <c r="W13" s="216">
        <v>1</v>
      </c>
      <c r="X13" s="251">
        <f t="shared" si="7"/>
        <v>0</v>
      </c>
      <c r="Y13" s="252">
        <f t="shared" si="7"/>
        <v>3.1145685997171147E-2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3.1145685997171147E-2</v>
      </c>
      <c r="AH13" s="247">
        <f t="shared" si="2"/>
        <v>0.96885431400282884</v>
      </c>
      <c r="AI13" s="247">
        <f>AG13*PRODUCT(AH3:AH12)*PRODUCT(AH14:AH17)</f>
        <v>2.3483005066084403E-2</v>
      </c>
      <c r="AJ13" s="247">
        <f>AG13*AG14*PRODUCT(AH3:AH12)*PRODUCT(AH15:AH17)+AG13*AG15*PRODUCT(AH3:AH12)*AH14*PRODUCT(AH16:AH17)+AG13*AG16*PRODUCT(AH3:AH12)*AH14*AH15*AH17+AG13*AG17*PRODUCT(AH3:AH12)*AH14*AH15*AH16</f>
        <v>1.5558024170484856E-3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2.9208779172031433E-7</v>
      </c>
      <c r="BM13" s="31">
        <f>BI57+1</f>
        <v>9</v>
      </c>
      <c r="BN13" s="31">
        <v>9</v>
      </c>
      <c r="BO13" s="107">
        <f>$H$34*H48</f>
        <v>4.7484285184231575E-10</v>
      </c>
      <c r="BQ13" s="31">
        <f>BM7+1</f>
        <v>4</v>
      </c>
      <c r="BR13" s="31">
        <v>3</v>
      </c>
      <c r="BS13" s="107">
        <f>$H$29*H42</f>
        <v>1.5191652205541861E-2</v>
      </c>
    </row>
    <row r="14" spans="1:71" ht="15.75" x14ac:dyDescent="0.25">
      <c r="A14" s="7" t="s">
        <v>58</v>
      </c>
      <c r="B14" s="271">
        <v>11.25</v>
      </c>
      <c r="C14" s="272">
        <v>12</v>
      </c>
      <c r="E14" s="210"/>
      <c r="F14" s="210" t="s">
        <v>153</v>
      </c>
      <c r="G14" s="215">
        <f>C22</f>
        <v>0.75806451612903225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0.21801980198019802</v>
      </c>
      <c r="T14" s="226">
        <f>S14*P14^2.7/(Q14^2.7+P14^2.7)</f>
        <v>0.10900990099009901</v>
      </c>
      <c r="U14" s="228">
        <f>S14*Q14^2.7/(Q14^2.7+P14^2.7)</f>
        <v>0.10900990099009901</v>
      </c>
      <c r="V14" s="218">
        <f>$G$17</f>
        <v>0.56999999999999995</v>
      </c>
      <c r="W14" s="216">
        <f>$H$17</f>
        <v>0.56999999999999995</v>
      </c>
      <c r="X14" s="251">
        <f t="shared" si="7"/>
        <v>6.2135643564356427E-2</v>
      </c>
      <c r="Y14" s="252">
        <f t="shared" si="7"/>
        <v>6.2135643564356427E-2</v>
      </c>
      <c r="Z14" s="199"/>
      <c r="AA14" s="244">
        <f t="shared" si="8"/>
        <v>6.2135643564356427E-2</v>
      </c>
      <c r="AB14" s="245">
        <f t="shared" si="9"/>
        <v>0.93786435643564359</v>
      </c>
      <c r="AC14" s="245">
        <f>PRODUCT(AB15:AB$16)*AA14*PRODUCT(AB$4:AB13)</f>
        <v>3.6296020566311933E-2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6.2135643564356427E-2</v>
      </c>
      <c r="AH14" s="247">
        <f t="shared" si="2"/>
        <v>0.93786435643564359</v>
      </c>
      <c r="AI14" s="247">
        <f>AG14*PRODUCT(AH3:AH13)*PRODUCT(AH15:AH17)</f>
        <v>4.839661851180161E-2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8.8222180335684214E-2</v>
      </c>
      <c r="BM14" s="31">
        <f>BQ39+1</f>
        <v>10</v>
      </c>
      <c r="BN14" s="31">
        <v>10</v>
      </c>
      <c r="BO14" s="107">
        <f>$H$35*H49</f>
        <v>2.6596467226058752E-12</v>
      </c>
      <c r="BQ14" s="31">
        <f>BQ10+1</f>
        <v>5</v>
      </c>
      <c r="BR14" s="31">
        <v>0</v>
      </c>
      <c r="BS14" s="107">
        <f>$H$30*H39</f>
        <v>2.5718965154975311E-3</v>
      </c>
    </row>
    <row r="15" spans="1:71" ht="15.75" x14ac:dyDescent="0.25">
      <c r="A15" s="162" t="s">
        <v>62</v>
      </c>
      <c r="B15" s="273">
        <v>8</v>
      </c>
      <c r="C15" s="274">
        <v>8.75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6.1853850046992107E-2</v>
      </c>
      <c r="BQ15" s="31">
        <f>BQ11+1</f>
        <v>5</v>
      </c>
      <c r="BR15" s="31">
        <v>1</v>
      </c>
      <c r="BS15" s="107">
        <f>$H$30*H40</f>
        <v>6.4253994685504303E-3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2.9525620413788419E-2</v>
      </c>
      <c r="BQ16" s="31">
        <f>BQ12+1</f>
        <v>5</v>
      </c>
      <c r="BR16" s="31">
        <v>2</v>
      </c>
      <c r="BS16" s="107">
        <f>$H$30*H41</f>
        <v>7.3883280451091564E-3</v>
      </c>
    </row>
    <row r="17" spans="1:71" x14ac:dyDescent="0.25">
      <c r="A17" s="161" t="s">
        <v>69</v>
      </c>
      <c r="B17" s="275" t="s">
        <v>186</v>
      </c>
      <c r="C17" s="276" t="s">
        <v>188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1.014494539908436E-2</v>
      </c>
      <c r="BQ17" s="31">
        <f>BQ13+1</f>
        <v>5</v>
      </c>
      <c r="BR17" s="31">
        <v>3</v>
      </c>
      <c r="BS17" s="107">
        <f>$H$30*H42</f>
        <v>5.1800639392645068E-3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0.54784568110800425</v>
      </c>
      <c r="AC18" s="159">
        <f>SUM(AC4:AC16)</f>
        <v>0.35458903065577857</v>
      </c>
      <c r="AD18" s="159">
        <f>SUM(AD3:AD17)</f>
        <v>5.32172008419695E-2</v>
      </c>
      <c r="AE18" s="159">
        <f>IF((1-AB18-AC18-AD18)&lt;0,(1-AB18-AC18-AD18)-1,1-AB18-AC18-AD18)</f>
        <v>4.4348087394247684E-2</v>
      </c>
      <c r="AF18" s="197"/>
      <c r="AG18" s="157"/>
      <c r="AH18" s="160">
        <f>PRODUCT(AH3:AH17)</f>
        <v>0.73048995504843295</v>
      </c>
      <c r="AI18" s="159">
        <f>SUM(AI3:AI17)</f>
        <v>0.23769435314619491</v>
      </c>
      <c r="AJ18" s="159">
        <f>SUM(AJ3:AJ17)</f>
        <v>2.992024147094377E-2</v>
      </c>
      <c r="AK18" s="159">
        <f>IF((1-AH18-AI18-AJ18)&lt;0,(1-AH18-AI18-AJ18)-1,(1-AH18-AI18-AJ18))</f>
        <v>1.8954503344283669E-3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2.5856250214459824E-3</v>
      </c>
      <c r="BQ18" s="31">
        <f>BM8+1</f>
        <v>5</v>
      </c>
      <c r="BR18" s="31">
        <v>4</v>
      </c>
      <c r="BS18" s="107">
        <f>$H$30*H43</f>
        <v>2.4726771490162871E-3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4.9601801335499699E-4</v>
      </c>
      <c r="BQ19" s="31">
        <f>BQ15+1</f>
        <v>6</v>
      </c>
      <c r="BR19" s="31">
        <v>1</v>
      </c>
      <c r="BS19" s="107">
        <f>$H$31*H40</f>
        <v>1.6811342474511999E-3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7.1824156469403212E-5</v>
      </c>
      <c r="BQ20" s="31">
        <f>BQ16+1</f>
        <v>6</v>
      </c>
      <c r="BR20" s="31">
        <v>2</v>
      </c>
      <c r="BS20" s="107">
        <f>$H$31*H41</f>
        <v>1.9330737907941003E-3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7.779915987389638E-6</v>
      </c>
      <c r="BQ21" s="31">
        <f>BQ17+1</f>
        <v>6</v>
      </c>
      <c r="BR21" s="31">
        <v>3</v>
      </c>
      <c r="BS21" s="107">
        <f>$H$31*H42</f>
        <v>1.3553060685033403E-3</v>
      </c>
    </row>
    <row r="22" spans="1:71" x14ac:dyDescent="0.25">
      <c r="A22" s="26" t="s">
        <v>81</v>
      </c>
      <c r="B22" s="169">
        <f>(B6)/((B6)+(C6))</f>
        <v>0.24193548387096775</v>
      </c>
      <c r="C22" s="170">
        <f>1-B22</f>
        <v>0.75806451612903225</v>
      </c>
      <c r="V22" s="171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2"/>
        <v>6.1510731309021727E-7</v>
      </c>
      <c r="BQ22" s="31">
        <f>BQ18+1</f>
        <v>6</v>
      </c>
      <c r="BR22" s="31">
        <v>4</v>
      </c>
      <c r="BS22" s="107">
        <f>$H$31*H43</f>
        <v>6.4694845175736161E-4</v>
      </c>
    </row>
    <row r="23" spans="1:71" ht="15.75" thickBot="1" x14ac:dyDescent="0.3">
      <c r="A23" s="40" t="s">
        <v>82</v>
      </c>
      <c r="B23" s="56">
        <f>((B22^2.8)/((B22^2.8)+(C22^2.8)))*B21</f>
        <v>0.19622927283478561</v>
      </c>
      <c r="C23" s="57">
        <f>B21-B23</f>
        <v>4.8037707271652144</v>
      </c>
      <c r="D23" s="149">
        <f>SUM(D25:D30)</f>
        <v>1</v>
      </c>
      <c r="E23" s="149">
        <f>SUM(E25:E30)</f>
        <v>1.0003500000000001</v>
      </c>
      <c r="H23" s="229">
        <f>SUM(H25:H35)</f>
        <v>0.99999993399779774</v>
      </c>
      <c r="I23" s="81"/>
      <c r="J23" s="229">
        <f>SUM(J25:J35)</f>
        <v>1</v>
      </c>
      <c r="K23" s="229"/>
      <c r="L23" s="229">
        <f>SUM(L25:L35)</f>
        <v>0.99999999999999989</v>
      </c>
      <c r="M23" s="81"/>
      <c r="N23" s="229">
        <f>SUM(N25:N35)</f>
        <v>0.99999999999999967</v>
      </c>
      <c r="O23" s="81"/>
      <c r="P23" s="229">
        <f>SUM(P25:P35)</f>
        <v>0.99999999999999967</v>
      </c>
      <c r="Q23" s="81"/>
      <c r="R23" s="229">
        <f>SUM(R25:R35)</f>
        <v>0.99999999999999933</v>
      </c>
      <c r="S23" s="81"/>
      <c r="T23" s="229">
        <f>SUM(T25:T35)</f>
        <v>1</v>
      </c>
      <c r="V23" s="171">
        <f>SUM(V25:V34)</f>
        <v>0.99994033624826262</v>
      </c>
      <c r="Y23" s="168">
        <f>SUM(Y25:Y35)</f>
        <v>6.438330601698336E-3</v>
      </c>
      <c r="Z23" s="81"/>
      <c r="AA23" s="168">
        <f>SUM(AA25:AA35)</f>
        <v>4.5072969755705135E-2</v>
      </c>
      <c r="AB23" s="81"/>
      <c r="AC23" s="168">
        <f>SUM(AC25:AC35)</f>
        <v>0.13773268931317506</v>
      </c>
      <c r="AD23" s="81"/>
      <c r="AE23" s="168">
        <f>SUM(AE25:AE35)</f>
        <v>0.2404333337559475</v>
      </c>
      <c r="AF23" s="81"/>
      <c r="AG23" s="168">
        <f>SUM(AG25:AG35)</f>
        <v>0.26348444994762327</v>
      </c>
      <c r="AH23" s="81"/>
      <c r="AI23" s="168">
        <f>SUM(AI25:AI35)</f>
        <v>0.18769534909349714</v>
      </c>
      <c r="AJ23" s="81"/>
      <c r="AK23" s="168">
        <f>SUM(AK25:AK35)</f>
        <v>8.72714108194724E-2</v>
      </c>
      <c r="AL23" s="81"/>
      <c r="AM23" s="168">
        <f>SUM(AM25:AM35)</f>
        <v>2.6156270724845634E-2</v>
      </c>
      <c r="AN23" s="81"/>
      <c r="AO23" s="168">
        <f>SUM(AO25:AO35)</f>
        <v>5.0169366054081972E-3</v>
      </c>
      <c r="AP23" s="81"/>
      <c r="AQ23" s="168">
        <f>SUM(AQ25:AQ35)</f>
        <v>6.3859563088982047E-4</v>
      </c>
      <c r="AR23" s="81"/>
      <c r="AS23" s="168">
        <f>SUM(AS25:AS35)</f>
        <v>5.9663751737382136E-5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5.8105159127185856E-2</v>
      </c>
      <c r="BQ23" s="31">
        <f>BM9+1</f>
        <v>6</v>
      </c>
      <c r="BR23" s="31">
        <v>5</v>
      </c>
      <c r="BS23" s="107">
        <f>$H$31*H44</f>
        <v>2.2229022208913735E-4</v>
      </c>
    </row>
    <row r="24" spans="1:71" ht="15.75" thickBot="1" x14ac:dyDescent="0.3">
      <c r="A24" s="26" t="s">
        <v>83</v>
      </c>
      <c r="B24" s="64">
        <f>B23/B21</f>
        <v>3.9245854566957124E-2</v>
      </c>
      <c r="C24" s="65">
        <f>C23/B21</f>
        <v>0.96075414543304283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2.77362018883009E-2</v>
      </c>
      <c r="BQ24" s="31">
        <f>BI49+1</f>
        <v>7</v>
      </c>
      <c r="BR24" s="31">
        <v>0</v>
      </c>
      <c r="BS24" s="107">
        <f t="shared" ref="BS24:BS30" si="17">$H$32*H39</f>
        <v>1.3118336514149977E-4</v>
      </c>
    </row>
    <row r="25" spans="1:71" x14ac:dyDescent="0.25">
      <c r="A25" s="26" t="s">
        <v>108</v>
      </c>
      <c r="B25" s="172">
        <f>1/(1+EXP(-3.1416*4*((B11/(B11+C8))-(3.1416/6))))</f>
        <v>5.4726976490569831E-2</v>
      </c>
      <c r="C25" s="170">
        <f>1/(1+EXP(-3.1416*4*((C11/(C11+B8))-(3.1416/6))))</f>
        <v>3.7492853212011856E-3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0.23499999999999999</v>
      </c>
      <c r="G25" s="124">
        <v>0</v>
      </c>
      <c r="H25" s="125">
        <f>L25*J25</f>
        <v>0.14261984781291454</v>
      </c>
      <c r="I25" s="97">
        <v>0</v>
      </c>
      <c r="J25" s="98">
        <f t="shared" ref="J25:J35" si="18">Y25+AA25+AC25+AE25+AG25+AI25+AK25+AM25+AO25+AQ25+AS25</f>
        <v>0.26032850624005915</v>
      </c>
      <c r="K25" s="97">
        <v>0</v>
      </c>
      <c r="L25" s="98">
        <f>AB18</f>
        <v>0.54784568110800425</v>
      </c>
      <c r="M25" s="85">
        <v>0</v>
      </c>
      <c r="N25" s="173">
        <f>(1-$B$24)^$B$21</f>
        <v>0.81858038750709894</v>
      </c>
      <c r="O25" s="72">
        <v>0</v>
      </c>
      <c r="P25" s="173">
        <f t="shared" ref="P25:P30" si="19">N25</f>
        <v>0.81858038750709894</v>
      </c>
      <c r="Q25" s="28">
        <v>0</v>
      </c>
      <c r="R25" s="174">
        <f>P25*N25</f>
        <v>0.67007385081127224</v>
      </c>
      <c r="S25" s="72">
        <v>0</v>
      </c>
      <c r="T25" s="175">
        <f>(1-$B$33)^(INT(C23*2*(1-C31)))</f>
        <v>9.6083895736317967E-3</v>
      </c>
      <c r="U25" s="138">
        <v>0</v>
      </c>
      <c r="V25" s="86">
        <f>R25*T25</f>
        <v>6.438330601698336E-3</v>
      </c>
      <c r="W25" s="134">
        <f>B31</f>
        <v>0.32877500257365699</v>
      </c>
      <c r="X25" s="28">
        <v>0</v>
      </c>
      <c r="Y25" s="176">
        <f>V25</f>
        <v>6.438330601698336E-3</v>
      </c>
      <c r="Z25" s="28">
        <v>0</v>
      </c>
      <c r="AA25" s="176">
        <f>((1-W25)^Z26)*V26</f>
        <v>3.0254104008270815E-2</v>
      </c>
      <c r="AB25" s="28">
        <v>0</v>
      </c>
      <c r="AC25" s="176">
        <f>(((1-$W$25)^AB27))*V27</f>
        <v>6.2054498651441518E-2</v>
      </c>
      <c r="AD25" s="28">
        <v>0</v>
      </c>
      <c r="AE25" s="176">
        <f>(((1-$W$25)^AB28))*V28</f>
        <v>7.271082024853473E-2</v>
      </c>
      <c r="AF25" s="28">
        <v>0</v>
      </c>
      <c r="AG25" s="176">
        <f>(((1-$W$25)^AB29))*V29</f>
        <v>5.3484442981303636E-2</v>
      </c>
      <c r="AH25" s="28">
        <v>0</v>
      </c>
      <c r="AI25" s="176">
        <f>(((1-$W$25)^AB30))*V30</f>
        <v>2.5573732658941532E-2</v>
      </c>
      <c r="AJ25" s="28">
        <v>0</v>
      </c>
      <c r="AK25" s="176">
        <f>(((1-$W$25)^AB31))*V31</f>
        <v>7.9814303510096531E-3</v>
      </c>
      <c r="AL25" s="28">
        <v>0</v>
      </c>
      <c r="AM25" s="176">
        <f>(((1-$W$25)^AB32))*V32</f>
        <v>1.605656630661358E-3</v>
      </c>
      <c r="AN25" s="28">
        <v>0</v>
      </c>
      <c r="AO25" s="176">
        <f>(((1-$W$25)^AB33))*V33</f>
        <v>2.0672051985514203E-4</v>
      </c>
      <c r="AP25" s="28">
        <v>0</v>
      </c>
      <c r="AQ25" s="176">
        <f>(((1-$W$25)^AB34))*V34</f>
        <v>1.7661965820476366E-5</v>
      </c>
      <c r="AR25" s="28">
        <v>0</v>
      </c>
      <c r="AS25" s="176">
        <f>(((1-$W$25)^AB35))*V35</f>
        <v>1.1076225218944037E-6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9.5301046952221899E-3</v>
      </c>
      <c r="BQ25" s="31">
        <f>BQ19+1</f>
        <v>7</v>
      </c>
      <c r="BR25" s="31">
        <v>1</v>
      </c>
      <c r="BS25" s="107">
        <f t="shared" si="17"/>
        <v>3.2773695192778407E-4</v>
      </c>
    </row>
    <row r="26" spans="1:71" x14ac:dyDescent="0.25">
      <c r="A26" s="40" t="s">
        <v>109</v>
      </c>
      <c r="B26" s="169">
        <f>1/(1+EXP(-3.1416*4*((B10/(B10+C9))-(3.1416/6))))</f>
        <v>0.4358505471897689</v>
      </c>
      <c r="C26" s="170">
        <f>1/(1+EXP(-3.1416*4*((C10/(C10+B9))-(3.1416/6))))</f>
        <v>5.8027306418799553E-3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0.16705</v>
      </c>
      <c r="G26" s="87">
        <v>1</v>
      </c>
      <c r="H26" s="126">
        <f>L25*J26+L26*J25</f>
        <v>0.30034295807042555</v>
      </c>
      <c r="I26" s="138">
        <v>1</v>
      </c>
      <c r="J26" s="86">
        <f t="shared" si="18"/>
        <v>0.37972978991082668</v>
      </c>
      <c r="K26" s="138">
        <v>1</v>
      </c>
      <c r="L26" s="86">
        <f>AC18</f>
        <v>0.35458903065577857</v>
      </c>
      <c r="M26" s="85">
        <v>1</v>
      </c>
      <c r="N26" s="173">
        <f>(($B$24)^M26)*((1-($B$24))^($B$21-M26))*HLOOKUP($B$21,$AV$24:$BF$34,M26+1)</f>
        <v>0.16719098737266877</v>
      </c>
      <c r="O26" s="72">
        <v>1</v>
      </c>
      <c r="P26" s="173">
        <f t="shared" si="19"/>
        <v>0.16719098737266877</v>
      </c>
      <c r="Q26" s="28">
        <v>1</v>
      </c>
      <c r="R26" s="174">
        <f>N26*P25+P26*N25</f>
        <v>0.27371852646242739</v>
      </c>
      <c r="S26" s="72">
        <v>1</v>
      </c>
      <c r="T26" s="175">
        <f t="shared" ref="T26:T35" si="20">(($B$33)^S26)*((1-($B$33))^(INT($C$23*2*(1-$C$31))-S26))*HLOOKUP(INT($C$23*2*(1-$C$31)),$AV$24:$BF$34,S26+1)</f>
        <v>6.3340742917436785E-2</v>
      </c>
      <c r="U26" s="138">
        <v>1</v>
      </c>
      <c r="V26" s="86">
        <f>R26*T25+T26*R25</f>
        <v>4.5072969755705135E-2</v>
      </c>
      <c r="W26" s="177"/>
      <c r="X26" s="28">
        <v>1</v>
      </c>
      <c r="Y26" s="174"/>
      <c r="Z26" s="28">
        <v>1</v>
      </c>
      <c r="AA26" s="176">
        <f>(1-((1-W25)^Z26))*V26</f>
        <v>1.481886574743432E-2</v>
      </c>
      <c r="AB26" s="28">
        <v>1</v>
      </c>
      <c r="AC26" s="176">
        <f>((($W$25)^M26)*((1-($W$25))^($U$27-M26))*HLOOKUP($U$27,$AV$24:$BF$34,M26+1))*V27</f>
        <v>6.0790250756635425E-2</v>
      </c>
      <c r="AD26" s="28">
        <v>1</v>
      </c>
      <c r="AE26" s="176">
        <f>((($W$25)^M26)*((1-($W$25))^($U$28-M26))*HLOOKUP($U$28,$AV$24:$BF$34,M26+1))*V28</f>
        <v>0.10684420368433015</v>
      </c>
      <c r="AF26" s="28">
        <v>1</v>
      </c>
      <c r="AG26" s="176">
        <f>((($W$25)^M26)*((1-($W$25))^($U$29-M26))*HLOOKUP($U$29,$AV$24:$BF$34,M26+1))*V29</f>
        <v>0.10478958886365572</v>
      </c>
      <c r="AH26" s="28">
        <v>1</v>
      </c>
      <c r="AI26" s="176">
        <f>((($W$25)^M26)*((1-($W$25))^($U$30-M26))*HLOOKUP($U$30,$AV$24:$BF$34,M26+1))*V30</f>
        <v>6.2631785563708631E-2</v>
      </c>
      <c r="AJ26" s="28">
        <v>1</v>
      </c>
      <c r="AK26" s="176">
        <f>((($W$25)^M26)*((1-($W$25))^($U$31-M26))*HLOOKUP($U$31,$AV$24:$BF$34,M26+1))*V31</f>
        <v>2.3456469537840342E-2</v>
      </c>
      <c r="AL26" s="28">
        <v>1</v>
      </c>
      <c r="AM26" s="176">
        <f>((($W$25)^Q26)*((1-($W$25))^($U$32-Q26))*HLOOKUP($U$32,$AV$24:$BF$34,Q26+1))*V32</f>
        <v>5.5053050084777058E-3</v>
      </c>
      <c r="AN26" s="28">
        <v>1</v>
      </c>
      <c r="AO26" s="176">
        <f>((($W$25)^Q26)*((1-($W$25))^($U$33-Q26))*HLOOKUP($U$33,$AV$24:$BF$34,Q26+1))*V33</f>
        <v>8.1003585632831118E-4</v>
      </c>
      <c r="AP26" s="28">
        <v>1</v>
      </c>
      <c r="AQ26" s="176">
        <f>((($W$25)^Q26)*((1-($W$25))^($U$34-Q26))*HLOOKUP($U$34,$AV$24:$BF$34,Q26+1))*V34</f>
        <v>7.7859608809461138E-5</v>
      </c>
      <c r="AR26" s="28">
        <v>1</v>
      </c>
      <c r="AS26" s="176">
        <f>((($W$25)^Q26)*((1-($W$25))^($U$35-Q26))*HLOOKUP($U$35,$AV$24:$BF$34,Q26+1))*V35</f>
        <v>5.4252836065813242E-6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2.4289216144219319E-3</v>
      </c>
      <c r="BQ26" s="31">
        <f>BQ20+1</f>
        <v>7</v>
      </c>
      <c r="BR26" s="31">
        <v>2</v>
      </c>
      <c r="BS26" s="107">
        <f t="shared" si="17"/>
        <v>3.7685254048382344E-4</v>
      </c>
    </row>
    <row r="27" spans="1:71" x14ac:dyDescent="0.25">
      <c r="A27" s="26" t="s">
        <v>110</v>
      </c>
      <c r="B27" s="169">
        <f>1/(1+EXP(-3.1416*4*((B12/(B12+C7))-(3.1416/6))))</f>
        <v>0.42639691249266598</v>
      </c>
      <c r="C27" s="170">
        <f>1/(1+EXP(-3.1416*4*((C12/(C12+B7))-(3.1416/6))))</f>
        <v>3.4389015600713464E-3</v>
      </c>
      <c r="D27" s="167">
        <f>D26</f>
        <v>0.25700000000000001</v>
      </c>
      <c r="E27" s="167">
        <f>E26</f>
        <v>0.16705</v>
      </c>
      <c r="G27" s="87">
        <v>2</v>
      </c>
      <c r="H27" s="126">
        <f>L25*J27+J26*L26+J25*L27</f>
        <v>0.2821404869406417</v>
      </c>
      <c r="I27" s="138">
        <v>2</v>
      </c>
      <c r="J27" s="86">
        <f t="shared" si="18"/>
        <v>0.24393459514601179</v>
      </c>
      <c r="K27" s="138">
        <v>2</v>
      </c>
      <c r="L27" s="86">
        <f>AD18</f>
        <v>5.32172008419695E-2</v>
      </c>
      <c r="M27" s="85">
        <v>2</v>
      </c>
      <c r="N27" s="173">
        <f>(($B$24)^M27)*((1-($B$24))^($B$21-M27))*HLOOKUP($B$21,$AV$24:$BF$34,M27+1)</f>
        <v>1.365917223781787E-2</v>
      </c>
      <c r="O27" s="72">
        <v>2</v>
      </c>
      <c r="P27" s="173">
        <f t="shared" si="19"/>
        <v>1.365917223781787E-2</v>
      </c>
      <c r="Q27" s="28">
        <v>2</v>
      </c>
      <c r="R27" s="174">
        <f>P25*N27+P26*N26+P27*N25</f>
        <v>5.0315087265566209E-2</v>
      </c>
      <c r="S27" s="72">
        <v>2</v>
      </c>
      <c r="T27" s="175">
        <f t="shared" si="20"/>
        <v>0.17895297270848642</v>
      </c>
      <c r="U27" s="138">
        <v>2</v>
      </c>
      <c r="V27" s="86">
        <f>R27*T25+T26*R26+R25*T27</f>
        <v>0.13773268931317506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1.4887939905098117E-2</v>
      </c>
      <c r="AD27" s="28">
        <v>2</v>
      </c>
      <c r="AE27" s="176">
        <f>((($W$25)^M27)*((1-($W$25))^($U$28-M27))*HLOOKUP($U$28,$AV$24:$BF$34,M27+1))*V28</f>
        <v>5.2333723380364294E-2</v>
      </c>
      <c r="AF27" s="28">
        <v>2</v>
      </c>
      <c r="AG27" s="176">
        <f>((($W$25)^M27)*((1-($W$25))^($U$29-M27))*HLOOKUP($U$29,$AV$24:$BF$34,M27+1))*V29</f>
        <v>7.699101824374803E-2</v>
      </c>
      <c r="AH27" s="28">
        <v>2</v>
      </c>
      <c r="AI27" s="176">
        <f>((($W$25)^M27)*((1-($W$25))^($U$30-M27))*HLOOKUP($U$30,$AV$24:$BF$34,M27+1))*V30</f>
        <v>6.1355776494783104E-2</v>
      </c>
      <c r="AJ27" s="28">
        <v>2</v>
      </c>
      <c r="AK27" s="176">
        <f>((($W$25)^M27)*((1-($W$25))^($U$31-M27))*HLOOKUP($U$31,$AV$24:$BF$34,M27+1))*V31</f>
        <v>2.8723233126901802E-2</v>
      </c>
      <c r="AL27" s="28">
        <v>2</v>
      </c>
      <c r="AM27" s="176">
        <f>((($W$25)^Q27)*((1-($W$25))^($U$32-Q27))*HLOOKUP($U$32,$AV$24:$BF$34,Q27+1))*V32</f>
        <v>8.089716601457379E-3</v>
      </c>
      <c r="AN27" s="28">
        <v>2</v>
      </c>
      <c r="AO27" s="176">
        <f>((($W$25)^Q27)*((1-($W$25))^($U$33-Q27))*HLOOKUP($U$33,$AV$24:$BF$34,Q27+1))*V33</f>
        <v>1.3886824778514279E-3</v>
      </c>
      <c r="AP27" s="28">
        <v>2</v>
      </c>
      <c r="AQ27" s="176">
        <f>((($W$25)^Q27)*((1-($W$25))^($U$34-Q27))*HLOOKUP($U$34,$AV$24:$BF$34,Q27+1))*V34</f>
        <v>1.5254672090500351E-4</v>
      </c>
      <c r="AR27" s="28">
        <v>2</v>
      </c>
      <c r="AS27" s="176">
        <f>((($W$25)^Q27)*((1-($W$25))^($U$35-Q27))*HLOOKUP($U$35,$AV$24:$BF$34,Q27+1))*V35</f>
        <v>1.1958194902604887E-5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4.6595653421810314E-4</v>
      </c>
      <c r="BQ27" s="31">
        <f>BQ21+1</f>
        <v>7</v>
      </c>
      <c r="BR27" s="31">
        <v>3</v>
      </c>
      <c r="BS27" s="107">
        <f t="shared" si="17"/>
        <v>2.6421678131532267E-4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0.16791275458582325</v>
      </c>
      <c r="I28" s="138">
        <v>3</v>
      </c>
      <c r="J28" s="86">
        <f t="shared" si="18"/>
        <v>9.0651431271367391E-2</v>
      </c>
      <c r="K28" s="138">
        <v>3</v>
      </c>
      <c r="L28" s="86">
        <f>AE18</f>
        <v>4.4348087394247684E-2</v>
      </c>
      <c r="M28" s="85">
        <v>3</v>
      </c>
      <c r="N28" s="173">
        <f>(($B$24)^M28)*((1-($B$24))^($B$21-M28))*HLOOKUP($B$21,$AV$24:$BF$34,M28+1)</f>
        <v>5.5796364730624839E-4</v>
      </c>
      <c r="O28" s="72">
        <v>3</v>
      </c>
      <c r="P28" s="173">
        <f t="shared" si="19"/>
        <v>5.5796364730624839E-4</v>
      </c>
      <c r="Q28" s="28">
        <v>3</v>
      </c>
      <c r="R28" s="174">
        <f>P25*N28+P26*N27+P27*N26+P28*N25</f>
        <v>5.4808571835218761E-3</v>
      </c>
      <c r="S28" s="72">
        <v>3</v>
      </c>
      <c r="T28" s="175">
        <f t="shared" si="20"/>
        <v>0.28088087949390267</v>
      </c>
      <c r="U28" s="138">
        <v>3</v>
      </c>
      <c r="V28" s="86">
        <f>R28*T25+R27*T26+R26*T27+R25*T28</f>
        <v>0.2404333337559475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8.5445864427183271E-3</v>
      </c>
      <c r="AF28" s="28">
        <v>3</v>
      </c>
      <c r="AG28" s="176">
        <f>((($W$25)^M28)*((1-($W$25))^($U$29-M28))*HLOOKUP($U$29,$AV$24:$BF$34,M28+1))*V29</f>
        <v>2.5140821948221547E-2</v>
      </c>
      <c r="AH28" s="28">
        <v>3</v>
      </c>
      <c r="AI28" s="176">
        <f>((($W$25)^M28)*((1-($W$25))^($U$30-M28))*HLOOKUP($U$30,$AV$24:$BF$34,M28+1))*V30</f>
        <v>3.0052881898509222E-2</v>
      </c>
      <c r="AJ28" s="28">
        <v>3</v>
      </c>
      <c r="AK28" s="176">
        <f>((($W$25)^M28)*((1-($W$25))^($U$31-M28))*HLOOKUP($U$31,$AV$24:$BF$34,M28+1))*V31</f>
        <v>1.8758699554654513E-2</v>
      </c>
      <c r="AL28" s="28">
        <v>3</v>
      </c>
      <c r="AM28" s="176">
        <f>((($W$25)^Q28)*((1-($W$25))^($U$32-Q28))*HLOOKUP($U$32,$AV$24:$BF$34,Q28+1))*V32</f>
        <v>6.604086078096756E-3</v>
      </c>
      <c r="AN28" s="28">
        <v>3</v>
      </c>
      <c r="AO28" s="176">
        <f>((($W$25)^Q28)*((1-($W$25))^($U$33-Q28))*HLOOKUP($U$33,$AV$24:$BF$34,Q28+1))*V33</f>
        <v>1.3603905902795186E-3</v>
      </c>
      <c r="AP28" s="28">
        <v>3</v>
      </c>
      <c r="AQ28" s="176">
        <f>((($W$25)^Q28)*((1-($W$25))^($U$34-Q28))*HLOOKUP($U$34,$AV$24:$BF$34,Q28+1))*V34</f>
        <v>1.7434533440258905E-4</v>
      </c>
      <c r="AR28" s="28">
        <v>3</v>
      </c>
      <c r="AS28" s="176">
        <f>((($W$25)^Q28)*((1-($W$25))^($U$35-Q28))*HLOOKUP($U$35,$AV$24:$BF$34,Q28+1))*V35</f>
        <v>1.5619424484903883E-5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6.7471208949159277E-5</v>
      </c>
      <c r="BQ28" s="31">
        <f>BQ22+1</f>
        <v>7</v>
      </c>
      <c r="BR28" s="31">
        <v>4</v>
      </c>
      <c r="BS28" s="107">
        <f t="shared" si="17"/>
        <v>1.2612253539823955E-4</v>
      </c>
    </row>
    <row r="29" spans="1:71" x14ac:dyDescent="0.25">
      <c r="A29" s="26" t="s">
        <v>112</v>
      </c>
      <c r="B29" s="169">
        <f>1/(1+EXP(-3.1416*4*((B14/(B14+C13))-(3.1416/6))))</f>
        <v>0.27271801043628158</v>
      </c>
      <c r="C29" s="170">
        <f>1/(1+EXP(-3.1416*4*((C14/(C14+B13))-(3.1416/6))))</f>
        <v>0.35260308776191501</v>
      </c>
      <c r="D29" s="167">
        <v>0.04</v>
      </c>
      <c r="E29" s="167">
        <v>0.04</v>
      </c>
      <c r="G29" s="87">
        <v>4</v>
      </c>
      <c r="H29" s="126">
        <f>J29*L25+J28*L26+J27*L27+J26*L28</f>
        <v>7.376591364843306E-2</v>
      </c>
      <c r="I29" s="138">
        <v>4</v>
      </c>
      <c r="J29" s="86">
        <f t="shared" si="18"/>
        <v>2.1539102455165972E-2</v>
      </c>
      <c r="K29" s="138">
        <v>4</v>
      </c>
      <c r="L29" s="86"/>
      <c r="M29" s="85">
        <v>4</v>
      </c>
      <c r="N29" s="173">
        <f>(($B$24)^M29)*((1-($B$24))^($B$21-M29))*HLOOKUP($B$21,$AV$24:$BF$34,M29+1)</f>
        <v>1.1396130976858788E-5</v>
      </c>
      <c r="O29" s="72">
        <v>4</v>
      </c>
      <c r="P29" s="173">
        <f t="shared" si="19"/>
        <v>1.1396130976858788E-5</v>
      </c>
      <c r="Q29" s="28">
        <v>4</v>
      </c>
      <c r="R29" s="174">
        <f>P25*N29+P26*N28+P27*N27+P28*N26+P29*N25</f>
        <v>3.9180327106698627E-4</v>
      </c>
      <c r="S29" s="72">
        <v>4</v>
      </c>
      <c r="T29" s="175">
        <f t="shared" si="20"/>
        <v>0.26451888651367533</v>
      </c>
      <c r="U29" s="138">
        <v>4</v>
      </c>
      <c r="V29" s="86">
        <f>T29*R25+T28*R26+T27*R27+T26*R28+T25*R29</f>
        <v>0.26348444994762327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3.0785779106943293E-3</v>
      </c>
      <c r="AH29" s="28">
        <v>4</v>
      </c>
      <c r="AI29" s="176">
        <f>((($W$25)^M29)*((1-($W$25))^($U$30-M29))*HLOOKUP($U$30,$AV$24:$BF$34,M29+1))*V30</f>
        <v>7.3601522301859961E-3</v>
      </c>
      <c r="AJ29" s="28">
        <v>4</v>
      </c>
      <c r="AK29" s="176">
        <f>((($W$25)^M29)*((1-($W$25))^($U$31-M29))*HLOOKUP($U$31,$AV$24:$BF$34,M29+1))*V31</f>
        <v>6.8911968989617111E-3</v>
      </c>
      <c r="AL29" s="28">
        <v>4</v>
      </c>
      <c r="AM29" s="176">
        <f>((($W$25)^Q29)*((1-($W$25))^($U$32-Q29))*HLOOKUP($U$32,$AV$24:$BF$34,Q29+1))*V32</f>
        <v>3.2347698992857849E-3</v>
      </c>
      <c r="AN29" s="28">
        <v>4</v>
      </c>
      <c r="AO29" s="176">
        <f>((($W$25)^Q29)*((1-($W$25))^($U$33-Q29))*HLOOKUP($U$33,$AV$24:$BF$34,Q29+1))*V33</f>
        <v>8.3292193663684266E-4</v>
      </c>
      <c r="AP29" s="28">
        <v>4</v>
      </c>
      <c r="AQ29" s="176">
        <f>((($W$25)^Q29)*((1-($W$25))^($U$34-Q29))*HLOOKUP($U$34,$AV$24:$BF$34,Q29+1))*V34</f>
        <v>1.2809502324860831E-4</v>
      </c>
      <c r="AR29" s="28">
        <v>4</v>
      </c>
      <c r="AS29" s="176">
        <f>((($W$25)^Q29)*((1-($W$25))^($U$35-Q29))*HLOOKUP($U$35,$AV$24:$BF$34,Q29+1))*V35</f>
        <v>1.338855615270342E-5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7.3084093568949172E-6</v>
      </c>
      <c r="BQ29" s="31">
        <f>BQ23+1</f>
        <v>7</v>
      </c>
      <c r="BR29" s="31">
        <v>5</v>
      </c>
      <c r="BS29" s="107">
        <f t="shared" si="17"/>
        <v>4.3335456368994608E-5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0.55000000000000004</v>
      </c>
      <c r="D30" s="167">
        <f>IF(B17="TL",0.875*B32,0.001)</f>
        <v>1E-3</v>
      </c>
      <c r="E30" s="167">
        <f>IF(C17="TL",0.875*C32,0.001)</f>
        <v>0.30624999999999997</v>
      </c>
      <c r="G30" s="87">
        <v>5</v>
      </c>
      <c r="H30" s="126">
        <f>J30*L25+J29*L26+J28*L27+J27*L28</f>
        <v>2.5152771013132756E-2</v>
      </c>
      <c r="I30" s="138">
        <v>5</v>
      </c>
      <c r="J30" s="86">
        <f t="shared" si="18"/>
        <v>3.4188338949314345E-3</v>
      </c>
      <c r="K30" s="138">
        <v>5</v>
      </c>
      <c r="L30" s="86"/>
      <c r="M30" s="85">
        <v>5</v>
      </c>
      <c r="N30" s="173">
        <f>(($B$24)^M30)*((1-($B$24))^($B$21-M30))*HLOOKUP($B$21,$AV$24:$BF$34,M30+1)</f>
        <v>9.3104130972488208E-8</v>
      </c>
      <c r="O30" s="72">
        <v>5</v>
      </c>
      <c r="P30" s="173">
        <f t="shared" si="19"/>
        <v>9.3104130972488208E-8</v>
      </c>
      <c r="Q30" s="28">
        <v>5</v>
      </c>
      <c r="R30" s="174">
        <f>P25*N30+P26*N29+P27*N28+P28*N27+P29*N26+P30*N25</f>
        <v>1.9205730333712716E-5</v>
      </c>
      <c r="S30" s="72">
        <v>5</v>
      </c>
      <c r="T30" s="175">
        <f t="shared" si="20"/>
        <v>0.14946601160287287</v>
      </c>
      <c r="U30" s="138">
        <v>5</v>
      </c>
      <c r="V30" s="86">
        <f>T30*R25+T29*R26+T28*R27+T27*R28+T26*R29+T25*R30</f>
        <v>0.18769534909349717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7.2102024736867747E-4</v>
      </c>
      <c r="AJ30" s="28">
        <v>5</v>
      </c>
      <c r="AK30" s="176">
        <f>((($W$25)^M30)*((1-($W$25))^($U$31-M30))*HLOOKUP($U$31,$AV$24:$BF$34,M30+1))*V31</f>
        <v>1.350160251408298E-3</v>
      </c>
      <c r="AL30" s="28">
        <v>5</v>
      </c>
      <c r="AM30" s="176">
        <f>((($W$25)^Q30)*((1-($W$25))^($U$32-Q30))*HLOOKUP($U$32,$AV$24:$BF$34,Q30+1))*V32</f>
        <v>9.5066019833050987E-4</v>
      </c>
      <c r="AN30" s="28">
        <v>5</v>
      </c>
      <c r="AO30" s="176">
        <f>((($W$25)^Q30)*((1-($W$25))^($U$33-Q30))*HLOOKUP($U$33,$AV$24:$BF$34,Q30+1))*V33</f>
        <v>3.263810649620314E-4</v>
      </c>
      <c r="AP30" s="28">
        <v>5</v>
      </c>
      <c r="AQ30" s="176">
        <f>((($W$25)^Q30)*((1-($W$25))^($U$34-Q30))*HLOOKUP($U$34,$AV$24:$BF$34,Q30+1))*V34</f>
        <v>6.2742659703842867E-5</v>
      </c>
      <c r="AR30" s="28">
        <v>5</v>
      </c>
      <c r="AS30" s="176">
        <f>((($W$25)^Q30)*((1-($W$25))^($U$35-Q30))*HLOOKUP($U$35,$AV$24:$BF$34,Q30+1))*V35</f>
        <v>7.8694731580743653E-6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5.7782835312999006E-7</v>
      </c>
      <c r="BQ30" s="31">
        <f>BM10+1</f>
        <v>7</v>
      </c>
      <c r="BR30" s="31">
        <v>6</v>
      </c>
      <c r="BS30" s="107">
        <f t="shared" si="17"/>
        <v>1.1044834239676263E-5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0.32877500257365699</v>
      </c>
      <c r="C31" s="61">
        <f>(C25*E25)+(C26*E26)+(C27*E27)+(C28*E28)+(C29*E29)+(C30*E30)/(C25+C26+C27+C28+C29+C30)</f>
        <v>0.18580168828908677</v>
      </c>
      <c r="G31" s="87">
        <v>6</v>
      </c>
      <c r="H31" s="126">
        <f>J31*L25+J30*L26+J29*L27+J28*L28</f>
        <v>6.5809425508006319E-3</v>
      </c>
      <c r="I31" s="138">
        <v>6</v>
      </c>
      <c r="J31" s="86">
        <f t="shared" si="18"/>
        <v>3.6906965455359598E-4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6.5377920660211236E-7</v>
      </c>
      <c r="S31" s="72">
        <v>6</v>
      </c>
      <c r="T31" s="175">
        <f t="shared" si="20"/>
        <v>4.6919751215141324E-2</v>
      </c>
      <c r="U31" s="138">
        <v>6</v>
      </c>
      <c r="V31" s="86">
        <f>T31*R25+T30*R26+T29*R27+T28*R28+T27*R29+T26*R30+T25*R31</f>
        <v>8.72714108194724E-2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1.1022109869607567E-4</v>
      </c>
      <c r="AL31" s="28">
        <v>6</v>
      </c>
      <c r="AM31" s="176">
        <f>((($W$25)^Q31)*((1-($W$25))^($U$32-Q31))*HLOOKUP($U$32,$AV$24:$BF$34,Q31+1))*V32</f>
        <v>1.5521537008265983E-4</v>
      </c>
      <c r="AN31" s="28">
        <v>6</v>
      </c>
      <c r="AO31" s="176">
        <f>((($W$25)^Q31)*((1-($W$25))^($U$33-Q31))*HLOOKUP($U$33,$AV$24:$BF$34,Q31+1))*V33</f>
        <v>7.9932910636764556E-5</v>
      </c>
      <c r="AP31" s="28">
        <v>6</v>
      </c>
      <c r="AQ31" s="176">
        <f>((($W$25)^Q31)*((1-($W$25))^($U$34-Q31))*HLOOKUP($U$34,$AV$24:$BF$34,Q31+1))*V34</f>
        <v>2.0488130591781845E-5</v>
      </c>
      <c r="AR31" s="28">
        <v>6</v>
      </c>
      <c r="AS31" s="176">
        <f>((($W$25)^Q31)*((1-($W$25))^($U$35-Q31))*HLOOKUP($U$35,$AV$24:$BF$34,Q31+1))*V35</f>
        <v>3.2121445463140448E-6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1.6506890277654257E-2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1.8576492925586982E-5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0.35</v>
      </c>
      <c r="G32" s="87">
        <v>7</v>
      </c>
      <c r="H32" s="126">
        <f>J32*L25+J31*L26+J30*L27+J29*L28</f>
        <v>1.2829540863147895E-3</v>
      </c>
      <c r="I32" s="138">
        <v>7</v>
      </c>
      <c r="J32" s="86">
        <f t="shared" si="18"/>
        <v>2.7247211522636055E-5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1.5260704332066838E-8</v>
      </c>
      <c r="S32" s="72">
        <v>7</v>
      </c>
      <c r="T32" s="175">
        <f t="shared" si="20"/>
        <v>6.3123659748525775E-3</v>
      </c>
      <c r="U32" s="138">
        <v>7</v>
      </c>
      <c r="V32" s="86">
        <f>T32*R25+T31*R26+T30*R27+T29*R28+T28*R29+T27*R30+T26*R31+T25*R32</f>
        <v>2.6156270724845634E-2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1.0860938453480879E-5</v>
      </c>
      <c r="AN32" s="28">
        <v>7</v>
      </c>
      <c r="AO32" s="176">
        <f>((($W$25)^Q32)*((1-($W$25))^($U$33-Q32))*HLOOKUP($U$33,$AV$24:$BF$34,Q32+1))*V33</f>
        <v>1.1186346073473988E-5</v>
      </c>
      <c r="AP32" s="28">
        <v>7</v>
      </c>
      <c r="AQ32" s="176">
        <f>((($W$25)^Q32)*((1-($W$25))^($U$34-Q32))*HLOOKUP($U$34,$AV$24:$BF$34,Q32+1))*V34</f>
        <v>4.3008690170126525E-6</v>
      </c>
      <c r="AR32" s="28">
        <v>7</v>
      </c>
      <c r="AS32" s="176">
        <f>((($W$25)^Q32)*((1-($W$25))^($U$35-Q32))*HLOOKUP($U$35,$AV$24:$BF$34,Q32+1))*V35</f>
        <v>8.9905797866853275E-7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5.6717351990772952E-3</v>
      </c>
      <c r="BQ32" s="31">
        <f t="shared" si="24"/>
        <v>8</v>
      </c>
      <c r="BR32" s="31">
        <v>1</v>
      </c>
      <c r="BS32" s="107">
        <f t="shared" si="25"/>
        <v>4.640987187950953E-5</v>
      </c>
    </row>
    <row r="33" spans="1:71" x14ac:dyDescent="0.25">
      <c r="A33" s="26" t="s">
        <v>116</v>
      </c>
      <c r="B33" s="279">
        <v>0.48499999999999999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1.816753784488801E-4</v>
      </c>
      <c r="I33" s="138">
        <v>8</v>
      </c>
      <c r="J33" s="86">
        <f t="shared" si="18"/>
        <v>1.3766976050258559E-6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2.3376924223509675E-10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5.0169366054081963E-3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6.8490278468432092E-7</v>
      </c>
      <c r="AP33" s="28">
        <v>8</v>
      </c>
      <c r="AQ33" s="176">
        <f>((($W$25)^Q33)*((1-($W$25))^($U$34-Q33))*HLOOKUP($U$34,$AV$24:$BF$34,Q33+1))*V34</f>
        <v>5.2665582612351374E-7</v>
      </c>
      <c r="AR33" s="28">
        <v>8</v>
      </c>
      <c r="AS33" s="176">
        <f>((($W$25)^Q33)*((1-($W$25))^($U$35-Q33))*HLOOKUP($U$35,$AV$24:$BF$34,Q33+1))*V35</f>
        <v>1.6513899421802116E-7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1.4455455272409613E-3</v>
      </c>
      <c r="BQ33" s="31">
        <f t="shared" si="24"/>
        <v>8</v>
      </c>
      <c r="BR33" s="31">
        <v>2</v>
      </c>
      <c r="BS33" s="107">
        <f t="shared" si="25"/>
        <v>5.3364986823871261E-5</v>
      </c>
    </row>
    <row r="34" spans="1:71" x14ac:dyDescent="0.25">
      <c r="A34" s="40" t="s">
        <v>117</v>
      </c>
      <c r="B34" s="56">
        <f>B23*2</f>
        <v>0.39245854566957122</v>
      </c>
      <c r="C34" s="57">
        <f>C23*2</f>
        <v>9.6075414543304287</v>
      </c>
      <c r="G34" s="87">
        <v>9</v>
      </c>
      <c r="H34" s="126">
        <f>J34*L25+J33*L26+J32*L27+J31*L28</f>
        <v>1.8331265655320934E-5</v>
      </c>
      <c r="I34" s="138">
        <v>9</v>
      </c>
      <c r="J34" s="86">
        <f t="shared" si="18"/>
        <v>4.6637518991815543E-8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2.1220537420981811E-12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6.3859563088982047E-4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2.8662564921200982E-8</v>
      </c>
      <c r="AR34" s="28">
        <v>9</v>
      </c>
      <c r="AS34" s="176">
        <f>((($W$25)^Q34)*((1-($W$25))^($U$35-Q34))*HLOOKUP($U$35,$AV$24:$BF$34,Q34+1))*V35</f>
        <v>1.7974954070614565E-8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2.7730881883069014E-4</v>
      </c>
      <c r="BQ34" s="31">
        <f t="shared" si="24"/>
        <v>8</v>
      </c>
      <c r="BR34" s="31">
        <v>3</v>
      </c>
      <c r="BS34" s="107">
        <f t="shared" si="25"/>
        <v>3.7414966170682127E-5</v>
      </c>
    </row>
    <row r="35" spans="1:71" ht="15.75" thickBot="1" x14ac:dyDescent="0.3">
      <c r="G35" s="88">
        <v>10</v>
      </c>
      <c r="H35" s="127">
        <f>J35*L25+J34*L26+J33*L27+J32*L28</f>
        <v>1.2986452072511791E-6</v>
      </c>
      <c r="I35" s="94">
        <v>10</v>
      </c>
      <c r="J35" s="89">
        <f t="shared" si="18"/>
        <v>8.8043734865166044E-10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8.6683792041422384E-15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5.9663751737382142E-5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8.8043734865166044E-10</v>
      </c>
      <c r="BI35" s="31">
        <f t="shared" si="22"/>
        <v>3</v>
      </c>
      <c r="BJ35" s="31">
        <v>8</v>
      </c>
      <c r="BK35" s="107">
        <f t="shared" si="23"/>
        <v>4.0154735226896023E-5</v>
      </c>
      <c r="BQ35" s="31">
        <f t="shared" si="24"/>
        <v>8</v>
      </c>
      <c r="BR35" s="31">
        <v>4</v>
      </c>
      <c r="BS35" s="107">
        <f t="shared" si="25"/>
        <v>1.7859843617026645E-5</v>
      </c>
    </row>
    <row r="36" spans="1:71" ht="15.75" x14ac:dyDescent="0.25">
      <c r="A36" s="285" t="s">
        <v>118</v>
      </c>
      <c r="B36" s="182">
        <f>SUM(BO4:BO14)</f>
        <v>0.21692325388322317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1.0000000000000009</v>
      </c>
      <c r="BI36" s="31">
        <f t="shared" si="22"/>
        <v>3</v>
      </c>
      <c r="BJ36" s="31">
        <v>9</v>
      </c>
      <c r="BK36" s="107">
        <f t="shared" si="23"/>
        <v>4.3495180718788886E-6</v>
      </c>
      <c r="BQ36" s="31">
        <f t="shared" si="24"/>
        <v>8</v>
      </c>
      <c r="BR36" s="31">
        <v>5</v>
      </c>
      <c r="BS36" s="107">
        <f t="shared" si="25"/>
        <v>6.1366073190559116E-6</v>
      </c>
    </row>
    <row r="37" spans="1:71" ht="16.5" thickBot="1" x14ac:dyDescent="0.3">
      <c r="A37" s="110" t="s">
        <v>119</v>
      </c>
      <c r="B37" s="182">
        <f>SUM(BK4:BK59)</f>
        <v>0.44745219838463007</v>
      </c>
      <c r="G37" s="157"/>
      <c r="H37" s="229">
        <f>SUM(H39:H49)</f>
        <v>0.99999988372665916</v>
      </c>
      <c r="I37" s="230"/>
      <c r="J37" s="229">
        <f>SUM(J39:J49)</f>
        <v>1.0000000000000009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0.99999999999999978</v>
      </c>
      <c r="S37" s="230"/>
      <c r="T37" s="229">
        <f>SUM(T39:T49)</f>
        <v>1.0050760126517704</v>
      </c>
      <c r="U37" s="230"/>
      <c r="V37" s="171">
        <f>SUM(V39:V48)</f>
        <v>0.33020889730624142</v>
      </c>
      <c r="W37" s="157"/>
      <c r="X37" s="157"/>
      <c r="Y37" s="168">
        <f>SUM(Y39:Y49)</f>
        <v>8.668379204142341E-15</v>
      </c>
      <c r="Z37" s="81"/>
      <c r="AA37" s="168">
        <f>SUM(AA39:AA49)</f>
        <v>2.1220973017926972E-12</v>
      </c>
      <c r="AB37" s="81"/>
      <c r="AC37" s="168">
        <f>SUM(AC39:AC49)</f>
        <v>2.3377990625952862E-10</v>
      </c>
      <c r="AD37" s="81"/>
      <c r="AE37" s="168">
        <f>SUM(AE39:AE49)</f>
        <v>1.526187915905222E-8</v>
      </c>
      <c r="AF37" s="81"/>
      <c r="AG37" s="168">
        <f>SUM(AG39:AG49)</f>
        <v>6.5385590536559713E-7</v>
      </c>
      <c r="AH37" s="81"/>
      <c r="AI37" s="168">
        <f>SUM(AI39:AI49)</f>
        <v>1.9209016427171261E-5</v>
      </c>
      <c r="AJ37" s="81"/>
      <c r="AK37" s="168">
        <f>SUM(AK39:AK49)</f>
        <v>3.9189981529882354E-4</v>
      </c>
      <c r="AL37" s="81"/>
      <c r="AM37" s="168">
        <f>SUM(AM39:AM49)</f>
        <v>5.4828270143913354E-3</v>
      </c>
      <c r="AN37" s="81"/>
      <c r="AO37" s="168">
        <f>SUM(AO39:AO49)</f>
        <v>5.0342649056320708E-2</v>
      </c>
      <c r="AP37" s="81"/>
      <c r="AQ37" s="168">
        <f>SUM(AQ39:AQ49)</f>
        <v>0.27397164305010846</v>
      </c>
      <c r="AR37" s="81"/>
      <c r="AS37" s="168">
        <f>SUM(AS39:AS49)</f>
        <v>0.66979110269375919</v>
      </c>
      <c r="BI37" s="31">
        <f t="shared" si="22"/>
        <v>3</v>
      </c>
      <c r="BJ37" s="31">
        <v>10</v>
      </c>
      <c r="BK37" s="107">
        <f t="shared" si="23"/>
        <v>3.4388808038124298E-7</v>
      </c>
      <c r="BQ37" s="31">
        <f t="shared" si="24"/>
        <v>8</v>
      </c>
      <c r="BR37" s="31">
        <v>6</v>
      </c>
      <c r="BS37" s="107">
        <f t="shared" si="25"/>
        <v>1.5640266957347644E-6</v>
      </c>
    </row>
    <row r="38" spans="1:71" ht="16.5" thickBot="1" x14ac:dyDescent="0.3">
      <c r="A38" s="111" t="s">
        <v>120</v>
      </c>
      <c r="B38" s="182">
        <f>SUM(BS4:BS47)</f>
        <v>0.33562306681421439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2.4916554431132993E-3</v>
      </c>
      <c r="BQ38" s="31">
        <f>BM11+1</f>
        <v>8</v>
      </c>
      <c r="BR38" s="31">
        <v>7</v>
      </c>
      <c r="BS38" s="107">
        <f t="shared" si="25"/>
        <v>3.0003786628684799E-7</v>
      </c>
    </row>
    <row r="39" spans="1:71" x14ac:dyDescent="0.25">
      <c r="G39" s="128">
        <v>0</v>
      </c>
      <c r="H39" s="129">
        <f>L39*J39</f>
        <v>0.10225102093740261</v>
      </c>
      <c r="I39" s="97">
        <v>0</v>
      </c>
      <c r="J39" s="98">
        <f t="shared" ref="J39:J49" si="29">Y39+AA39+AC39+AE39+AG39+AI39+AK39+AM39+AO39+AQ39+AS39</f>
        <v>0.13997594385897225</v>
      </c>
      <c r="K39" s="102">
        <v>0</v>
      </c>
      <c r="L39" s="98">
        <f>AH18</f>
        <v>0.73048995504843295</v>
      </c>
      <c r="M39" s="85">
        <v>0</v>
      </c>
      <c r="N39" s="173">
        <f>(1-$C$24)^$B$21</f>
        <v>9.3104130972488763E-8</v>
      </c>
      <c r="O39" s="72">
        <v>0</v>
      </c>
      <c r="P39" s="173">
        <f t="shared" ref="P39:P44" si="30">N39</f>
        <v>9.3104130972488763E-8</v>
      </c>
      <c r="Q39" s="28">
        <v>0</v>
      </c>
      <c r="R39" s="174">
        <f>P39*N39</f>
        <v>8.668379204142341E-15</v>
      </c>
      <c r="S39" s="72">
        <v>0</v>
      </c>
      <c r="T39" s="175">
        <f>(1-$C$33)^(INT(B23*2*(1-B31)))</f>
        <v>1</v>
      </c>
      <c r="U39" s="138">
        <v>0</v>
      </c>
      <c r="V39" s="86">
        <f>R39*T39</f>
        <v>8.668379204142341E-15</v>
      </c>
      <c r="W39" s="134">
        <f>C31</f>
        <v>0.18580168828908677</v>
      </c>
      <c r="X39" s="28">
        <v>0</v>
      </c>
      <c r="Y39" s="176">
        <f>V39</f>
        <v>8.668379204142341E-15</v>
      </c>
      <c r="Z39" s="28">
        <v>0</v>
      </c>
      <c r="AA39" s="176">
        <f>((1-W39)^Z40)*V40</f>
        <v>1.7278080404058984E-12</v>
      </c>
      <c r="AB39" s="28">
        <v>0</v>
      </c>
      <c r="AC39" s="176">
        <f>(((1-$W$39)^AB41))*V41</f>
        <v>1.5497711614723518E-10</v>
      </c>
      <c r="AD39" s="28">
        <v>0</v>
      </c>
      <c r="AE39" s="176">
        <f>(((1-$W$39)^AB42))*V42</f>
        <v>8.2375602314017905E-9</v>
      </c>
      <c r="AF39" s="28">
        <v>0</v>
      </c>
      <c r="AG39" s="176">
        <f>(((1-$W$39)^AB43))*V43</f>
        <v>2.8734446803583599E-7</v>
      </c>
      <c r="AH39" s="28">
        <v>0</v>
      </c>
      <c r="AI39" s="176">
        <f>(((1-$W$39)^AB44))*V44</f>
        <v>6.8731546434847201E-6</v>
      </c>
      <c r="AJ39" s="28">
        <v>0</v>
      </c>
      <c r="AK39" s="176">
        <f>(((1-$W$39)^AB45))*V45</f>
        <v>1.1417111537711848E-4</v>
      </c>
      <c r="AL39" s="28">
        <v>0</v>
      </c>
      <c r="AM39" s="176">
        <f>(((1-$W$39)^AB46))*V46</f>
        <v>1.3005166793761411E-3</v>
      </c>
      <c r="AN39" s="28">
        <v>0</v>
      </c>
      <c r="AO39" s="176">
        <f>(((1-$W$39)^AB47))*V47</f>
        <v>9.7224931241890241E-3</v>
      </c>
      <c r="AP39" s="28">
        <v>0</v>
      </c>
      <c r="AQ39" s="176">
        <f>(((1-$W$39)^AB48))*V48</f>
        <v>4.3080168356363177E-2</v>
      </c>
      <c r="AR39" s="28">
        <v>0</v>
      </c>
      <c r="AS39" s="176">
        <f>(((1-$W$39)^AB49))*V49</f>
        <v>8.5751425690281449E-2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6.3504399531980667E-4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1.8743906283313103E-6</v>
      </c>
    </row>
    <row r="40" spans="1:71" x14ac:dyDescent="0.25">
      <c r="G40" s="91">
        <v>1</v>
      </c>
      <c r="H40" s="130">
        <f>L39*J40+L40*J39</f>
        <v>0.25545493437663797</v>
      </c>
      <c r="I40" s="138">
        <v>1</v>
      </c>
      <c r="J40" s="86">
        <f t="shared" si="29"/>
        <v>0.30415673947264649</v>
      </c>
      <c r="K40" s="95">
        <v>1</v>
      </c>
      <c r="L40" s="86">
        <f>AI18</f>
        <v>0.23769435314619491</v>
      </c>
      <c r="M40" s="85">
        <v>1</v>
      </c>
      <c r="N40" s="173">
        <f>(($C$24)^M26)*((1-($C$24))^($B$21-M26))*HLOOKUP($B$21,$AV$24:$BF$34,M26+1)</f>
        <v>1.1396130976858844E-5</v>
      </c>
      <c r="O40" s="72">
        <v>1</v>
      </c>
      <c r="P40" s="173">
        <f t="shared" si="30"/>
        <v>1.1396130976858844E-5</v>
      </c>
      <c r="Q40" s="28">
        <v>1</v>
      </c>
      <c r="R40" s="174">
        <f>P40*N39+P39*N40</f>
        <v>2.1220537420982041E-12</v>
      </c>
      <c r="S40" s="72">
        <v>1</v>
      </c>
      <c r="T40" s="175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2.1220973017926972E-12</v>
      </c>
      <c r="W40" s="177"/>
      <c r="X40" s="28">
        <v>1</v>
      </c>
      <c r="Y40" s="174"/>
      <c r="Z40" s="28">
        <v>1</v>
      </c>
      <c r="AA40" s="176">
        <f>(1-((1-W39)^Z40))*V40</f>
        <v>3.9428926138679873E-13</v>
      </c>
      <c r="AB40" s="28">
        <v>1</v>
      </c>
      <c r="AC40" s="176">
        <f>((($W$39)^M40)*((1-($W$39))^($U$27-M40))*HLOOKUP($U$27,$AV$24:$BF$34,M40+1))*V41</f>
        <v>7.0732177682417137E-11</v>
      </c>
      <c r="AD40" s="28">
        <v>1</v>
      </c>
      <c r="AE40" s="176">
        <f>((($W$39)^M40)*((1-($W$39))^($U$28-M40))*HLOOKUP($U$28,$AV$24:$BF$34,M40+1))*V42</f>
        <v>5.6394833163972206E-9</v>
      </c>
      <c r="AF40" s="28">
        <v>1</v>
      </c>
      <c r="AG40" s="176">
        <f>((($W$39)^M40)*((1-($W$39))^($U$29-M40))*HLOOKUP($U$29,$AV$24:$BF$34,M40+1))*V43</f>
        <v>2.6229033646310981E-7</v>
      </c>
      <c r="AH40" s="28">
        <v>1</v>
      </c>
      <c r="AI40" s="176">
        <f>((($W$39)^M40)*((1-($W$39))^($U$30-M40))*HLOOKUP($U$30,$AV$24:$BF$34,M40+1))*V44</f>
        <v>7.8423383975577463E-6</v>
      </c>
      <c r="AJ40" s="28">
        <v>1</v>
      </c>
      <c r="AK40" s="176">
        <f>((($W$39)^M40)*((1-($W$39))^($U$31-M40))*HLOOKUP($U$31,$AV$24:$BF$34,M40+1))*V45</f>
        <v>1.5632446556913479E-4</v>
      </c>
      <c r="AL40" s="28">
        <v>1</v>
      </c>
      <c r="AM40" s="176">
        <f>((($W$39)^Q40)*((1-($W$39))^($U$32-Q40))*HLOOKUP($U$32,$AV$24:$BF$34,Q40+1))*V46</f>
        <v>2.0774636085637019E-3</v>
      </c>
      <c r="AN40" s="28">
        <v>1</v>
      </c>
      <c r="AO40" s="176">
        <f>((($W$39)^Q40)*((1-($W$39))^($U$33-Q40))*HLOOKUP($U$33,$AV$24:$BF$34,Q40+1))*V47</f>
        <v>1.7749539500344757E-2</v>
      </c>
      <c r="AP40" s="28">
        <v>1</v>
      </c>
      <c r="AQ40" s="176">
        <f>((($W$39)^Q40)*((1-($W$39))^($U$34-Q40))*HLOOKUP($U$34,$AV$24:$BF$34,Q40+1))*V48</f>
        <v>8.8478827670538579E-2</v>
      </c>
      <c r="AR40" s="28">
        <v>1</v>
      </c>
      <c r="AS40" s="176">
        <f>((($W$39)^Q40)*((1-($W$39))^($U$35-Q40))*HLOOKUP($U$35,$AV$24:$BF$34,Q40+1))*V49</f>
        <v>0.19568647388828653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1.2182480380523004E-4</v>
      </c>
      <c r="BQ40" s="31">
        <f t="shared" si="31"/>
        <v>9</v>
      </c>
      <c r="BR40" s="31">
        <v>1</v>
      </c>
      <c r="BS40" s="107">
        <f t="shared" si="32"/>
        <v>4.6828122650207263E-6</v>
      </c>
    </row>
    <row r="41" spans="1:71" x14ac:dyDescent="0.25">
      <c r="G41" s="91">
        <v>2</v>
      </c>
      <c r="H41" s="130">
        <f>L39*J41+J40*L40+J39*L41</f>
        <v>0.29373813490575512</v>
      </c>
      <c r="I41" s="138">
        <v>2</v>
      </c>
      <c r="J41" s="86">
        <f t="shared" si="29"/>
        <v>0.29740817094050342</v>
      </c>
      <c r="K41" s="95">
        <v>2</v>
      </c>
      <c r="L41" s="86">
        <f>AJ18</f>
        <v>2.992024147094377E-2</v>
      </c>
      <c r="M41" s="85">
        <v>2</v>
      </c>
      <c r="N41" s="173">
        <f>(($C$24)^M27)*((1-($C$24))^($B$21-M27))*HLOOKUP($B$21,$AV$24:$BF$34,M27+1)</f>
        <v>5.5796364730625045E-4</v>
      </c>
      <c r="O41" s="72">
        <v>2</v>
      </c>
      <c r="P41" s="173">
        <f t="shared" si="30"/>
        <v>5.5796364730625045E-4</v>
      </c>
      <c r="Q41" s="28">
        <v>2</v>
      </c>
      <c r="R41" s="174">
        <f>P41*N39+P40*N40+P39*N41</f>
        <v>2.3376924223509902E-10</v>
      </c>
      <c r="S41" s="72">
        <v>2</v>
      </c>
      <c r="T41" s="175">
        <f t="shared" si="33"/>
        <v>5.0503775157192999E-5</v>
      </c>
      <c r="U41" s="138">
        <v>2</v>
      </c>
      <c r="V41" s="86">
        <f>R41*T39+T40*R40+R39*T41</f>
        <v>2.3377990625952857E-10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8.0706124298762877E-12</v>
      </c>
      <c r="AD41" s="28">
        <v>2</v>
      </c>
      <c r="AE41" s="176">
        <f>((($W$39)^M41)*((1-($W$39))^($U$28-M41))*HLOOKUP($U$28,$AV$24:$BF$34,M41+1))*V42</f>
        <v>1.2869414075090581E-9</v>
      </c>
      <c r="AF41" s="28">
        <v>2</v>
      </c>
      <c r="AG41" s="176">
        <f>((($W$39)^M41)*((1-($W$39))^($U$29-M41))*HLOOKUP($U$29,$AV$24:$BF$34,M41+1))*V43</f>
        <v>8.9782771535754117E-8</v>
      </c>
      <c r="AH41" s="28">
        <v>2</v>
      </c>
      <c r="AI41" s="176">
        <f>((($W$39)^M41)*((1-($W$39))^($U$30-M41))*HLOOKUP($U$30,$AV$24:$BF$34,M41+1))*V44</f>
        <v>3.5792747134015701E-6</v>
      </c>
      <c r="AJ41" s="28">
        <v>2</v>
      </c>
      <c r="AK41" s="176">
        <f>((($W$39)^M41)*((1-($W$39))^($U$31-M41))*HLOOKUP($U$31,$AV$24:$BF$34,M41+1))*V45</f>
        <v>8.9183891706309543E-5</v>
      </c>
      <c r="AL41" s="28">
        <v>2</v>
      </c>
      <c r="AM41" s="176">
        <f>((($W$39)^Q41)*((1-($W$39))^($U$32-Q41))*HLOOKUP($U$32,$AV$24:$BF$34,Q41+1))*V46</f>
        <v>1.4222440907025299E-3</v>
      </c>
      <c r="AN41" s="28">
        <v>2</v>
      </c>
      <c r="AO41" s="176">
        <f>((($W$39)^Q41)*((1-($W$39))^($U$33-Q41))*HLOOKUP($U$33,$AV$24:$BF$34,Q41+1))*V47</f>
        <v>1.4176681839412732E-2</v>
      </c>
      <c r="AP41" s="28">
        <v>2</v>
      </c>
      <c r="AQ41" s="176">
        <f>((($W$39)^Q41)*((1-($W$39))^($U$34-Q41))*HLOOKUP($U$34,$AV$24:$BF$34,Q41+1))*V48</f>
        <v>8.0764183971249501E-2</v>
      </c>
      <c r="AR41" s="28">
        <v>2</v>
      </c>
      <c r="AS41" s="176">
        <f>((($W$39)^Q41)*((1-($W$39))^($U$35-Q41))*HLOOKUP($U$35,$AV$24:$BF$34,Q41+1))*V49</f>
        <v>0.20095220679493536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1.7640415337293198E-5</v>
      </c>
      <c r="BQ41" s="31">
        <f t="shared" si="31"/>
        <v>9</v>
      </c>
      <c r="BR41" s="31">
        <v>2</v>
      </c>
      <c r="BS41" s="107">
        <f t="shared" si="32"/>
        <v>5.3845917840558956E-6</v>
      </c>
    </row>
    <row r="42" spans="1:71" ht="15" customHeight="1" x14ac:dyDescent="0.25">
      <c r="G42" s="91">
        <v>3</v>
      </c>
      <c r="H42" s="130">
        <f>J42*L39+J41*L40+L42*J39+L41*J40</f>
        <v>0.20594406622474692</v>
      </c>
      <c r="I42" s="138">
        <v>3</v>
      </c>
      <c r="J42" s="86">
        <f t="shared" si="29"/>
        <v>0.17233099785016015</v>
      </c>
      <c r="K42" s="95">
        <v>3</v>
      </c>
      <c r="L42" s="86">
        <f>AK18</f>
        <v>1.8954503344283669E-3</v>
      </c>
      <c r="M42" s="85">
        <v>3</v>
      </c>
      <c r="N42" s="173">
        <f>(($C$24)^M28)*((1-($C$24))^($B$21-M28))*HLOOKUP($B$21,$AV$24:$BF$34,M28+1)</f>
        <v>1.3659172237817903E-2</v>
      </c>
      <c r="O42" s="72">
        <v>3</v>
      </c>
      <c r="P42" s="173">
        <f t="shared" si="30"/>
        <v>1.3659172237817903E-2</v>
      </c>
      <c r="Q42" s="28">
        <v>3</v>
      </c>
      <c r="R42" s="174">
        <f>P42*N39+P41*N40+P40*N41+P39*N42</f>
        <v>1.5260704332066967E-8</v>
      </c>
      <c r="S42" s="72">
        <v>3</v>
      </c>
      <c r="T42" s="175">
        <f t="shared" si="33"/>
        <v>3.8068172229039952E-7</v>
      </c>
      <c r="U42" s="138">
        <v>3</v>
      </c>
      <c r="V42" s="86">
        <f>R42*T39+R41*T40+R40*T41+R39*T42</f>
        <v>1.5261879159052216E-8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9.7894203744151364E-11</v>
      </c>
      <c r="AF42" s="28">
        <v>3</v>
      </c>
      <c r="AG42" s="176">
        <f>((($W$39)^M42)*((1-($W$39))^($U$29-M42))*HLOOKUP($U$29,$AV$24:$BF$34,M42+1))*V43</f>
        <v>1.3659072399337408E-8</v>
      </c>
      <c r="AH42" s="28">
        <v>3</v>
      </c>
      <c r="AI42" s="176">
        <f>((($W$39)^M42)*((1-($W$39))^($U$30-M42))*HLOOKUP($U$30,$AV$24:$BF$34,M42+1))*V44</f>
        <v>8.1679767083154344E-7</v>
      </c>
      <c r="AJ42" s="28">
        <v>3</v>
      </c>
      <c r="AK42" s="176">
        <f>((($W$39)^M42)*((1-($W$39))^($U$31-M42))*HLOOKUP($U$31,$AV$24:$BF$34,M42+1))*V45</f>
        <v>2.7135924027162359E-5</v>
      </c>
      <c r="AL42" s="28">
        <v>3</v>
      </c>
      <c r="AM42" s="176">
        <f>((($W$39)^Q42)*((1-($W$39))^($U$32-Q42))*HLOOKUP($U$32,$AV$24:$BF$34,Q42+1))*V46</f>
        <v>5.4093159166676672E-4</v>
      </c>
      <c r="AN42" s="28">
        <v>3</v>
      </c>
      <c r="AO42" s="176">
        <f>((($W$39)^Q42)*((1-($W$39))^($U$33-Q42))*HLOOKUP($U$33,$AV$24:$BF$34,Q42+1))*V47</f>
        <v>6.4702944779265522E-3</v>
      </c>
      <c r="AP42" s="28">
        <v>3</v>
      </c>
      <c r="AQ42" s="176">
        <f>((($W$39)^Q42)*((1-($W$39))^($U$34-Q42))*HLOOKUP($U$34,$AV$24:$BF$34,Q42+1))*V48</f>
        <v>4.3004613919062053E-2</v>
      </c>
      <c r="AR42" s="28">
        <v>3</v>
      </c>
      <c r="AS42" s="176">
        <f>((($W$39)^Q42)*((1-($W$39))^($U$35-Q42))*HLOOKUP($U$35,$AV$24:$BF$34,Q42+1))*V49</f>
        <v>0.12228719138284019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1.9107909657841201E-6</v>
      </c>
      <c r="BQ42" s="31">
        <f t="shared" si="31"/>
        <v>9</v>
      </c>
      <c r="BR42" s="31">
        <v>3</v>
      </c>
      <c r="BS42" s="107">
        <f t="shared" si="32"/>
        <v>3.7752153881028431E-6</v>
      </c>
    </row>
    <row r="43" spans="1:71" ht="15" customHeight="1" x14ac:dyDescent="0.25">
      <c r="G43" s="91">
        <v>4</v>
      </c>
      <c r="H43" s="130">
        <f>J43*L39+J42*L40+J41*L41+J40*L42</f>
        <v>9.8306351523864063E-2</v>
      </c>
      <c r="I43" s="138">
        <v>4</v>
      </c>
      <c r="J43" s="86">
        <f t="shared" si="29"/>
        <v>6.5530275739567781E-2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0.16719098737266899</v>
      </c>
      <c r="O43" s="72">
        <v>4</v>
      </c>
      <c r="P43" s="173">
        <f t="shared" si="30"/>
        <v>0.16719098737266899</v>
      </c>
      <c r="Q43" s="28">
        <v>4</v>
      </c>
      <c r="R43" s="174">
        <f>P43*N39+P42*N40+P41*N41+P40*N42+P39*N43</f>
        <v>6.5377920660211713E-7</v>
      </c>
      <c r="S43" s="72">
        <v>4</v>
      </c>
      <c r="T43" s="175">
        <f t="shared" si="33"/>
        <v>2.5506313051283046E-9</v>
      </c>
      <c r="U43" s="138">
        <v>4</v>
      </c>
      <c r="V43" s="86">
        <f>T43*R39+T42*R40+T41*R41+T40*R42+T39*R43</f>
        <v>6.5385590536559681E-7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7.7925693155970605E-10</v>
      </c>
      <c r="AH43" s="28">
        <v>4</v>
      </c>
      <c r="AI43" s="176">
        <f>((($W$39)^M43)*((1-($W$39))^($U$30-M43))*HLOOKUP($U$30,$AV$24:$BF$34,M43+1))*V44</f>
        <v>9.3197433627803198E-8</v>
      </c>
      <c r="AJ43" s="28">
        <v>4</v>
      </c>
      <c r="AK43" s="176">
        <f>((($W$39)^M43)*((1-($W$39))^($U$31-M43))*HLOOKUP($U$31,$AV$24:$BF$34,M43+1))*V45</f>
        <v>4.6443542301165951E-6</v>
      </c>
      <c r="AL43" s="28">
        <v>4</v>
      </c>
      <c r="AM43" s="176">
        <f>((($W$39)^Q43)*((1-($W$39))^($U$32-Q43))*HLOOKUP($U$32,$AV$24:$BF$34,Q43+1))*V46</f>
        <v>1.2344167450972744E-4</v>
      </c>
      <c r="AN43" s="28">
        <v>4</v>
      </c>
      <c r="AO43" s="176">
        <f>((($W$39)^Q43)*((1-($W$39))^($U$33-Q43))*HLOOKUP($U$33,$AV$24:$BF$34,Q43+1))*V47</f>
        <v>1.8456677268221158E-3</v>
      </c>
      <c r="AP43" s="28">
        <v>4</v>
      </c>
      <c r="AQ43" s="176">
        <f>((($W$39)^Q43)*((1-($W$39))^($U$34-Q43))*HLOOKUP($U$34,$AV$24:$BF$34,Q43+1))*V48</f>
        <v>1.4720608767153358E-2</v>
      </c>
      <c r="AR43" s="28">
        <v>4</v>
      </c>
      <c r="AS43" s="176">
        <f>((($W$39)^Q43)*((1-($W$39))^($U$35-Q43))*HLOOKUP($U$35,$AV$24:$BF$34,Q43+1))*V49</f>
        <v>4.88358192401619E-2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1.5107380320631054E-7</v>
      </c>
      <c r="BQ43" s="31">
        <f t="shared" si="31"/>
        <v>9</v>
      </c>
      <c r="BR43" s="31">
        <v>4</v>
      </c>
      <c r="BS43" s="107">
        <f t="shared" si="32"/>
        <v>1.802079845389316E-6</v>
      </c>
    </row>
    <row r="44" spans="1:71" ht="15" customHeight="1" thickBot="1" x14ac:dyDescent="0.3">
      <c r="G44" s="91">
        <v>5</v>
      </c>
      <c r="H44" s="130">
        <f>J44*L39+J43*L40+J42*L41+J41*L42</f>
        <v>3.3777870019864209E-2</v>
      </c>
      <c r="I44" s="138">
        <v>5</v>
      </c>
      <c r="J44" s="86">
        <f t="shared" si="29"/>
        <v>1.7086868812524466E-2</v>
      </c>
      <c r="K44" s="95">
        <v>5</v>
      </c>
      <c r="L44" s="86"/>
      <c r="M44" s="85">
        <v>5</v>
      </c>
      <c r="N44" s="173">
        <f>(($C$24)^M30)*((1-($C$24))^($B$21-M30))*HLOOKUP($B$21,$AV$24:$BF$34,M30+1)</f>
        <v>0.81858038750709894</v>
      </c>
      <c r="O44" s="72">
        <v>5</v>
      </c>
      <c r="P44" s="173">
        <f t="shared" si="30"/>
        <v>0.81858038750709894</v>
      </c>
      <c r="Q44" s="28">
        <v>5</v>
      </c>
      <c r="R44" s="174">
        <f>P44*N39+P43*N40+P42*N41+P41*N42+P40*N43+P39*N44</f>
        <v>1.9205730333712831E-5</v>
      </c>
      <c r="S44" s="72">
        <v>5</v>
      </c>
      <c r="T44" s="175">
        <f t="shared" si="33"/>
        <v>1.6021553424172769E-11</v>
      </c>
      <c r="U44" s="138">
        <v>5</v>
      </c>
      <c r="V44" s="86">
        <f>T44*R39+T43*R40+T42*R41+T41*R42+T40*R43+T39*R44</f>
        <v>1.920901642717125E-5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4.253568267875307E-9</v>
      </c>
      <c r="AJ44" s="28">
        <v>5</v>
      </c>
      <c r="AK44" s="176">
        <f>((($W$39)^M44)*((1-($W$39))^($U$31-M44))*HLOOKUP($U$31,$AV$24:$BF$34,M44+1))*V45</f>
        <v>4.239403813819815E-7</v>
      </c>
      <c r="AL44" s="28">
        <v>5</v>
      </c>
      <c r="AM44" s="176">
        <f>((($W$39)^Q44)*((1-($W$39))^($U$32-Q44))*HLOOKUP($U$32,$AV$24:$BF$34,Q44+1))*V46</f>
        <v>1.6901782673272909E-5</v>
      </c>
      <c r="AN44" s="28">
        <v>5</v>
      </c>
      <c r="AO44" s="176">
        <f>((($W$39)^Q44)*((1-($W$39))^($U$33-Q44))*HLOOKUP($U$33,$AV$24:$BF$34,Q44+1))*V47</f>
        <v>3.3694806263463646E-4</v>
      </c>
      <c r="AP44" s="28">
        <v>5</v>
      </c>
      <c r="AQ44" s="176">
        <f>((($W$39)^Q44)*((1-($W$39))^($U$34-Q44))*HLOOKUP($U$34,$AV$24:$BF$34,Q44+1))*V48</f>
        <v>3.359272455174713E-3</v>
      </c>
      <c r="AR44" s="28">
        <v>5</v>
      </c>
      <c r="AS44" s="176">
        <f>((($W$39)^Q44)*((1-($W$39))^($U$35-Q44))*HLOOKUP($U$35,$AV$24:$BF$34,Q44+1))*V49</f>
        <v>1.3373318318092194E-2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2.1653790223044773E-4</v>
      </c>
      <c r="BQ44" s="31">
        <f t="shared" si="31"/>
        <v>9</v>
      </c>
      <c r="BR44" s="31">
        <v>5</v>
      </c>
      <c r="BS44" s="107">
        <f t="shared" si="32"/>
        <v>6.1919110860503137E-7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8.6089084227494866E-3</v>
      </c>
      <c r="I45" s="138">
        <v>6</v>
      </c>
      <c r="J45" s="86">
        <f t="shared" si="29"/>
        <v>3.0939914452620828E-3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3.9180327106698817E-4</v>
      </c>
      <c r="S45" s="72">
        <v>6</v>
      </c>
      <c r="T45" s="175">
        <f t="shared" si="33"/>
        <v>9.6612382457323207E-14</v>
      </c>
      <c r="U45" s="138">
        <v>6</v>
      </c>
      <c r="V45" s="86">
        <f>T45*R39+T44*R40+T43*R41+T42*R42+T41*R43+T40*R44+T39*R45</f>
        <v>3.9189981529882338E-4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1.6124007599813291E-8</v>
      </c>
      <c r="AL45" s="28">
        <v>6</v>
      </c>
      <c r="AM45" s="176">
        <f>((($W$39)^Q45)*((1-($W$39))^($U$32-Q45))*HLOOKUP($U$32,$AV$24:$BF$34,Q45+1))*V46</f>
        <v>1.2856735722407779E-6</v>
      </c>
      <c r="AN45" s="28">
        <v>6</v>
      </c>
      <c r="AO45" s="176">
        <f>((($W$39)^Q45)*((1-($W$39))^($U$33-Q45))*HLOOKUP($U$33,$AV$24:$BF$34,Q45+1))*V47</f>
        <v>3.844611196238941E-5</v>
      </c>
      <c r="AP45" s="28">
        <v>6</v>
      </c>
      <c r="AQ45" s="176">
        <f>((($W$39)^Q45)*((1-($W$39))^($U$34-Q45))*HLOOKUP($U$34,$AV$24:$BF$34,Q45+1))*V48</f>
        <v>5.1106180940358673E-4</v>
      </c>
      <c r="AR45" s="28">
        <v>6</v>
      </c>
      <c r="AS45" s="176">
        <f>((($W$39)^Q45)*((1-($W$39))^($U$35-Q45))*HLOOKUP($U$35,$AV$24:$BF$34,Q45+1))*V49</f>
        <v>2.5431817263162661E-3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4.1539936839077787E-5</v>
      </c>
      <c r="BQ45" s="31">
        <f t="shared" si="31"/>
        <v>9</v>
      </c>
      <c r="BR45" s="31">
        <v>6</v>
      </c>
      <c r="BS45" s="107">
        <f t="shared" si="32"/>
        <v>1.5781218729975077E-7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1.6515053875133267E-3</v>
      </c>
      <c r="I46" s="138">
        <v>7</v>
      </c>
      <c r="J46" s="86">
        <f t="shared" si="29"/>
        <v>3.8416471908155395E-4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5.4808571835218969E-3</v>
      </c>
      <c r="S46" s="72">
        <v>7</v>
      </c>
      <c r="T46" s="175">
        <f t="shared" si="33"/>
        <v>5.6640425226236405E-16</v>
      </c>
      <c r="U46" s="138">
        <v>7</v>
      </c>
      <c r="V46" s="86">
        <f>T46*R39+T45*R40+T44*R41+T43*R42+T42*R43+T41*R44+T40*R45+T39*R46</f>
        <v>5.4828270143913319E-3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4.1913326954360999E-8</v>
      </c>
      <c r="AN46" s="28">
        <v>7</v>
      </c>
      <c r="AO46" s="176">
        <f>((($W$39)^Q46)*((1-($W$39))^($U$33-Q46))*HLOOKUP($U$33,$AV$24:$BF$34,Q46+1))*V47</f>
        <v>2.5067085387702392E-6</v>
      </c>
      <c r="AP46" s="28">
        <v>7</v>
      </c>
      <c r="AQ46" s="176">
        <f>((($W$39)^Q46)*((1-($W$39))^($U$34-Q46))*HLOOKUP($U$34,$AV$24:$BF$34,Q46+1))*V48</f>
        <v>4.9982284400744407E-5</v>
      </c>
      <c r="AR46" s="28">
        <v>7</v>
      </c>
      <c r="AS46" s="176">
        <f>((($W$39)^Q46)*((1-($W$39))^($U$35-Q46))*HLOOKUP($U$35,$AV$24:$BF$34,Q46+1))*V49</f>
        <v>3.3163381281508495E-4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6.015045508284246E-6</v>
      </c>
      <c r="BQ46" s="31">
        <f t="shared" si="31"/>
        <v>9</v>
      </c>
      <c r="BR46" s="31">
        <v>7</v>
      </c>
      <c r="BS46" s="107">
        <f t="shared" si="32"/>
        <v>3.0274183989700539E-8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2.3914047104963793E-4</v>
      </c>
      <c r="I47" s="138">
        <v>8</v>
      </c>
      <c r="J47" s="86">
        <f t="shared" si="29"/>
        <v>3.1302831930294293E-5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5.0315087265566334E-2</v>
      </c>
      <c r="S47" s="72">
        <v>8</v>
      </c>
      <c r="T47" s="175">
        <f t="shared" si="33"/>
        <v>3.2528600273502595E-18</v>
      </c>
      <c r="U47" s="138">
        <v>8</v>
      </c>
      <c r="V47" s="86">
        <f>T47*R39+T46*R40+T45*R41+T44*R42+T43*R43+T42*R44+T41*R45+T40*R46+T39*R47</f>
        <v>5.0342649056320674E-2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7.1504489731358624E-8</v>
      </c>
      <c r="AP47" s="28">
        <v>8</v>
      </c>
      <c r="AQ47" s="176">
        <f>((($W$39)^Q47)*((1-($W$39))^($U$34-Q47))*HLOOKUP($U$34,$AV$24:$BF$34,Q47+1))*V48</f>
        <v>2.8515143953961357E-6</v>
      </c>
      <c r="AR47" s="28">
        <v>8</v>
      </c>
      <c r="AS47" s="176">
        <f>((($W$39)^Q47)*((1-($W$39))^($U$35-Q47))*HLOOKUP($U$35,$AV$24:$BF$34,Q47+1))*V49</f>
        <v>2.8379813045166796E-5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6.5154331098496042E-7</v>
      </c>
      <c r="BQ47" s="31">
        <f>BM12+1</f>
        <v>9</v>
      </c>
      <c r="BR47" s="31">
        <v>8</v>
      </c>
      <c r="BS47" s="107">
        <f t="shared" si="32"/>
        <v>4.3837475037494975E-9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2.5903440644562657E-5</v>
      </c>
      <c r="I48" s="138">
        <v>9</v>
      </c>
      <c r="J48" s="86">
        <f t="shared" si="29"/>
        <v>1.5114868732126489E-6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0.27371852646242772</v>
      </c>
      <c r="S48" s="72">
        <v>9</v>
      </c>
      <c r="T48" s="175">
        <f t="shared" si="33"/>
        <v>1.8389284074216291E-20</v>
      </c>
      <c r="U48" s="138">
        <v>9</v>
      </c>
      <c r="V48" s="86">
        <f>T48*R39+T47*R40+T46*R41+T45*R42+T44*R43+T43*R44+T42*R45+T41*R46+T40*R47+T39*R48</f>
        <v>0.27397164305010824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7.2302367347760046E-8</v>
      </c>
      <c r="AR48" s="28">
        <v>9</v>
      </c>
      <c r="AS48" s="176">
        <f>((($W$39)^Q48)*((1-($W$39))^($U$35-Q48))*HLOOKUP($U$35,$AV$24:$BF$34,Q48+1))*V49</f>
        <v>1.4391845058648888E-6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5.1513288322324311E-8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2.0480164310893701E-6</v>
      </c>
      <c r="I49" s="94">
        <v>10</v>
      </c>
      <c r="J49" s="89">
        <f t="shared" si="29"/>
        <v>3.2842479172830159E-8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0.67007385081127224</v>
      </c>
      <c r="S49" s="72">
        <v>10</v>
      </c>
      <c r="T49" s="175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0.66979110269375863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3.2842479172830159E-8</v>
      </c>
      <c r="BI49" s="31">
        <f>BQ14+1</f>
        <v>6</v>
      </c>
      <c r="BJ49" s="31">
        <v>0</v>
      </c>
      <c r="BK49" s="107">
        <f>$H$31*H39</f>
        <v>6.7290809454975914E-4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5"/>
      <c r="J50" s="295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5"/>
      <c r="X50" s="157"/>
      <c r="Y50" s="157"/>
      <c r="BI50" s="31">
        <f>BI45+1</f>
        <v>6</v>
      </c>
      <c r="BJ50" s="31">
        <v>7</v>
      </c>
      <c r="BK50" s="107">
        <f>$H$31*H46</f>
        <v>1.0868462077562938E-5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1.573769701549069E-6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1.7046905474994092E-7</v>
      </c>
    </row>
    <row r="53" spans="1:63" x14ac:dyDescent="0.25">
      <c r="BI53" s="31">
        <f>BI48+1</f>
        <v>6</v>
      </c>
      <c r="BJ53" s="31">
        <v>10</v>
      </c>
      <c r="BK53" s="107">
        <f>$H$31*H49</f>
        <v>1.3477878476094887E-8</v>
      </c>
    </row>
    <row r="54" spans="1:63" x14ac:dyDescent="0.25">
      <c r="BI54" s="31">
        <f>BI51+1</f>
        <v>7</v>
      </c>
      <c r="BJ54" s="31">
        <v>8</v>
      </c>
      <c r="BK54" s="107">
        <f>$H$32*H47</f>
        <v>3.0680624453637659E-7</v>
      </c>
    </row>
    <row r="55" spans="1:63" x14ac:dyDescent="0.25">
      <c r="BI55" s="31">
        <f>BI52+1</f>
        <v>7</v>
      </c>
      <c r="BJ55" s="31">
        <v>9</v>
      </c>
      <c r="BK55" s="107">
        <f>$H$32*H48</f>
        <v>3.3232925024554264E-8</v>
      </c>
    </row>
    <row r="56" spans="1:63" x14ac:dyDescent="0.25">
      <c r="BI56" s="31">
        <f>BI53+1</f>
        <v>7</v>
      </c>
      <c r="BJ56" s="31">
        <v>10</v>
      </c>
      <c r="BK56" s="107">
        <f>$H$32*H49</f>
        <v>2.627511049105939E-9</v>
      </c>
    </row>
    <row r="57" spans="1:63" x14ac:dyDescent="0.25">
      <c r="BI57" s="31">
        <f>BI55+1</f>
        <v>8</v>
      </c>
      <c r="BJ57" s="31">
        <v>9</v>
      </c>
      <c r="BK57" s="107">
        <f>$H$33*H48</f>
        <v>4.7060173822290236E-9</v>
      </c>
    </row>
    <row r="58" spans="1:63" x14ac:dyDescent="0.25">
      <c r="BI58" s="31">
        <f>BI56+1</f>
        <v>8</v>
      </c>
      <c r="BJ58" s="31">
        <v>10</v>
      </c>
      <c r="BK58" s="107">
        <f>$H$33*H49</f>
        <v>3.720741601876861E-10</v>
      </c>
    </row>
    <row r="59" spans="1:63" x14ac:dyDescent="0.25">
      <c r="BI59" s="31">
        <f>BI58+1</f>
        <v>9</v>
      </c>
      <c r="BJ59" s="31">
        <v>10</v>
      </c>
      <c r="BK59" s="107">
        <f>$H$34*H49</f>
        <v>3.7542733264761522E-11</v>
      </c>
    </row>
  </sheetData>
  <mergeCells count="1"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E2F7-9366-4392-BAF7-3E5BB0A6ADDF}">
  <sheetPr>
    <tabColor theme="9" tint="-0.249977111117893"/>
  </sheetPr>
  <dimension ref="A1:BS59"/>
  <sheetViews>
    <sheetView zoomScale="90" zoomScaleNormal="90" workbookViewId="0">
      <selection activeCell="I8" sqref="I8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3" t="s">
        <v>196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3" t="s">
        <v>195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0.49357225120182502</v>
      </c>
      <c r="U2" s="219">
        <f>SUM(U4:U16)</f>
        <v>1.1010963313914455</v>
      </c>
      <c r="V2" s="157"/>
      <c r="W2" s="157"/>
      <c r="X2" s="253">
        <f>SUM(X4:X16)</f>
        <v>0.2614861087916116</v>
      </c>
      <c r="Y2" s="254">
        <f>SUM(Y4:Y16)</f>
        <v>0.61074795428285666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2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6</v>
      </c>
      <c r="F4" s="283" t="s">
        <v>151</v>
      </c>
      <c r="G4" s="283" t="s">
        <v>6</v>
      </c>
      <c r="H4" s="283" t="s">
        <v>151</v>
      </c>
      <c r="I4" s="283" t="s">
        <v>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3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</v>
      </c>
      <c r="U4" s="228">
        <f>IF(S4=0,0,S4*Q4^2.7/(P4^2.7+Q4^2.7)*Q4/L4)</f>
        <v>0.26897394136807817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0.15331514657980455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0.15331514657980455</v>
      </c>
      <c r="AH4" s="247">
        <f t="shared" ref="AH4:AH16" si="2">(1-AG4)</f>
        <v>0.84668485342019539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1.638211013141264E-2</v>
      </c>
      <c r="BM4" s="31">
        <v>0</v>
      </c>
      <c r="BN4" s="31">
        <v>0</v>
      </c>
      <c r="BO4" s="107">
        <f>H25*H39</f>
        <v>5.9971448516248698E-3</v>
      </c>
      <c r="BQ4" s="31">
        <v>1</v>
      </c>
      <c r="BR4" s="31">
        <v>0</v>
      </c>
      <c r="BS4" s="107">
        <f>$H$26*H39</f>
        <v>1.6785858797076371E-2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33</v>
      </c>
      <c r="F5" s="283" t="s">
        <v>151</v>
      </c>
      <c r="G5" s="283" t="s">
        <v>2</v>
      </c>
      <c r="H5" s="283" t="s">
        <v>6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2</v>
      </c>
      <c r="Q5" s="214">
        <f>COUNTIF(E10:I11,"IMP")</f>
        <v>0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0.10460097719869706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5.9622557003257318E-2</v>
      </c>
      <c r="Y5" s="252">
        <f t="shared" si="7"/>
        <v>0</v>
      </c>
      <c r="Z5" s="199"/>
      <c r="AA5" s="244">
        <f t="shared" ref="AA5:AA16" si="8">X5</f>
        <v>5.9622557003257318E-2</v>
      </c>
      <c r="AB5" s="245">
        <f t="shared" ref="AB5:AB16" si="9">1-AA5</f>
        <v>0.94037744299674264</v>
      </c>
      <c r="AC5" s="245">
        <f>PRODUCT(AB6:AB16)*AA5*PRODUCT(AB4)</f>
        <v>4.8443078679811159E-2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1.0352898026226728E-2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2.1483205266407852E-2</v>
      </c>
      <c r="BM5" s="31">
        <v>1</v>
      </c>
      <c r="BN5" s="31">
        <v>1</v>
      </c>
      <c r="BO5" s="107">
        <f>$H$26*H40</f>
        <v>4.5853117486322099E-2</v>
      </c>
      <c r="BQ5" s="31">
        <f>BQ4+1</f>
        <v>2</v>
      </c>
      <c r="BR5" s="31">
        <v>0</v>
      </c>
      <c r="BS5" s="107">
        <f>$H$27*H39</f>
        <v>2.1534293705522078E-2</v>
      </c>
    </row>
    <row r="6" spans="1:71" ht="15.75" x14ac:dyDescent="0.25">
      <c r="A6" s="2" t="s">
        <v>31</v>
      </c>
      <c r="B6" s="271">
        <v>12.25</v>
      </c>
      <c r="C6" s="272">
        <v>3.25</v>
      </c>
      <c r="E6" s="211"/>
      <c r="F6" s="283" t="s">
        <v>138</v>
      </c>
      <c r="G6" s="283" t="s">
        <v>151</v>
      </c>
      <c r="H6" s="283" t="s">
        <v>33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2</v>
      </c>
      <c r="Q6" s="214">
        <f>COUNTIF(E9:I11,"IMP")</f>
        <v>3</v>
      </c>
      <c r="R6" s="221">
        <f t="shared" si="0"/>
        <v>0.45</v>
      </c>
      <c r="S6" s="221">
        <f t="shared" si="1"/>
        <v>0.53794788273615635</v>
      </c>
      <c r="T6" s="226">
        <f t="shared" si="5"/>
        <v>2.0750204926277951E-2</v>
      </c>
      <c r="U6" s="228">
        <f t="shared" si="6"/>
        <v>9.3016511703542248E-2</v>
      </c>
      <c r="V6" s="218">
        <f>$G$18</f>
        <v>0.45</v>
      </c>
      <c r="W6" s="216">
        <f>$H$18</f>
        <v>0.45</v>
      </c>
      <c r="X6" s="251">
        <f t="shared" si="7"/>
        <v>9.3375922168250792E-3</v>
      </c>
      <c r="Y6" s="252">
        <f t="shared" si="7"/>
        <v>4.1857430266594012E-2</v>
      </c>
      <c r="Z6" s="199"/>
      <c r="AA6" s="244">
        <f t="shared" si="8"/>
        <v>9.3375922168250792E-3</v>
      </c>
      <c r="AB6" s="245">
        <f t="shared" si="9"/>
        <v>0.99066240778317494</v>
      </c>
      <c r="AC6" s="245">
        <f>PRODUCT(AB7:AB16)*AA6*PRODUCT(AB4:AB5)</f>
        <v>7.2016591396970959E-3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1.4712055641625508E-3</v>
      </c>
      <c r="AE6" s="183"/>
      <c r="AF6" s="197"/>
      <c r="AG6" s="246">
        <f t="shared" si="10"/>
        <v>4.1857430266594012E-2</v>
      </c>
      <c r="AH6" s="247">
        <f t="shared" si="2"/>
        <v>0.95814256973340595</v>
      </c>
      <c r="AI6" s="247">
        <f>AG6*PRODUCT(AH3:AH5)*PRODUCT(AH7:AH17)</f>
        <v>2.2620721234130049E-2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1.1004789694248691E-2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1.822457102234655E-2</v>
      </c>
      <c r="BM6" s="31">
        <f>BI14+1</f>
        <v>2</v>
      </c>
      <c r="BN6" s="31">
        <v>2</v>
      </c>
      <c r="BO6" s="107">
        <f>$H$27*H41</f>
        <v>7.7140983482748685E-2</v>
      </c>
      <c r="BQ6" s="31">
        <f>BM5+1</f>
        <v>2</v>
      </c>
      <c r="BR6" s="31">
        <v>1</v>
      </c>
      <c r="BS6" s="107">
        <f>$H$27*H40</f>
        <v>5.8824187144732226E-2</v>
      </c>
    </row>
    <row r="7" spans="1:71" ht="15.75" x14ac:dyDescent="0.25">
      <c r="A7" s="5" t="s">
        <v>36</v>
      </c>
      <c r="B7" s="271">
        <v>14</v>
      </c>
      <c r="C7" s="272">
        <v>21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3</v>
      </c>
      <c r="Q7" s="214">
        <f>COUNTIF(E4:I4,"IMP")+COUNTIF(F5:H5,"IMP")</f>
        <v>0</v>
      </c>
      <c r="R7" s="221">
        <f t="shared" si="0"/>
        <v>0.04</v>
      </c>
      <c r="S7" s="221">
        <f t="shared" si="1"/>
        <v>4.7817589576547234E-2</v>
      </c>
      <c r="T7" s="226">
        <f t="shared" si="5"/>
        <v>1.7931596091205211E-2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8.0692182410423453E-3</v>
      </c>
      <c r="Y7" s="252">
        <f t="shared" si="7"/>
        <v>0</v>
      </c>
      <c r="Z7" s="199"/>
      <c r="AA7" s="244">
        <f t="shared" si="8"/>
        <v>8.0692182410423453E-3</v>
      </c>
      <c r="AB7" s="245">
        <f t="shared" si="9"/>
        <v>0.99193078175895766</v>
      </c>
      <c r="AC7" s="245">
        <f>PRODUCT(AB8:AB$16)*AA7*PRODUCT(AB$4:AB6)</f>
        <v>6.2154622846255295E-3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1.2191764198407696E-3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1.1161205672757175E-2</v>
      </c>
      <c r="BM7" s="31">
        <f>BI23+1</f>
        <v>3</v>
      </c>
      <c r="BN7" s="31">
        <v>3</v>
      </c>
      <c r="BO7" s="107">
        <f>$H$28*H42</f>
        <v>5.0938762912722355E-2</v>
      </c>
      <c r="BQ7" s="31">
        <f>BQ5+1</f>
        <v>3</v>
      </c>
      <c r="BR7" s="31">
        <v>0</v>
      </c>
      <c r="BS7" s="107">
        <f>$H$28*H39</f>
        <v>1.6762377527327881E-2</v>
      </c>
    </row>
    <row r="8" spans="1:71" ht="15.75" x14ac:dyDescent="0.25">
      <c r="A8" s="5" t="s">
        <v>39</v>
      </c>
      <c r="B8" s="271">
        <v>11.75</v>
      </c>
      <c r="C8" s="272">
        <v>19.75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1</v>
      </c>
      <c r="Q8" s="214">
        <f>COUNTIF(E10:I11,"RAP")</f>
        <v>4</v>
      </c>
      <c r="R8" s="221">
        <f t="shared" si="0"/>
        <v>0.5</v>
      </c>
      <c r="S8" s="221">
        <f t="shared" si="1"/>
        <v>0.59771986970684043</v>
      </c>
      <c r="T8" s="226">
        <f t="shared" si="5"/>
        <v>1.7285430811997723E-3</v>
      </c>
      <c r="U8" s="228">
        <f t="shared" si="6"/>
        <v>0.29194576252862114</v>
      </c>
      <c r="V8" s="218">
        <f>$G$17</f>
        <v>0.56999999999999995</v>
      </c>
      <c r="W8" s="216">
        <f>$H$17</f>
        <v>0.56999999999999995</v>
      </c>
      <c r="X8" s="251">
        <f t="shared" si="7"/>
        <v>9.8526955628387008E-4</v>
      </c>
      <c r="Y8" s="252">
        <f t="shared" si="7"/>
        <v>0.16640908464131404</v>
      </c>
      <c r="Z8" s="199"/>
      <c r="AA8" s="244">
        <f t="shared" si="8"/>
        <v>9.8526955628387008E-4</v>
      </c>
      <c r="AB8" s="245">
        <f t="shared" si="9"/>
        <v>0.99901473044371614</v>
      </c>
      <c r="AC8" s="245">
        <f>PRODUCT(AB9:AB$16)*AA8*PRODUCT(AB$4:AB7)</f>
        <v>7.5354035135382182E-4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1.4706540313303885E-4</v>
      </c>
      <c r="AE8" s="183"/>
      <c r="AF8" s="197"/>
      <c r="AG8" s="246">
        <f t="shared" si="10"/>
        <v>0.16640908464131404</v>
      </c>
      <c r="AH8" s="247">
        <f t="shared" si="2"/>
        <v>0.83359091535868601</v>
      </c>
      <c r="AI8" s="247">
        <f>AG8*PRODUCT(AH3:AH7)*PRODUCT(AH9:AH17)</f>
        <v>0.10336846810314101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2.9652521850300751E-2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5.1073279675755137E-3</v>
      </c>
      <c r="BM8" s="31">
        <f>BI31+1</f>
        <v>4</v>
      </c>
      <c r="BN8" s="31">
        <v>4</v>
      </c>
      <c r="BO8" s="107">
        <f>$H$29*H43</f>
        <v>1.6438823358423484E-2</v>
      </c>
      <c r="BQ8" s="31">
        <f>BQ6+1</f>
        <v>3</v>
      </c>
      <c r="BR8" s="31">
        <v>1</v>
      </c>
      <c r="BS8" s="107">
        <f>$H$28*H40</f>
        <v>4.5788974839018698E-2</v>
      </c>
    </row>
    <row r="9" spans="1:71" ht="15.75" x14ac:dyDescent="0.25">
      <c r="A9" s="5" t="s">
        <v>42</v>
      </c>
      <c r="B9" s="271">
        <v>14.75</v>
      </c>
      <c r="C9" s="272">
        <v>21.5</v>
      </c>
      <c r="E9" s="284" t="s">
        <v>33</v>
      </c>
      <c r="F9" s="284" t="s">
        <v>33</v>
      </c>
      <c r="G9" s="284" t="s">
        <v>151</v>
      </c>
      <c r="H9" s="284" t="s">
        <v>151</v>
      </c>
      <c r="I9" s="284" t="s">
        <v>33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1</v>
      </c>
      <c r="Q9" s="214">
        <f>COUNTIF(E10:I11,"RAP")</f>
        <v>4</v>
      </c>
      <c r="R9" s="221">
        <f t="shared" si="0"/>
        <v>0.5</v>
      </c>
      <c r="S9" s="221">
        <f t="shared" si="1"/>
        <v>0.59771986970684043</v>
      </c>
      <c r="T9" s="226">
        <f t="shared" si="5"/>
        <v>1.7285430811997723E-3</v>
      </c>
      <c r="U9" s="228">
        <f t="shared" si="6"/>
        <v>0.29194576252862114</v>
      </c>
      <c r="V9" s="218">
        <f>$G$17</f>
        <v>0.56999999999999995</v>
      </c>
      <c r="W9" s="216">
        <f>$H$17</f>
        <v>0.56999999999999995</v>
      </c>
      <c r="X9" s="251">
        <f t="shared" si="7"/>
        <v>9.8526955628387008E-4</v>
      </c>
      <c r="Y9" s="252">
        <f t="shared" si="7"/>
        <v>0.16640908464131404</v>
      </c>
      <c r="Z9" s="199"/>
      <c r="AA9" s="244">
        <f t="shared" si="8"/>
        <v>9.8526955628387008E-4</v>
      </c>
      <c r="AB9" s="245">
        <f t="shared" si="9"/>
        <v>0.99901473044371614</v>
      </c>
      <c r="AC9" s="245">
        <f>PRODUCT(AB10:AB$16)*AA9*PRODUCT(AB$4:AB8)</f>
        <v>7.5354035135382193E-4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1.4632223054008756E-4</v>
      </c>
      <c r="AE9" s="183"/>
      <c r="AF9" s="197"/>
      <c r="AG9" s="246">
        <f t="shared" si="10"/>
        <v>0.16640908464131404</v>
      </c>
      <c r="AH9" s="247">
        <f t="shared" si="2"/>
        <v>0.83359091535868601</v>
      </c>
      <c r="AI9" s="247">
        <f>AG9*PRODUCT(AH3:AH8)*PRODUCT(AH10:AH17)</f>
        <v>0.10336846810314099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9.0171576196133897E-3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1.7414148952496734E-3</v>
      </c>
      <c r="BM9" s="31">
        <f>BI38+1</f>
        <v>5</v>
      </c>
      <c r="BN9" s="31">
        <v>5</v>
      </c>
      <c r="BO9" s="107">
        <f>$H$30*H44</f>
        <v>2.8345270943440212E-3</v>
      </c>
      <c r="BQ9" s="31">
        <f>BM6+1</f>
        <v>3</v>
      </c>
      <c r="BR9" s="31">
        <v>2</v>
      </c>
      <c r="BS9" s="107">
        <f>$H$28*H41</f>
        <v>6.0046839968362395E-2</v>
      </c>
    </row>
    <row r="10" spans="1:71" ht="15.75" x14ac:dyDescent="0.25">
      <c r="A10" s="6" t="s">
        <v>45</v>
      </c>
      <c r="B10" s="271">
        <v>14.5</v>
      </c>
      <c r="C10" s="272">
        <v>14.5</v>
      </c>
      <c r="E10" s="284" t="s">
        <v>1</v>
      </c>
      <c r="F10" s="284" t="s">
        <v>151</v>
      </c>
      <c r="G10" s="284" t="s">
        <v>1</v>
      </c>
      <c r="H10" s="284" t="s">
        <v>151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0.17950877377324786</v>
      </c>
      <c r="U10" s="228">
        <f>S10*G14</f>
        <v>4.7624776715351487E-2</v>
      </c>
      <c r="V10" s="218">
        <f>$G$18</f>
        <v>0.45</v>
      </c>
      <c r="W10" s="216">
        <f>$H$18</f>
        <v>0.45</v>
      </c>
      <c r="X10" s="251">
        <f t="shared" si="7"/>
        <v>8.0778948197961539E-2</v>
      </c>
      <c r="Y10" s="252">
        <f t="shared" si="7"/>
        <v>2.1431149521908169E-2</v>
      </c>
      <c r="Z10" s="199"/>
      <c r="AA10" s="244">
        <f t="shared" si="8"/>
        <v>8.0778948197961539E-2</v>
      </c>
      <c r="AB10" s="245">
        <f t="shared" si="9"/>
        <v>0.9192210518020385</v>
      </c>
      <c r="AC10" s="245">
        <f>PRODUCT(AB11:AB$16)*AA10*PRODUCT(AB$4:AB9)</f>
        <v>6.7143128572976343E-2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7.1374541756771062E-3</v>
      </c>
      <c r="AE10" s="183"/>
      <c r="AF10" s="197"/>
      <c r="AG10" s="246">
        <f t="shared" si="10"/>
        <v>2.1431149521908169E-2</v>
      </c>
      <c r="AH10" s="247">
        <f t="shared" si="2"/>
        <v>0.97856885047809183</v>
      </c>
      <c r="AI10" s="247">
        <f>AG10*PRODUCT(AH3:AH9)*PRODUCT(AH11:AH17)</f>
        <v>1.1340131755220756E-2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7.4088088980163187E-4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4.3423865570680953E-4</v>
      </c>
      <c r="BM10" s="31">
        <f>BI44+1</f>
        <v>6</v>
      </c>
      <c r="BN10" s="31">
        <v>6</v>
      </c>
      <c r="BO10" s="107">
        <f>$H$31*H45</f>
        <v>2.6813649952906864E-4</v>
      </c>
      <c r="BQ10" s="31">
        <f>BQ7+1</f>
        <v>4</v>
      </c>
      <c r="BR10" s="31">
        <v>0</v>
      </c>
      <c r="BS10" s="107">
        <f>$H$29*H39</f>
        <v>8.8329171382777825E-3</v>
      </c>
    </row>
    <row r="11" spans="1:71" ht="15.75" x14ac:dyDescent="0.25">
      <c r="A11" s="6" t="s">
        <v>48</v>
      </c>
      <c r="B11" s="271">
        <v>8</v>
      </c>
      <c r="C11" s="272">
        <v>11.25</v>
      </c>
      <c r="E11" s="213"/>
      <c r="F11" s="284" t="s">
        <v>1</v>
      </c>
      <c r="G11" s="284" t="s">
        <v>151</v>
      </c>
      <c r="H11" s="284" t="s">
        <v>151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0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2.5237061165399925E-2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0.65</v>
      </c>
      <c r="W11" s="216">
        <f>IF(Q11-P11&gt;3,0.9,IF(Q11-P11=3,0.83,IF(Q11-P11=2,0.75,IF(Q11-P11=1,0.65,IF(Q11-P11=0,0.44,IF(Q11-P11=-1,0.16,IF(Q11-P11&lt;-1,0.05,0.02)))))))</f>
        <v>0.16</v>
      </c>
      <c r="X11" s="251">
        <f t="shared" si="7"/>
        <v>1.6404089757509951E-2</v>
      </c>
      <c r="Y11" s="252">
        <f t="shared" si="7"/>
        <v>0</v>
      </c>
      <c r="Z11" s="199"/>
      <c r="AA11" s="244">
        <f t="shared" si="8"/>
        <v>1.6404089757509951E-2</v>
      </c>
      <c r="AB11" s="245">
        <f t="shared" si="9"/>
        <v>0.98359591024249005</v>
      </c>
      <c r="AC11" s="245">
        <f>PRODUCT(AB12:AB$16)*AA11*PRODUCT(AB$4:AB10)</f>
        <v>1.274262093841419E-2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1.1420498513834414E-3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7.7159387457823093E-5</v>
      </c>
      <c r="BM11" s="31">
        <f>BI50+1</f>
        <v>7</v>
      </c>
      <c r="BN11" s="31">
        <v>7</v>
      </c>
      <c r="BO11" s="107">
        <f>$H$32*H46</f>
        <v>1.3850481769297048E-5</v>
      </c>
      <c r="BQ11" s="31">
        <f>BQ8+1</f>
        <v>4</v>
      </c>
      <c r="BR11" s="31">
        <v>1</v>
      </c>
      <c r="BS11" s="107">
        <f>$H$29*H40</f>
        <v>2.4128451941877512E-2</v>
      </c>
    </row>
    <row r="12" spans="1:71" ht="15.75" x14ac:dyDescent="0.25">
      <c r="A12" s="6" t="s">
        <v>52</v>
      </c>
      <c r="B12" s="271">
        <v>14.75</v>
      </c>
      <c r="C12" s="272">
        <v>15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2</v>
      </c>
      <c r="Q12" s="214">
        <f>COUNTIF(F11:H11,"IMP")+COUNTIF(E10,"IMP")+COUNTIF(I10,"IMP")</f>
        <v>0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1.9127035830618894E-2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8.6071661237785025E-3</v>
      </c>
      <c r="Y12" s="252">
        <f t="shared" si="7"/>
        <v>0</v>
      </c>
      <c r="Z12" s="199"/>
      <c r="AA12" s="244">
        <f t="shared" si="8"/>
        <v>8.6071661237785025E-3</v>
      </c>
      <c r="AB12" s="245">
        <f t="shared" si="9"/>
        <v>0.99139283387622146</v>
      </c>
      <c r="AC12" s="245">
        <f>PRODUCT(AB13:AB$16)*AA12*PRODUCT(AB$4:AB11)</f>
        <v>6.6334239020080735E-3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5.3692601280753603E-4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9.4608424471366625E-6</v>
      </c>
      <c r="BM12" s="31">
        <f>BI54+1</f>
        <v>8</v>
      </c>
      <c r="BN12" s="31">
        <v>8</v>
      </c>
      <c r="BO12" s="107">
        <f>$H$33*H47</f>
        <v>3.8167918583291288E-7</v>
      </c>
      <c r="BQ12" s="31">
        <f>BQ9+1</f>
        <v>4</v>
      </c>
      <c r="BR12" s="31">
        <v>2</v>
      </c>
      <c r="BS12" s="107">
        <f>$H$29*H41</f>
        <v>3.1641618916604941E-2</v>
      </c>
    </row>
    <row r="13" spans="1:71" ht="15.75" x14ac:dyDescent="0.25">
      <c r="A13" s="7" t="s">
        <v>55</v>
      </c>
      <c r="B13" s="271">
        <v>8.5</v>
      </c>
      <c r="C13" s="272">
        <v>13.75</v>
      </c>
      <c r="E13" s="210"/>
      <c r="F13" s="210" t="s">
        <v>152</v>
      </c>
      <c r="G13" s="217">
        <f>B22</f>
        <v>0.79032258064516125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1.5369939506747324E-2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1.5369939506747324E-2</v>
      </c>
      <c r="Y13" s="252">
        <f t="shared" si="7"/>
        <v>0</v>
      </c>
      <c r="Z13" s="199"/>
      <c r="AA13" s="244">
        <f t="shared" si="8"/>
        <v>1.5369939506747324E-2</v>
      </c>
      <c r="AB13" s="245">
        <f t="shared" si="9"/>
        <v>0.98463006049325263</v>
      </c>
      <c r="AC13" s="245">
        <f>PRODUCT(AB14:AB$16)*AA13*PRODUCT(AB$4:AB12)</f>
        <v>1.1926758050668325E-2</v>
      </c>
      <c r="AD13" s="245">
        <f>AA13*AA14*PRODUCT(AB3:AB12)*PRODUCT(AB15:AB17)+AA13*AA15*PRODUCT(AB3:AB12)*AB14*PRODUCT(AB16:AB17)+AA13*AA16*PRODUCT(AB3:AB12)*AB14*AB15*AB17+AA13*AA17*PRODUCT(AB3:AB12)*AB14*AB15*AB16</f>
        <v>7.7920674184053253E-4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7.7172846518233399E-7</v>
      </c>
      <c r="BM13" s="31">
        <f>BI57+1</f>
        <v>9</v>
      </c>
      <c r="BN13" s="31">
        <v>9</v>
      </c>
      <c r="BO13" s="107">
        <f>$H$34*H48</f>
        <v>5.3896902437252439E-9</v>
      </c>
      <c r="BQ13" s="31">
        <f>BM7+1</f>
        <v>4</v>
      </c>
      <c r="BR13" s="31">
        <v>3</v>
      </c>
      <c r="BS13" s="107">
        <f>$H$29*H42</f>
        <v>2.6842127329545912E-2</v>
      </c>
    </row>
    <row r="14" spans="1:71" ht="15.75" x14ac:dyDescent="0.25">
      <c r="A14" s="7" t="s">
        <v>58</v>
      </c>
      <c r="B14" s="271">
        <v>7</v>
      </c>
      <c r="C14" s="272">
        <v>11.75</v>
      </c>
      <c r="E14" s="210"/>
      <c r="F14" s="210" t="s">
        <v>153</v>
      </c>
      <c r="G14" s="215">
        <f>C22</f>
        <v>0.20967741935483875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4.9917592780269804E-2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3.3829401448262422E-2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6.0130955485062983E-2</v>
      </c>
      <c r="BM14" s="31">
        <f>BQ39+1</f>
        <v>10</v>
      </c>
      <c r="BN14" s="31">
        <v>10</v>
      </c>
      <c r="BO14" s="107">
        <f>$H$35*H49</f>
        <v>3.6773674341746485E-11</v>
      </c>
      <c r="BQ14" s="31">
        <f>BQ10+1</f>
        <v>5</v>
      </c>
      <c r="BR14" s="31">
        <v>0</v>
      </c>
      <c r="BS14" s="107">
        <f>$H$30*H39</f>
        <v>3.3283685086520952E-3</v>
      </c>
    </row>
    <row r="15" spans="1:71" ht="15.75" x14ac:dyDescent="0.25">
      <c r="A15" s="162" t="s">
        <v>62</v>
      </c>
      <c r="B15" s="273">
        <v>6.5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5.101011954638951E-2</v>
      </c>
      <c r="BQ15" s="31">
        <f>BQ11+1</f>
        <v>5</v>
      </c>
      <c r="BR15" s="31">
        <v>1</v>
      </c>
      <c r="BS15" s="107">
        <f>$H$30*H40</f>
        <v>9.0919430521827493E-3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3.1239936180175624E-2</v>
      </c>
      <c r="BQ16" s="31">
        <f>BQ12+1</f>
        <v>5</v>
      </c>
      <c r="BR16" s="31">
        <v>2</v>
      </c>
      <c r="BS16" s="107">
        <f>$H$30*H41</f>
        <v>1.1923010973171243E-2</v>
      </c>
    </row>
    <row r="17" spans="1:71" x14ac:dyDescent="0.25">
      <c r="A17" s="161" t="s">
        <v>69</v>
      </c>
      <c r="B17" s="275" t="s">
        <v>198</v>
      </c>
      <c r="C17" s="276" t="s">
        <v>186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1.4295283541609579E-2</v>
      </c>
      <c r="BQ17" s="31">
        <f>BQ13+1</f>
        <v>5</v>
      </c>
      <c r="BR17" s="31">
        <v>3</v>
      </c>
      <c r="BS17" s="107">
        <f>$H$30*H42</f>
        <v>1.011449444280757E-2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0.7640527469716214</v>
      </c>
      <c r="AC18" s="159">
        <f>SUM(AC4:AC16)</f>
        <v>0.21173080505117817</v>
      </c>
      <c r="AD18" s="159">
        <f>SUM(AD3:AD17)</f>
        <v>2.2932304425611793E-2</v>
      </c>
      <c r="AE18" s="159">
        <f>IF((1-AB18-AC18-AD18)&lt;0,(1-AB18-AC18-AD18)-1,1-AB18-AC18-AD18)</f>
        <v>1.2841435515886408E-3</v>
      </c>
      <c r="AF18" s="197"/>
      <c r="AG18" s="157"/>
      <c r="AH18" s="160">
        <f>PRODUCT(AH3:AH17)</f>
        <v>0.5178023551481632</v>
      </c>
      <c r="AI18" s="159">
        <f>SUM(AI3:AI17)</f>
        <v>0.27452719064389525</v>
      </c>
      <c r="AJ18" s="159">
        <f>1-AH18-AI18-AK18</f>
        <v>0.15725510415397709</v>
      </c>
      <c r="AK18" s="159">
        <f>SUM(AJ3:AJ17)</f>
        <v>5.0415350053964469E-2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4.8741768394783159E-3</v>
      </c>
      <c r="BQ18" s="31">
        <f>BM8+1</f>
        <v>5</v>
      </c>
      <c r="BR18" s="31">
        <v>4</v>
      </c>
      <c r="BS18" s="107">
        <f>$H$30*H43</f>
        <v>6.1943818931985677E-3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1.2154231620655057E-3</v>
      </c>
      <c r="BQ19" s="31">
        <f>BQ15+1</f>
        <v>6</v>
      </c>
      <c r="BR19" s="31">
        <v>1</v>
      </c>
      <c r="BS19" s="107">
        <f>$H$31*H40</f>
        <v>2.5224555489442315E-3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2.1596720018943774E-4</v>
      </c>
      <c r="BQ20" s="31">
        <f>BQ16+1</f>
        <v>6</v>
      </c>
      <c r="BR20" s="31">
        <v>2</v>
      </c>
      <c r="BS20" s="107">
        <f>$H$31*H41</f>
        <v>3.3079029440443363E-3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2.6480661939655311E-5</v>
      </c>
      <c r="BQ21" s="31">
        <f>BQ17+1</f>
        <v>6</v>
      </c>
      <c r="BR21" s="31">
        <v>3</v>
      </c>
      <c r="BS21" s="107">
        <f>$H$31*H42</f>
        <v>2.8061507298927073E-3</v>
      </c>
    </row>
    <row r="22" spans="1:71" x14ac:dyDescent="0.25">
      <c r="A22" s="26" t="s">
        <v>81</v>
      </c>
      <c r="B22" s="169">
        <f>(B6)/((B6)+(C6))</f>
        <v>0.79032258064516125</v>
      </c>
      <c r="C22" s="170">
        <f>1-B22</f>
        <v>0.20967741935483875</v>
      </c>
      <c r="V22" s="171">
        <f>SUM(V25:V35)</f>
        <v>1</v>
      </c>
      <c r="AS22" s="82">
        <f>Y23+AA23+AC23+AE23+AG23+AI23+AK23+AM23+AO23+AQ23+AS23</f>
        <v>0.99999999999999933</v>
      </c>
      <c r="BI22" s="31">
        <v>1</v>
      </c>
      <c r="BJ22" s="31">
        <v>10</v>
      </c>
      <c r="BK22" s="107">
        <f t="shared" si="12"/>
        <v>2.1600487176369155E-6</v>
      </c>
      <c r="BQ22" s="31">
        <f>BQ18+1</f>
        <v>6</v>
      </c>
      <c r="BR22" s="31">
        <v>4</v>
      </c>
      <c r="BS22" s="107">
        <f>$H$31*H43</f>
        <v>1.7185603659304945E-3</v>
      </c>
    </row>
    <row r="23" spans="1:71" ht="15.75" thickBot="1" x14ac:dyDescent="0.3">
      <c r="A23" s="40" t="s">
        <v>82</v>
      </c>
      <c r="B23" s="56">
        <f>((B22^2.8)/((B22^2.8)+(C22^2.8)))*B21</f>
        <v>4.881145904343887</v>
      </c>
      <c r="C23" s="57">
        <f>B21-B23</f>
        <v>0.11885409565611305</v>
      </c>
      <c r="D23" s="149">
        <f>SUM(D25:D30)</f>
        <v>0.99999999999999989</v>
      </c>
      <c r="E23" s="149">
        <f>SUM(E25:E30)</f>
        <v>1</v>
      </c>
      <c r="H23" s="229">
        <f>SUM(H25:H35)</f>
        <v>0.99999976893768328</v>
      </c>
      <c r="I23" s="81"/>
      <c r="J23" s="229">
        <f>SUM(J25:J35)</f>
        <v>0.99999999999999922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1.0050760126517704</v>
      </c>
      <c r="V23" s="171">
        <f>SUM(V25:V34)</f>
        <v>0.21394011505934674</v>
      </c>
      <c r="Y23" s="168">
        <f>SUM(Y25:Y35)</f>
        <v>5.7602518978790337E-17</v>
      </c>
      <c r="Z23" s="81"/>
      <c r="AA23" s="168">
        <f>SUM(AA25:AA35)</f>
        <v>2.3656714427085011E-14</v>
      </c>
      <c r="AB23" s="81"/>
      <c r="AC23" s="168">
        <f>SUM(AC25:AC35)</f>
        <v>4.3720092666315382E-12</v>
      </c>
      <c r="AD23" s="81"/>
      <c r="AE23" s="168">
        <f>SUM(AE25:AE35)</f>
        <v>4.7881259166036581E-10</v>
      </c>
      <c r="AF23" s="81"/>
      <c r="AG23" s="168">
        <f>SUM(AG25:AG35)</f>
        <v>3.441293296466391E-8</v>
      </c>
      <c r="AH23" s="81"/>
      <c r="AI23" s="168">
        <f>SUM(AI25:AI35)</f>
        <v>1.6959947050976937E-6</v>
      </c>
      <c r="AJ23" s="81"/>
      <c r="AK23" s="168">
        <f>SUM(AK25:AK35)</f>
        <v>5.8045742749858292E-5</v>
      </c>
      <c r="AL23" s="81"/>
      <c r="AM23" s="168">
        <f>SUM(AM25:AM35)</f>
        <v>1.3622888369315632E-3</v>
      </c>
      <c r="AN23" s="81"/>
      <c r="AO23" s="168">
        <f>SUM(AO25:AO35)</f>
        <v>2.0982480845890314E-2</v>
      </c>
      <c r="AP23" s="81"/>
      <c r="AQ23" s="168">
        <f>SUM(AQ25:AQ35)</f>
        <v>0.19153556874292854</v>
      </c>
      <c r="AR23" s="81"/>
      <c r="AS23" s="168">
        <f>SUM(AS25:AS35)</f>
        <v>0.78605988494065271</v>
      </c>
      <c r="BI23" s="31">
        <f t="shared" ref="BI23:BI30" si="15">BI15+1</f>
        <v>2</v>
      </c>
      <c r="BJ23" s="31">
        <v>3</v>
      </c>
      <c r="BK23" s="107">
        <f t="shared" ref="BK23:BK30" si="16">$H$27*H42</f>
        <v>6.5440017668745465E-2</v>
      </c>
      <c r="BQ23" s="31">
        <f>BM9+1</f>
        <v>6</v>
      </c>
      <c r="BR23" s="31">
        <v>5</v>
      </c>
      <c r="BS23" s="107">
        <f>$H$31*H44</f>
        <v>7.8640710315979346E-4</v>
      </c>
    </row>
    <row r="24" spans="1:71" ht="15.75" thickBot="1" x14ac:dyDescent="0.3">
      <c r="A24" s="26" t="s">
        <v>83</v>
      </c>
      <c r="B24" s="64">
        <f>B23/B21</f>
        <v>0.97622918086877741</v>
      </c>
      <c r="C24" s="65">
        <f>C23/B21</f>
        <v>2.3770819131222608E-2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4.0077184562212459E-2</v>
      </c>
      <c r="BQ24" s="31">
        <f>BI49+1</f>
        <v>7</v>
      </c>
      <c r="BR24" s="31">
        <v>0</v>
      </c>
      <c r="BS24" s="107">
        <f t="shared" ref="BS24:BS30" si="17">$H$32*H39</f>
        <v>1.9128500962232816E-4</v>
      </c>
    </row>
    <row r="25" spans="1:71" x14ac:dyDescent="0.25">
      <c r="A25" s="26" t="s">
        <v>108</v>
      </c>
      <c r="B25" s="172">
        <f>1/(1+EXP(-3.1416*4*((B11/(B11+C8))-(3.1416/6))))</f>
        <v>4.9405722155262038E-2</v>
      </c>
      <c r="C25" s="170">
        <f>1/(1+EXP(-3.1416*4*((C11/(C11+B8))-(3.1416/6))))</f>
        <v>0.39337240083130104</v>
      </c>
      <c r="D25" s="167">
        <f>IF(B17="AOW",0.36-0.08,IF(B17="AIM",0.36+0.08,IF(B17="TL",(0.361)-(0.36*B32),0.36)))</f>
        <v>0.27999999999999997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8.0618652617237108E-2</v>
      </c>
      <c r="I25" s="97">
        <v>0</v>
      </c>
      <c r="J25" s="98">
        <f t="shared" ref="J25:J35" si="18">Y25+AA25+AC25+AE25+AG25+AI25+AK25+AM25+AO25+AQ25+AS25</f>
        <v>0.10551451184067462</v>
      </c>
      <c r="K25" s="97">
        <v>0</v>
      </c>
      <c r="L25" s="98">
        <f>AB18</f>
        <v>0.7640527469716214</v>
      </c>
      <c r="M25" s="85">
        <v>0</v>
      </c>
      <c r="N25" s="173">
        <f>(1-$B$24)^$B$21</f>
        <v>7.5896323348888478E-9</v>
      </c>
      <c r="O25" s="72">
        <v>0</v>
      </c>
      <c r="P25" s="173">
        <f t="shared" ref="P25:P30" si="19">N25</f>
        <v>7.5896323348888478E-9</v>
      </c>
      <c r="Q25" s="28">
        <v>0</v>
      </c>
      <c r="R25" s="174">
        <f>P25*N25</f>
        <v>5.7602518978790337E-17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5.7602518978790337E-17</v>
      </c>
      <c r="W25" s="134">
        <f>B31</f>
        <v>0.20630285258297296</v>
      </c>
      <c r="X25" s="28">
        <v>0</v>
      </c>
      <c r="Y25" s="176">
        <f>V25</f>
        <v>5.7602518978790337E-17</v>
      </c>
      <c r="Z25" s="28">
        <v>0</v>
      </c>
      <c r="AA25" s="176">
        <f>((1-W25)^Z26)*V26</f>
        <v>1.8776266758036601E-14</v>
      </c>
      <c r="AB25" s="28">
        <v>0</v>
      </c>
      <c r="AC25" s="176">
        <f>(((1-$W$25)^AB27))*V27</f>
        <v>2.7541698050303426E-12</v>
      </c>
      <c r="AD25" s="28">
        <v>0</v>
      </c>
      <c r="AE25" s="176">
        <f>(((1-$W$25)^AB28))*V28</f>
        <v>2.3940323858091105E-10</v>
      </c>
      <c r="AF25" s="28">
        <v>0</v>
      </c>
      <c r="AG25" s="176">
        <f>(((1-$W$25)^AB29))*V29</f>
        <v>1.3656548966035014E-8</v>
      </c>
      <c r="AH25" s="28">
        <v>0</v>
      </c>
      <c r="AI25" s="176">
        <f>(((1-$W$25)^AB30))*V30</f>
        <v>5.3419348763923892E-7</v>
      </c>
      <c r="AJ25" s="28">
        <v>0</v>
      </c>
      <c r="AK25" s="176">
        <f>(((1-$W$25)^AB31))*V31</f>
        <v>1.4511065064020764E-5</v>
      </c>
      <c r="AL25" s="28">
        <v>0</v>
      </c>
      <c r="AM25" s="176">
        <f>(((1-$W$25)^AB32))*V32</f>
        <v>2.7030428718420536E-4</v>
      </c>
      <c r="AN25" s="28">
        <v>0</v>
      </c>
      <c r="AO25" s="176">
        <f>(((1-$W$25)^AB33))*V33</f>
        <v>3.3044211317689574E-3</v>
      </c>
      <c r="AP25" s="28">
        <v>0</v>
      </c>
      <c r="AQ25" s="176">
        <f>(((1-$W$25)^AB34))*V34</f>
        <v>2.3941028879361548E-2</v>
      </c>
      <c r="AR25" s="28">
        <v>0</v>
      </c>
      <c r="AS25" s="176">
        <f>(((1-$W$25)^AB35))*V35</f>
        <v>7.7983698385083039E-2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1.833917692923483E-2</v>
      </c>
      <c r="BQ25" s="31">
        <f>BQ19+1</f>
        <v>7</v>
      </c>
      <c r="BR25" s="31">
        <v>1</v>
      </c>
      <c r="BS25" s="107">
        <f t="shared" si="17"/>
        <v>5.2252399627670718E-4</v>
      </c>
    </row>
    <row r="26" spans="1:71" x14ac:dyDescent="0.25">
      <c r="A26" s="40" t="s">
        <v>109</v>
      </c>
      <c r="B26" s="169">
        <f>1/(1+EXP(-3.1416*4*((B10/(B10+C9))-(3.1416/6))))</f>
        <v>0.17971193443703895</v>
      </c>
      <c r="C26" s="170">
        <f>1/(1+EXP(-3.1416*4*((C10/(C10+B9))-(3.1416/6))))</f>
        <v>0.41331704431721489</v>
      </c>
      <c r="D26" s="167">
        <f>IF(B17="AOW",0.257+0.04,IF(B17="AIM",0.257-0.04,IF(B17="TL",(0.257)-(0.257*B32),0.257)))</f>
        <v>0.29699999999999999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0.22564959705397852</v>
      </c>
      <c r="I26" s="138">
        <v>1</v>
      </c>
      <c r="J26" s="86">
        <f t="shared" si="18"/>
        <v>0.26609278655590224</v>
      </c>
      <c r="K26" s="138">
        <v>1</v>
      </c>
      <c r="L26" s="86">
        <f>AC18</f>
        <v>0.21173080505117817</v>
      </c>
      <c r="M26" s="85">
        <v>1</v>
      </c>
      <c r="N26" s="173">
        <f>(($B$24)^M26)*((1-($B$24))^($B$21-M26))*HLOOKUP($B$21,$AV$24:$BF$34,M26+1)</f>
        <v>1.5584697600201405E-6</v>
      </c>
      <c r="O26" s="72">
        <v>1</v>
      </c>
      <c r="P26" s="173">
        <f t="shared" si="19"/>
        <v>1.5584697600201405E-6</v>
      </c>
      <c r="Q26" s="28">
        <v>1</v>
      </c>
      <c r="R26" s="174">
        <f>N26*P25+P26*N25</f>
        <v>2.3656424967190644E-14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2.3656714427085011E-14</v>
      </c>
      <c r="W26" s="177"/>
      <c r="X26" s="28">
        <v>1</v>
      </c>
      <c r="Y26" s="174"/>
      <c r="Z26" s="28">
        <v>1</v>
      </c>
      <c r="AA26" s="176">
        <f>(1-((1-W25)^Z26))*V26</f>
        <v>4.8804476690484092E-15</v>
      </c>
      <c r="AB26" s="28">
        <v>1</v>
      </c>
      <c r="AC26" s="176">
        <f>((($W$25)^M26)*((1-($W$25))^($U$27-M26))*HLOOKUP($U$27,$AV$24:$BF$34,M26+1))*V27</f>
        <v>1.4317629567518359E-12</v>
      </c>
      <c r="AD26" s="28">
        <v>1</v>
      </c>
      <c r="AE26" s="176">
        <f>((($W$25)^M26)*((1-($W$25))^($U$28-M26))*HLOOKUP($U$28,$AV$24:$BF$34,M26+1))*V28</f>
        <v>1.8668167523686548E-10</v>
      </c>
      <c r="AF26" s="28">
        <v>1</v>
      </c>
      <c r="AG26" s="176">
        <f>((($W$25)^M26)*((1-($W$25))^($U$29-M26))*HLOOKUP($U$29,$AV$24:$BF$34,M26+1))*V29</f>
        <v>1.4198791150003988E-8</v>
      </c>
      <c r="AH26" s="28">
        <v>1</v>
      </c>
      <c r="AI26" s="176">
        <f>((($W$25)^M26)*((1-($W$25))^($U$30-M26))*HLOOKUP($U$30,$AV$24:$BF$34,M26+1))*V30</f>
        <v>6.9425498560672964E-7</v>
      </c>
      <c r="AJ26" s="28">
        <v>1</v>
      </c>
      <c r="AK26" s="176">
        <f>((($W$25)^M26)*((1-($W$25))^($U$31-M26))*HLOOKUP($U$31,$AV$24:$BF$34,M26+1))*V31</f>
        <v>2.263085455050773E-5</v>
      </c>
      <c r="AL26" s="28">
        <v>1</v>
      </c>
      <c r="AM26" s="176">
        <f>((($W$25)^Q26)*((1-($W$25))^($U$32-Q26))*HLOOKUP($U$32,$AV$24:$BF$34,Q26+1))*V32</f>
        <v>4.9181456661511846E-4</v>
      </c>
      <c r="AN26" s="28">
        <v>1</v>
      </c>
      <c r="AO26" s="176">
        <f>((($W$25)^Q26)*((1-($W$25))^($U$33-Q26))*HLOOKUP($U$33,$AV$24:$BF$34,Q26+1))*V33</f>
        <v>6.8712506561266979E-3</v>
      </c>
      <c r="AP26" s="28">
        <v>1</v>
      </c>
      <c r="AQ26" s="176">
        <f>((($W$25)^Q26)*((1-($W$25))^($U$34-Q26))*HLOOKUP($U$34,$AV$24:$BF$34,Q26+1))*V34</f>
        <v>5.6006151853909253E-2</v>
      </c>
      <c r="AR26" s="28">
        <v>1</v>
      </c>
      <c r="AS26" s="176">
        <f>((($W$25)^Q26)*((1-($W$25))^($U$35-Q26))*HLOOKUP($U$35,$AV$24:$BF$34,Q26+1))*V35</f>
        <v>0.20270022998280557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6.2529988428272039E-3</v>
      </c>
      <c r="BQ26" s="31">
        <f>BQ20+1</f>
        <v>7</v>
      </c>
      <c r="BR26" s="31">
        <v>2</v>
      </c>
      <c r="BS26" s="107">
        <f t="shared" si="17"/>
        <v>6.8522859256765658E-4</v>
      </c>
    </row>
    <row r="27" spans="1:71" x14ac:dyDescent="0.25">
      <c r="A27" s="26" t="s">
        <v>110</v>
      </c>
      <c r="B27" s="169">
        <f>1/(1+EXP(-3.1416*4*((B12/(B12+C7))-(3.1416/6))))</f>
        <v>0.19860618624776943</v>
      </c>
      <c r="C27" s="170">
        <f>1/(1+EXP(-3.1416*4*((C12/(C12+B7))-(3.1416/6))))</f>
        <v>0.48003437915975911</v>
      </c>
      <c r="D27" s="167">
        <f>D26</f>
        <v>0.29699999999999999</v>
      </c>
      <c r="E27" s="167">
        <f>E26</f>
        <v>0.25700000000000001</v>
      </c>
      <c r="G27" s="87">
        <v>2</v>
      </c>
      <c r="H27" s="126">
        <f>L25*J27+J26*L26+J25*L27</f>
        <v>0.28948204296460667</v>
      </c>
      <c r="I27" s="138">
        <v>2</v>
      </c>
      <c r="J27" s="86">
        <f t="shared" si="18"/>
        <v>0.30197170687030267</v>
      </c>
      <c r="K27" s="138">
        <v>2</v>
      </c>
      <c r="L27" s="86">
        <f>AD18</f>
        <v>2.2932304425611793E-2</v>
      </c>
      <c r="M27" s="85">
        <v>2</v>
      </c>
      <c r="N27" s="173">
        <f>(($B$24)^M27)*((1-($B$24))^($B$21-M27))*HLOOKUP($B$21,$AV$24:$BF$34,M27+1)</f>
        <v>1.2800767603627562E-4</v>
      </c>
      <c r="O27" s="72">
        <v>2</v>
      </c>
      <c r="P27" s="173">
        <f t="shared" si="19"/>
        <v>1.2800767603627562E-4</v>
      </c>
      <c r="Q27" s="28">
        <v>2</v>
      </c>
      <c r="R27" s="174">
        <f>P25*N27+P26*N26+P27*N25</f>
        <v>4.3718903872150214E-12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4.372009266631539E-12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1.8607650484936012E-13</v>
      </c>
      <c r="AD27" s="28">
        <v>2</v>
      </c>
      <c r="AE27" s="176">
        <f>((($W$25)^M27)*((1-($W$25))^($U$28-M27))*HLOOKUP($U$28,$AV$24:$BF$34,M27+1))*V28</f>
        <v>4.8523498228094156E-11</v>
      </c>
      <c r="AF27" s="28">
        <v>2</v>
      </c>
      <c r="AG27" s="176">
        <f>((($W$25)^M27)*((1-($W$25))^($U$29-M27))*HLOOKUP($U$29,$AV$24:$BF$34,M27+1))*V29</f>
        <v>5.5359612800836936E-9</v>
      </c>
      <c r="AH27" s="28">
        <v>2</v>
      </c>
      <c r="AI27" s="176">
        <f>((($W$25)^M27)*((1-($W$25))^($U$30-M27))*HLOOKUP($U$30,$AV$24:$BF$34,M27+1))*V30</f>
        <v>3.6091041631365338E-7</v>
      </c>
      <c r="AJ27" s="28">
        <v>2</v>
      </c>
      <c r="AK27" s="176">
        <f>((($W$25)^M27)*((1-($W$25))^($U$31-M27))*HLOOKUP($U$31,$AV$24:$BF$34,M27+1))*V31</f>
        <v>1.4705892119412508E-5</v>
      </c>
      <c r="AL27" s="28">
        <v>2</v>
      </c>
      <c r="AM27" s="176">
        <f>((($W$25)^Q27)*((1-($W$25))^($U$32-Q27))*HLOOKUP($U$32,$AV$24:$BF$34,Q27+1))*V32</f>
        <v>3.8350678857075431E-4</v>
      </c>
      <c r="AN27" s="28">
        <v>2</v>
      </c>
      <c r="AO27" s="176">
        <f>((($W$25)^Q27)*((1-($W$25))^($U$33-Q27))*HLOOKUP($U$33,$AV$24:$BF$34,Q27+1))*V33</f>
        <v>6.2510683769581481E-3</v>
      </c>
      <c r="AP27" s="28">
        <v>2</v>
      </c>
      <c r="AQ27" s="176">
        <f>((($W$25)^Q27)*((1-($W$25))^($U$34-Q27))*HLOOKUP($U$34,$AV$24:$BF$34,Q27+1))*V34</f>
        <v>5.8229912642413846E-2</v>
      </c>
      <c r="AR27" s="28">
        <v>2</v>
      </c>
      <c r="AS27" s="176">
        <f>((($W$25)^Q27)*((1-($W$25))^($U$35-Q27))*HLOOKUP($U$35,$AV$24:$BF$34,Q27+1))*V35</f>
        <v>0.23709214667515333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1.5592457713853531E-3</v>
      </c>
      <c r="BQ27" s="31">
        <f>BQ21+1</f>
        <v>7</v>
      </c>
      <c r="BR27" s="31">
        <v>3</v>
      </c>
      <c r="BS27" s="107">
        <f t="shared" si="17"/>
        <v>5.8129115264371847E-4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0.22533394212555832</v>
      </c>
      <c r="I28" s="138">
        <v>3</v>
      </c>
      <c r="J28" s="86">
        <f t="shared" si="18"/>
        <v>0.20307447826799738</v>
      </c>
      <c r="K28" s="138">
        <v>3</v>
      </c>
      <c r="L28" s="86">
        <f>AE18</f>
        <v>1.2841435515886408E-3</v>
      </c>
      <c r="M28" s="85">
        <v>3</v>
      </c>
      <c r="N28" s="173">
        <f>(($B$24)^M28)*((1-($B$24))^($B$21-M28))*HLOOKUP($B$21,$AV$24:$BF$34,M28+1)</f>
        <v>5.2570686787006809E-3</v>
      </c>
      <c r="O28" s="72">
        <v>3</v>
      </c>
      <c r="P28" s="173">
        <f t="shared" si="19"/>
        <v>5.2570686787006809E-3</v>
      </c>
      <c r="Q28" s="28">
        <v>3</v>
      </c>
      <c r="R28" s="174">
        <f>P25*N28+P26*N27+P27*N26+P28*N25</f>
        <v>4.787906211671769E-10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4.7881259166036581E-10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4.2041796144950685E-12</v>
      </c>
      <c r="AF28" s="28">
        <v>3</v>
      </c>
      <c r="AG28" s="176">
        <f>((($W$25)^M28)*((1-($W$25))^($U$29-M28))*HLOOKUP($U$29,$AV$24:$BF$34,M28+1))*V29</f>
        <v>9.5929503890907018E-10</v>
      </c>
      <c r="AH28" s="28">
        <v>3</v>
      </c>
      <c r="AI28" s="176">
        <f>((($W$25)^M28)*((1-($W$25))^($U$30-M28))*HLOOKUP($U$30,$AV$24:$BF$34,M28+1))*V30</f>
        <v>9.3810149947904078E-8</v>
      </c>
      <c r="AJ28" s="28">
        <v>3</v>
      </c>
      <c r="AK28" s="176">
        <f>((($W$25)^M28)*((1-($W$25))^($U$31-M28))*HLOOKUP($U$31,$AV$24:$BF$34,M28+1))*V31</f>
        <v>5.0965997192347179E-6</v>
      </c>
      <c r="AL28" s="28">
        <v>3</v>
      </c>
      <c r="AM28" s="176">
        <f>((($W$25)^Q28)*((1-($W$25))^($U$32-Q28))*HLOOKUP($U$32,$AV$24:$BF$34,Q28+1))*V32</f>
        <v>1.6613923989471636E-4</v>
      </c>
      <c r="AN28" s="28">
        <v>3</v>
      </c>
      <c r="AO28" s="176">
        <f>((($W$25)^Q28)*((1-($W$25))^($U$33-Q28))*HLOOKUP($U$33,$AV$24:$BF$34,Q28+1))*V33</f>
        <v>3.2496355620139031E-3</v>
      </c>
      <c r="AP28" s="28">
        <v>3</v>
      </c>
      <c r="AQ28" s="176">
        <f>((($W$25)^Q28)*((1-($W$25))^($U$34-Q28))*HLOOKUP($U$34,$AV$24:$BF$34,Q28+1))*V34</f>
        <v>3.5316148760339741E-2</v>
      </c>
      <c r="AR28" s="28">
        <v>3</v>
      </c>
      <c r="AS28" s="176">
        <f>((($W$25)^Q28)*((1-($W$25))^($U$35-Q28))*HLOOKUP($U$35,$AV$24:$BF$34,Q28+1))*V35</f>
        <v>0.16433736333238061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2.7706066015810037E-4</v>
      </c>
      <c r="BQ28" s="31">
        <f>BQ22+1</f>
        <v>7</v>
      </c>
      <c r="BR28" s="31">
        <v>4</v>
      </c>
      <c r="BS28" s="107">
        <f t="shared" si="17"/>
        <v>3.5599796025131687E-4</v>
      </c>
    </row>
    <row r="29" spans="1:71" x14ac:dyDescent="0.25">
      <c r="A29" s="26" t="s">
        <v>112</v>
      </c>
      <c r="B29" s="169">
        <f>1/(1+EXP(-3.1416*4*((B14/(B14+C13))-(3.1416/6))))</f>
        <v>8.7823885600335064E-2</v>
      </c>
      <c r="C29" s="170">
        <f>1/(1+EXP(-3.1416*4*((C14/(C14+B13))-(3.1416/6))))</f>
        <v>0.67080932186579689</v>
      </c>
      <c r="D29" s="167">
        <v>0.04</v>
      </c>
      <c r="E29" s="167">
        <v>0.04</v>
      </c>
      <c r="G29" s="87">
        <v>4</v>
      </c>
      <c r="H29" s="126">
        <f>J29*L25+J28*L26+J27*L27+J26*L28</f>
        <v>0.11873948286820526</v>
      </c>
      <c r="I29" s="138">
        <v>4</v>
      </c>
      <c r="J29" s="86">
        <f t="shared" si="18"/>
        <v>8.9621759655640829E-2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0.107949663443401</v>
      </c>
      <c r="O29" s="72">
        <v>4</v>
      </c>
      <c r="P29" s="173">
        <f t="shared" si="19"/>
        <v>0.107949663443401</v>
      </c>
      <c r="Q29" s="28">
        <v>4</v>
      </c>
      <c r="R29" s="174">
        <f>P25*N29+P26*N28+P27*N27+P28*N26+P29*N25</f>
        <v>3.4410526760836999E-8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3.4412932964663917E-8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6.2336529632142909E-11</v>
      </c>
      <c r="AH29" s="28">
        <v>4</v>
      </c>
      <c r="AI29" s="176">
        <f>((($W$25)^M29)*((1-($W$25))^($U$30-M29))*HLOOKUP($U$30,$AV$24:$BF$34,M29+1))*V30</f>
        <v>1.2191867892225374E-8</v>
      </c>
      <c r="AJ29" s="28">
        <v>4</v>
      </c>
      <c r="AK29" s="176">
        <f>((($W$25)^M29)*((1-($W$25))^($U$31-M29))*HLOOKUP($U$31,$AV$24:$BF$34,M29+1))*V31</f>
        <v>9.9355566286221855E-7</v>
      </c>
      <c r="AL29" s="28">
        <v>4</v>
      </c>
      <c r="AM29" s="176">
        <f>((($W$25)^Q29)*((1-($W$25))^($U$32-Q29))*HLOOKUP($U$32,$AV$24:$BF$34,Q29+1))*V32</f>
        <v>4.3183976694120535E-5</v>
      </c>
      <c r="AN29" s="28">
        <v>4</v>
      </c>
      <c r="AO29" s="176">
        <f>((($W$25)^Q29)*((1-($W$25))^($U$33-Q29))*HLOOKUP($U$33,$AV$24:$BF$34,Q29+1))*V33</f>
        <v>1.0558326442275409E-3</v>
      </c>
      <c r="AP29" s="28">
        <v>4</v>
      </c>
      <c r="AQ29" s="176">
        <f>((($W$25)^Q29)*((1-($W$25))^($U$34-Q29))*HLOOKUP($U$34,$AV$24:$BF$34,Q29+1))*V34</f>
        <v>1.3769399805480037E-2</v>
      </c>
      <c r="AR29" s="28">
        <v>4</v>
      </c>
      <c r="AS29" s="176">
        <f>((($W$25)^Q29)*((1-($W$25))^($U$35-Q29))*HLOOKUP($U$35,$AV$24:$BF$34,Q29+1))*V35</f>
        <v>7.4752337419371845E-2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3.3971592315818704E-5</v>
      </c>
      <c r="BQ29" s="31">
        <f>BQ23+1</f>
        <v>7</v>
      </c>
      <c r="BR29" s="31">
        <v>5</v>
      </c>
      <c r="BS29" s="107">
        <f t="shared" si="17"/>
        <v>1.6290339879940886E-4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4.4742721948507501E-2</v>
      </c>
      <c r="I30" s="138">
        <v>5</v>
      </c>
      <c r="J30" s="86">
        <f t="shared" si="18"/>
        <v>2.7121548782850488E-2</v>
      </c>
      <c r="K30" s="138">
        <v>5</v>
      </c>
      <c r="L30" s="86"/>
      <c r="M30" s="85">
        <v>5</v>
      </c>
      <c r="N30" s="173">
        <f>(($B$24)^M30)*((1-($B$24))^($B$21-M30))*HLOOKUP($B$21,$AV$24:$BF$34,M30+1)</f>
        <v>0.8866636941424697</v>
      </c>
      <c r="O30" s="72">
        <v>5</v>
      </c>
      <c r="P30" s="173">
        <f t="shared" si="19"/>
        <v>0.8866636941424697</v>
      </c>
      <c r="Q30" s="28">
        <v>5</v>
      </c>
      <c r="R30" s="174">
        <f>P25*N30+P26*N29+P27*N28+P28*N27+P29*N26+P30*N25</f>
        <v>1.6958217636953922E-6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1.6959947050976941E-6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6.3379769794215953E-10</v>
      </c>
      <c r="AJ30" s="28">
        <v>5</v>
      </c>
      <c r="AK30" s="176">
        <f>((($W$25)^M30)*((1-($W$25))^($U$31-M30))*HLOOKUP($U$31,$AV$24:$BF$34,M30+1))*V31</f>
        <v>1.033005438487456E-7</v>
      </c>
      <c r="AL30" s="28">
        <v>5</v>
      </c>
      <c r="AM30" s="176">
        <f>((($W$25)^Q30)*((1-($W$25))^($U$32-Q30))*HLOOKUP($U$32,$AV$24:$BF$34,Q30+1))*V32</f>
        <v>6.7347936982260859E-6</v>
      </c>
      <c r="AN30" s="28">
        <v>5</v>
      </c>
      <c r="AO30" s="176">
        <f>((($W$25)^Q30)*((1-($W$25))^($U$33-Q30))*HLOOKUP($U$33,$AV$24:$BF$34,Q30+1))*V33</f>
        <v>2.1955103360341702E-4</v>
      </c>
      <c r="AP30" s="28">
        <v>5</v>
      </c>
      <c r="AQ30" s="176">
        <f>((($W$25)^Q30)*((1-($W$25))^($U$34-Q30))*HLOOKUP($U$34,$AV$24:$BF$34,Q30+1))*V34</f>
        <v>3.579030701408597E-3</v>
      </c>
      <c r="AR30" s="28">
        <v>5</v>
      </c>
      <c r="AS30" s="176">
        <f>((($W$25)^Q30)*((1-($W$25))^($U$35-Q30))*HLOOKUP($U$35,$AV$24:$BF$34,Q30+1))*V35</f>
        <v>2.33161283197987E-2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2.771089883821214E-6</v>
      </c>
      <c r="BQ30" s="31">
        <f>BM10+1</f>
        <v>7</v>
      </c>
      <c r="BR30" s="31">
        <v>6</v>
      </c>
      <c r="BS30" s="107">
        <f t="shared" si="17"/>
        <v>5.554419198396505E-5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0.20630285258297296</v>
      </c>
      <c r="C31" s="61">
        <f>(C25*E25)+(C26*E26)+(C27*E27)+(C28*E28)+(C29*E29)+(C30*E30)/(C25+C26+C27+C28+C29+C30)</f>
        <v>0.47458762776952496</v>
      </c>
      <c r="G31" s="87">
        <v>6</v>
      </c>
      <c r="H31" s="126">
        <f>J31*L25+J30*L26+J29*L27+J28*L28</f>
        <v>1.2413356155677457E-2</v>
      </c>
      <c r="I31" s="138">
        <v>6</v>
      </c>
      <c r="J31" s="86">
        <f t="shared" si="18"/>
        <v>5.699709290449325E-3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5.8037219294409014E-5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5.8045742749858306E-5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4.4750899716016605E-9</v>
      </c>
      <c r="AL31" s="28">
        <v>6</v>
      </c>
      <c r="AM31" s="176">
        <f>((($W$25)^Q31)*((1-($W$25))^($U$32-Q31))*HLOOKUP($U$32,$AV$24:$BF$34,Q31+1))*V32</f>
        <v>5.8351692288991958E-7</v>
      </c>
      <c r="AN31" s="28">
        <v>6</v>
      </c>
      <c r="AO31" s="176">
        <f>((($W$25)^Q31)*((1-($W$25))^($U$33-Q31))*HLOOKUP($U$33,$AV$24:$BF$34,Q31+1))*V33</f>
        <v>2.8533556323925244E-5</v>
      </c>
      <c r="AP31" s="28">
        <v>6</v>
      </c>
      <c r="AQ31" s="176">
        <f>((($W$25)^Q31)*((1-($W$25))^($U$34-Q31))*HLOOKUP($U$34,$AV$24:$BF$34,Q31+1))*V34</f>
        <v>6.2018974162922813E-4</v>
      </c>
      <c r="AR31" s="28">
        <v>6</v>
      </c>
      <c r="AS31" s="176">
        <f>((($W$25)^Q31)*((1-($W$25))^($U$35-Q31))*HLOOKUP($U$35,$AV$24:$BF$34,Q31+1))*V35</f>
        <v>5.0503980004833098E-3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3.1196235504670114E-2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2.9665675683874911E-5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2.5714135848243051E-3</v>
      </c>
      <c r="I32" s="138">
        <v>7</v>
      </c>
      <c r="J32" s="86">
        <f t="shared" si="18"/>
        <v>8.2136047905194257E-4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1.3619971069549998E-3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1.3622888369315639E-3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2.1667351532254974E-8</v>
      </c>
      <c r="AN32" s="28">
        <v>7</v>
      </c>
      <c r="AO32" s="176">
        <f>((($W$25)^Q32)*((1-($W$25))^($U$33-Q32))*HLOOKUP($U$33,$AV$24:$BF$34,Q32+1))*V33</f>
        <v>2.1190356991669205E-6</v>
      </c>
      <c r="AP32" s="28">
        <v>7</v>
      </c>
      <c r="AQ32" s="176">
        <f>((($W$25)^Q32)*((1-($W$25))^($U$34-Q32))*HLOOKUP($U$34,$AV$24:$BF$34,Q32+1))*V34</f>
        <v>6.9087297838903942E-5</v>
      </c>
      <c r="AR32" s="28">
        <v>7</v>
      </c>
      <c r="AS32" s="176">
        <f>((($W$25)^Q32)*((1-($W$25))^($U$35-Q32))*HLOOKUP($U$35,$AV$24:$BF$34,Q32+1))*V35</f>
        <v>7.5013247816233951E-4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1.4275286268128989E-2</v>
      </c>
      <c r="BQ32" s="31">
        <f t="shared" si="24"/>
        <v>8</v>
      </c>
      <c r="BR32" s="31">
        <v>1</v>
      </c>
      <c r="BS32" s="107">
        <f t="shared" si="25"/>
        <v>8.1036289467701519E-5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0.48399999999999999</v>
      </c>
      <c r="G33" s="87">
        <v>8</v>
      </c>
      <c r="H33" s="126">
        <f>J33*L25+J32*L26+J31*L27+J30*L28</f>
        <v>3.9879090163479145E-4</v>
      </c>
      <c r="I33" s="138">
        <v>8</v>
      </c>
      <c r="J33" s="86">
        <f t="shared" si="18"/>
        <v>7.7675469185167E-5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2.0975633707578378E-2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2.0982480845890321E-2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6.8849168553454965E-8</v>
      </c>
      <c r="AP33" s="28">
        <v>8</v>
      </c>
      <c r="AQ33" s="176">
        <f>((($W$25)^Q33)*((1-($W$25))^($U$34-Q33))*HLOOKUP($U$34,$AV$24:$BF$34,Q33+1))*V34</f>
        <v>4.4894033787948514E-6</v>
      </c>
      <c r="AR33" s="28">
        <v>8</v>
      </c>
      <c r="AS33" s="176">
        <f>((($W$25)^Q33)*((1-($W$25))^($U$35-Q33))*HLOOKUP($U$35,$AV$24:$BF$34,Q33+1))*V35</f>
        <v>7.3117216637818698E-5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4.8673584894282388E-3</v>
      </c>
      <c r="BQ33" s="31">
        <f t="shared" si="24"/>
        <v>8</v>
      </c>
      <c r="BR33" s="31">
        <v>2</v>
      </c>
      <c r="BS33" s="107">
        <f t="shared" si="25"/>
        <v>1.0626953589601804E-4</v>
      </c>
    </row>
    <row r="34" spans="1:71" x14ac:dyDescent="0.25">
      <c r="A34" s="40" t="s">
        <v>117</v>
      </c>
      <c r="B34" s="56">
        <f>B23*2</f>
        <v>9.7622918086877739</v>
      </c>
      <c r="C34" s="57">
        <f>C23*2</f>
        <v>0.23770819131222609</v>
      </c>
      <c r="G34" s="87">
        <v>9</v>
      </c>
      <c r="H34" s="126">
        <f>J34*L25+J33*L26+J32*L27+J31*L28</f>
        <v>4.5927153728778394E-5</v>
      </c>
      <c r="I34" s="138">
        <v>9</v>
      </c>
      <c r="J34" s="86">
        <f t="shared" si="18"/>
        <v>4.3530118026690162E-6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0.19143009474032449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0.19153556874292862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1.2965716855815901E-7</v>
      </c>
      <c r="AR34" s="28">
        <v>9</v>
      </c>
      <c r="AS34" s="176">
        <f>((($W$25)^Q34)*((1-($W$25))^($U$35-Q34))*HLOOKUP($U$35,$AV$24:$BF$34,Q34+1))*V35</f>
        <v>4.2233546341108568E-6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1.21372294049972E-3</v>
      </c>
      <c r="BQ34" s="31">
        <f t="shared" si="24"/>
        <v>8</v>
      </c>
      <c r="BR34" s="31">
        <v>3</v>
      </c>
      <c r="BS34" s="107">
        <f t="shared" si="25"/>
        <v>9.0150267636139375E-5</v>
      </c>
    </row>
    <row r="35" spans="1:71" ht="15.75" thickBot="1" x14ac:dyDescent="0.3">
      <c r="G35" s="88">
        <v>10</v>
      </c>
      <c r="H35" s="127">
        <f>J35*L25+J34*L26+J33*L27+J32*L28</f>
        <v>3.8415637247697191E-6</v>
      </c>
      <c r="I35" s="94">
        <v>10</v>
      </c>
      <c r="J35" s="89">
        <f t="shared" si="18"/>
        <v>1.0977614211189693E-7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0.78617250651037107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0.78605988494065326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1.0977614211189693E-7</v>
      </c>
      <c r="BI35" s="31">
        <f t="shared" si="22"/>
        <v>3</v>
      </c>
      <c r="BJ35" s="31">
        <v>8</v>
      </c>
      <c r="BK35" s="107">
        <f t="shared" si="23"/>
        <v>2.156650896959694E-4</v>
      </c>
      <c r="BQ35" s="31">
        <f t="shared" si="24"/>
        <v>8</v>
      </c>
      <c r="BR35" s="31">
        <v>4</v>
      </c>
      <c r="BS35" s="107">
        <f t="shared" si="25"/>
        <v>5.5210390264182056E-5</v>
      </c>
    </row>
    <row r="36" spans="1:71" ht="15.75" x14ac:dyDescent="0.25">
      <c r="A36" s="285" t="s">
        <v>118</v>
      </c>
      <c r="B36" s="182">
        <f>SUM(BO4:BO14)</f>
        <v>0.19948573327313363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2.6443618880158591E-5</v>
      </c>
      <c r="BQ36" s="31">
        <f t="shared" si="24"/>
        <v>8</v>
      </c>
      <c r="BR36" s="31">
        <v>5</v>
      </c>
      <c r="BS36" s="107">
        <f t="shared" si="25"/>
        <v>2.5264077964738229E-5</v>
      </c>
    </row>
    <row r="37" spans="1:71" ht="16.5" thickBot="1" x14ac:dyDescent="0.3">
      <c r="A37" s="110" t="s">
        <v>119</v>
      </c>
      <c r="B37" s="182">
        <f>SUM(BK4:BK59)</f>
        <v>0.43452929387015909</v>
      </c>
      <c r="G37" s="157"/>
      <c r="H37" s="229">
        <f>SUM(H39:H49)</f>
        <v>0.9999994766002096</v>
      </c>
      <c r="I37" s="230"/>
      <c r="J37" s="229">
        <f>SUM(J39:J49)</f>
        <v>1.0000000000000002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1.0000000000000002</v>
      </c>
      <c r="S37" s="230"/>
      <c r="T37" s="229">
        <f>SUM(T39:T49)</f>
        <v>1</v>
      </c>
      <c r="U37" s="230"/>
      <c r="V37" s="171">
        <f>SUM(V39:V48)</f>
        <v>0.99998811250432995</v>
      </c>
      <c r="W37" s="157"/>
      <c r="X37" s="157"/>
      <c r="Y37" s="168">
        <f>SUM(Y39:Y49)</f>
        <v>7.6571254659123676E-3</v>
      </c>
      <c r="Z37" s="81"/>
      <c r="AA37" s="168">
        <f>SUM(AA39:AA49)</f>
        <v>5.2140336505791932E-2</v>
      </c>
      <c r="AB37" s="81"/>
      <c r="AC37" s="168">
        <f>SUM(AC39:AC49)</f>
        <v>0.15392019899259715</v>
      </c>
      <c r="AD37" s="81"/>
      <c r="AE37" s="168">
        <f>SUM(AE39:AE49)</f>
        <v>0.25697027018698654</v>
      </c>
      <c r="AF37" s="81"/>
      <c r="AG37" s="168">
        <f>SUM(AG39:AG49)</f>
        <v>0.26516712840832302</v>
      </c>
      <c r="AH37" s="81"/>
      <c r="AI37" s="168">
        <f>SUM(AI39:AI49)</f>
        <v>0.17341511596437176</v>
      </c>
      <c r="AJ37" s="81"/>
      <c r="AK37" s="168">
        <f>SUM(AK39:AK49)</f>
        <v>7.0861051526510663E-2</v>
      </c>
      <c r="AL37" s="81"/>
      <c r="AM37" s="168">
        <f>SUM(AM39:AM49)</f>
        <v>1.7271008601345155E-2</v>
      </c>
      <c r="AN37" s="81"/>
      <c r="AO37" s="168">
        <f>SUM(AO39:AO49)</f>
        <v>2.3830534343749587E-3</v>
      </c>
      <c r="AP37" s="81"/>
      <c r="AQ37" s="168">
        <f>SUM(AQ39:AQ49)</f>
        <v>2.0282341811658262E-4</v>
      </c>
      <c r="AR37" s="81"/>
      <c r="AS37" s="168">
        <f>SUM(AS39:AS49)</f>
        <v>1.1887495670048773E-5</v>
      </c>
      <c r="BI37" s="31">
        <f t="shared" si="22"/>
        <v>3</v>
      </c>
      <c r="BJ37" s="31">
        <v>10</v>
      </c>
      <c r="BK37" s="107">
        <f t="shared" si="23"/>
        <v>2.1570270857250858E-6</v>
      </c>
      <c r="BQ37" s="31">
        <f t="shared" si="24"/>
        <v>8</v>
      </c>
      <c r="BR37" s="31">
        <v>6</v>
      </c>
      <c r="BS37" s="107">
        <f t="shared" si="25"/>
        <v>8.6141406938918541E-6</v>
      </c>
    </row>
    <row r="38" spans="1:71" ht="16.5" thickBot="1" x14ac:dyDescent="0.3">
      <c r="A38" s="111" t="s">
        <v>120</v>
      </c>
      <c r="B38" s="182">
        <f>SUM(BS4:BS47)</f>
        <v>0.36598037686978085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7.5223470254149943E-3</v>
      </c>
      <c r="BQ38" s="31">
        <f>BM11+1</f>
        <v>8</v>
      </c>
      <c r="BR38" s="31">
        <v>7</v>
      </c>
      <c r="BS38" s="107">
        <f t="shared" si="25"/>
        <v>2.148019340588343E-6</v>
      </c>
    </row>
    <row r="39" spans="1:71" x14ac:dyDescent="0.25">
      <c r="G39" s="128">
        <v>0</v>
      </c>
      <c r="H39" s="129">
        <f>L39*J39</f>
        <v>7.4389048401717117E-2</v>
      </c>
      <c r="I39" s="97">
        <v>0</v>
      </c>
      <c r="J39" s="98">
        <f t="shared" ref="J39:J49" si="29">Y39+AA39+AC39+AE39+AG39+AI39+AK39+AM39+AO39+AQ39+AS39</f>
        <v>0.14366301671306911</v>
      </c>
      <c r="K39" s="102">
        <v>0</v>
      </c>
      <c r="L39" s="98">
        <f>AH18</f>
        <v>0.5178023551481632</v>
      </c>
      <c r="M39" s="85">
        <v>0</v>
      </c>
      <c r="N39" s="173">
        <f>(1-$C$24)^$B$21</f>
        <v>0.8866636941424697</v>
      </c>
      <c r="O39" s="72">
        <v>0</v>
      </c>
      <c r="P39" s="173">
        <f t="shared" ref="P39:P44" si="30">N39</f>
        <v>0.8866636941424697</v>
      </c>
      <c r="Q39" s="28">
        <v>0</v>
      </c>
      <c r="R39" s="174">
        <f>P39*N39</f>
        <v>0.78617250651037107</v>
      </c>
      <c r="S39" s="72">
        <v>0</v>
      </c>
      <c r="T39" s="175">
        <f>(1-$C$33)^(INT(B23*2*(1-B31)))</f>
        <v>9.7397522840126892E-3</v>
      </c>
      <c r="U39" s="138">
        <v>0</v>
      </c>
      <c r="V39" s="86">
        <f>R39*T39</f>
        <v>7.6571254659123676E-3</v>
      </c>
      <c r="W39" s="134">
        <f>C31</f>
        <v>0.47458762776952496</v>
      </c>
      <c r="X39" s="28">
        <v>0</v>
      </c>
      <c r="Y39" s="176">
        <f>V39</f>
        <v>7.6571254659123676E-3</v>
      </c>
      <c r="Z39" s="28">
        <v>0</v>
      </c>
      <c r="AA39" s="176">
        <f>((1-W39)^Z40)*V40</f>
        <v>2.739517789240338E-2</v>
      </c>
      <c r="AB39" s="28">
        <v>0</v>
      </c>
      <c r="AC39" s="176">
        <f>(((1-$W$39)^AB41))*V41</f>
        <v>4.2490927058158691E-2</v>
      </c>
      <c r="AD39" s="28">
        <v>0</v>
      </c>
      <c r="AE39" s="176">
        <f>(((1-$W$39)^AB42))*V42</f>
        <v>3.7272091767298857E-2</v>
      </c>
      <c r="AF39" s="28">
        <v>0</v>
      </c>
      <c r="AG39" s="176">
        <f>(((1-$W$39)^AB43))*V43</f>
        <v>2.0207885211643611E-2</v>
      </c>
      <c r="AH39" s="28">
        <v>0</v>
      </c>
      <c r="AI39" s="176">
        <f>(((1-$W$39)^AB44))*V44</f>
        <v>6.9436596701681463E-3</v>
      </c>
      <c r="AJ39" s="28">
        <v>0</v>
      </c>
      <c r="AK39" s="176">
        <f>(((1-$W$39)^AB45))*V45</f>
        <v>1.4907656037957441E-3</v>
      </c>
      <c r="AL39" s="28">
        <v>0</v>
      </c>
      <c r="AM39" s="176">
        <f>(((1-$W$39)^AB46))*V46</f>
        <v>1.9090608294623093E-4</v>
      </c>
      <c r="AN39" s="28">
        <v>0</v>
      </c>
      <c r="AO39" s="176">
        <f>(((1-$W$39)^AB47))*V47</f>
        <v>1.3840001653078824E-5</v>
      </c>
      <c r="AP39" s="28">
        <v>0</v>
      </c>
      <c r="AQ39" s="176">
        <f>(((1-$W$39)^AB48))*V48</f>
        <v>6.1890038685559829E-7</v>
      </c>
      <c r="AR39" s="28">
        <v>0</v>
      </c>
      <c r="AS39" s="176">
        <f>(((1-$W$39)^AB49))*V49</f>
        <v>1.9058702180587633E-8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2.5648494164578171E-3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3.4164772616831988E-6</v>
      </c>
    </row>
    <row r="40" spans="1:71" x14ac:dyDescent="0.25">
      <c r="G40" s="91">
        <v>1</v>
      </c>
      <c r="H40" s="130">
        <f>L39*J40+L40*J39</f>
        <v>0.20320496063351443</v>
      </c>
      <c r="I40" s="138">
        <v>1</v>
      </c>
      <c r="J40" s="86">
        <f t="shared" si="29"/>
        <v>0.31627039666319973</v>
      </c>
      <c r="K40" s="95">
        <v>1</v>
      </c>
      <c r="L40" s="86">
        <f>AI18</f>
        <v>0.27452719064389525</v>
      </c>
      <c r="M40" s="85">
        <v>1</v>
      </c>
      <c r="N40" s="173">
        <f>(($C$24)^M26)*((1-($C$24))^($B$21-M26))*HLOOKUP($B$21,$AV$24:$BF$34,M26+1)</f>
        <v>0.10794966344340108</v>
      </c>
      <c r="O40" s="72">
        <v>1</v>
      </c>
      <c r="P40" s="173">
        <f t="shared" si="30"/>
        <v>0.10794966344340108</v>
      </c>
      <c r="Q40" s="28">
        <v>1</v>
      </c>
      <c r="R40" s="174">
        <f>P40*N39+P39*N40</f>
        <v>0.19143009474032463</v>
      </c>
      <c r="S40" s="72">
        <v>1</v>
      </c>
      <c r="T40" s="175">
        <f t="shared" ref="T40:T49" si="33">(($C$33)^S40)*((1-($C$33))^(INT($B$23*2*(1-$B$31))-S40))*HLOOKUP(INT($B$23*2*(1-$B$31)),$AV$24:$BF$34,S40+1)</f>
        <v>6.3950156469447655E-2</v>
      </c>
      <c r="U40" s="138">
        <v>1</v>
      </c>
      <c r="V40" s="86">
        <f>R40*T39+T40*R39</f>
        <v>5.2140336505791932E-2</v>
      </c>
      <c r="W40" s="177"/>
      <c r="X40" s="28">
        <v>1</v>
      </c>
      <c r="Y40" s="174"/>
      <c r="Z40" s="28">
        <v>1</v>
      </c>
      <c r="AA40" s="176">
        <f>(1-((1-W39)^Z40))*V40</f>
        <v>2.4745158613388551E-2</v>
      </c>
      <c r="AB40" s="28">
        <v>1</v>
      </c>
      <c r="AC40" s="176">
        <f>((($W$39)^M40)*((1-($W$39))^($U$27-M40))*HLOOKUP($U$27,$AV$24:$BF$34,M40+1))*V41</f>
        <v>7.6761299657457122E-2</v>
      </c>
      <c r="AD40" s="28">
        <v>1</v>
      </c>
      <c r="AE40" s="176">
        <f>((($W$39)^M40)*((1-($W$39))^($U$28-M40))*HLOOKUP($U$28,$AV$24:$BF$34,M40+1))*V42</f>
        <v>0.10099994527398233</v>
      </c>
      <c r="AF40" s="28">
        <v>1</v>
      </c>
      <c r="AG40" s="176">
        <f>((($W$39)^M40)*((1-($W$39))^($U$29-M40))*HLOOKUP($U$29,$AV$24:$BF$34,M40+1))*V43</f>
        <v>7.3012458873929362E-2</v>
      </c>
      <c r="AH40" s="28">
        <v>1</v>
      </c>
      <c r="AI40" s="176">
        <f>((($W$39)^M40)*((1-($W$39))^($U$30-M40))*HLOOKUP($U$30,$AV$24:$BF$34,M40+1))*V44</f>
        <v>3.1359891249938897E-2</v>
      </c>
      <c r="AJ40" s="28">
        <v>1</v>
      </c>
      <c r="AK40" s="176">
        <f>((($W$39)^M40)*((1-($W$39))^($U$31-M40))*HLOOKUP($U$31,$AV$24:$BF$34,M40+1))*V45</f>
        <v>8.079355746371468E-3</v>
      </c>
      <c r="AL40" s="28">
        <v>1</v>
      </c>
      <c r="AM40" s="176">
        <f>((($W$39)^Q40)*((1-($W$39))^($U$32-Q40))*HLOOKUP($U$32,$AV$24:$BF$34,Q40+1))*V46</f>
        <v>1.2070740788482361E-3</v>
      </c>
      <c r="AN40" s="28">
        <v>1</v>
      </c>
      <c r="AO40" s="176">
        <f>((($W$39)^Q40)*((1-($W$39))^($U$33-Q40))*HLOOKUP($U$33,$AV$24:$BF$34,Q40+1))*V47</f>
        <v>1.0000972797769997E-4</v>
      </c>
      <c r="AP40" s="28">
        <v>1</v>
      </c>
      <c r="AQ40" s="176">
        <f>((($W$39)^Q40)*((1-($W$39))^($U$34-Q40))*HLOOKUP($U$34,$AV$24:$BF$34,Q40+1))*V48</f>
        <v>5.0312903493094186E-6</v>
      </c>
      <c r="AR40" s="28">
        <v>1</v>
      </c>
      <c r="AS40" s="176">
        <f>((($W$39)^Q40)*((1-($W$39))^($U$35-Q40))*HLOOKUP($U$35,$AV$24:$BF$34,Q40+1))*V49</f>
        <v>1.721509567400005E-7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6.3957002190069914E-4</v>
      </c>
      <c r="BQ40" s="31">
        <f t="shared" si="31"/>
        <v>9</v>
      </c>
      <c r="BR40" s="31">
        <v>1</v>
      </c>
      <c r="BS40" s="107">
        <f t="shared" si="32"/>
        <v>9.3326254654657781E-6</v>
      </c>
    </row>
    <row r="41" spans="1:71" x14ac:dyDescent="0.25">
      <c r="G41" s="91">
        <v>2</v>
      </c>
      <c r="H41" s="130">
        <f>L39*J41+J40*L40+J39*L41</f>
        <v>0.26647933907313304</v>
      </c>
      <c r="I41" s="138">
        <v>2</v>
      </c>
      <c r="J41" s="86">
        <f t="shared" si="29"/>
        <v>0.30332572143694581</v>
      </c>
      <c r="K41" s="95">
        <v>2</v>
      </c>
      <c r="L41" s="86">
        <f>AJ18</f>
        <v>0.15725510415397709</v>
      </c>
      <c r="M41" s="85">
        <v>2</v>
      </c>
      <c r="N41" s="173">
        <f>(($C$24)^M27)*((1-($C$24))^($B$21-M27))*HLOOKUP($B$21,$AV$24:$BF$34,M27+1)</f>
        <v>5.2570686787006896E-3</v>
      </c>
      <c r="O41" s="72">
        <v>2</v>
      </c>
      <c r="P41" s="173">
        <f t="shared" si="30"/>
        <v>5.2570686787006896E-3</v>
      </c>
      <c r="Q41" s="28">
        <v>2</v>
      </c>
      <c r="R41" s="174">
        <f>P41*N39+P40*N40+P39*N41</f>
        <v>2.0975633707578416E-2</v>
      </c>
      <c r="S41" s="72">
        <v>2</v>
      </c>
      <c r="T41" s="175">
        <f t="shared" si="33"/>
        <v>0.17995276587914344</v>
      </c>
      <c r="U41" s="138">
        <v>2</v>
      </c>
      <c r="V41" s="86">
        <f>R41*T39+T40*R40+R39*T41</f>
        <v>0.15392019899259712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3.4667972276981339E-2</v>
      </c>
      <c r="AD41" s="28">
        <v>2</v>
      </c>
      <c r="AE41" s="176">
        <f>((($W$39)^M41)*((1-($W$39))^($U$28-M41))*HLOOKUP($U$28,$AV$24:$BF$34,M41+1))*V42</f>
        <v>9.1229911905090971E-2</v>
      </c>
      <c r="AF41" s="28">
        <v>2</v>
      </c>
      <c r="AG41" s="176">
        <f>((($W$39)^M41)*((1-($W$39))^($U$29-M41))*HLOOKUP($U$29,$AV$24:$BF$34,M41+1))*V43</f>
        <v>9.8924610894197837E-2</v>
      </c>
      <c r="AH41" s="28">
        <v>2</v>
      </c>
      <c r="AI41" s="176">
        <f>((($W$39)^M41)*((1-($W$39))^($U$30-M41))*HLOOKUP($U$30,$AV$24:$BF$34,M41+1))*V44</f>
        <v>5.6652706262844778E-2</v>
      </c>
      <c r="AJ41" s="28">
        <v>2</v>
      </c>
      <c r="AK41" s="176">
        <f>((($W$39)^M41)*((1-($W$39))^($U$31-M41))*HLOOKUP($U$31,$AV$24:$BF$34,M41+1))*V45</f>
        <v>1.8244537434943336E-2</v>
      </c>
      <c r="AL41" s="28">
        <v>2</v>
      </c>
      <c r="AM41" s="176">
        <f>((($W$39)^Q41)*((1-($W$39))^($U$32-Q41))*HLOOKUP($U$32,$AV$24:$BF$34,Q41+1))*V46</f>
        <v>3.2709303429081385E-3</v>
      </c>
      <c r="AN41" s="28">
        <v>2</v>
      </c>
      <c r="AO41" s="176">
        <f>((($W$39)^Q41)*((1-($W$39))^($U$33-Q41))*HLOOKUP($U$33,$AV$24:$BF$34,Q41+1))*V47</f>
        <v>3.1617418473916744E-4</v>
      </c>
      <c r="AP41" s="28">
        <v>2</v>
      </c>
      <c r="AQ41" s="176">
        <f>((($W$39)^Q41)*((1-($W$39))^($U$34-Q41))*HLOOKUP($U$34,$AV$24:$BF$34,Q41+1))*V48</f>
        <v>1.8178393031453355E-5</v>
      </c>
      <c r="AR41" s="28">
        <v>2</v>
      </c>
      <c r="AS41" s="176">
        <f>((($W$39)^Q41)*((1-($W$39))^($U$35-Q41))*HLOOKUP($U$35,$AV$24:$BF$34,Q41+1))*V49</f>
        <v>6.9974220865403634E-7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1.1364449128997841E-4</v>
      </c>
      <c r="BQ41" s="31">
        <f t="shared" si="31"/>
        <v>9</v>
      </c>
      <c r="BR41" s="31">
        <v>2</v>
      </c>
      <c r="BS41" s="107">
        <f t="shared" si="32"/>
        <v>1.2238637571155044E-5</v>
      </c>
    </row>
    <row r="42" spans="1:71" ht="15" customHeight="1" x14ac:dyDescent="0.25">
      <c r="G42" s="91">
        <v>3</v>
      </c>
      <c r="H42" s="130">
        <f>J42*L39+J41*L40+L42*J39+L41*J40</f>
        <v>0.22605898797234358</v>
      </c>
      <c r="I42" s="138">
        <v>3</v>
      </c>
      <c r="J42" s="86">
        <f t="shared" si="29"/>
        <v>0.16571935897468748</v>
      </c>
      <c r="K42" s="95">
        <v>3</v>
      </c>
      <c r="L42" s="86">
        <f>AK18</f>
        <v>5.0415350053964469E-2</v>
      </c>
      <c r="M42" s="85">
        <v>3</v>
      </c>
      <c r="N42" s="173">
        <f>(($C$24)^M28)*((1-($C$24))^($B$21-M28))*HLOOKUP($B$21,$AV$24:$BF$34,M28+1)</f>
        <v>1.2800767603627595E-4</v>
      </c>
      <c r="O42" s="72">
        <v>3</v>
      </c>
      <c r="P42" s="173">
        <f t="shared" si="30"/>
        <v>1.2800767603627595E-4</v>
      </c>
      <c r="Q42" s="28">
        <v>3</v>
      </c>
      <c r="R42" s="174">
        <f>P42*N39+P41*N40+P40*N41+P39*N42</f>
        <v>1.3619971069550032E-3</v>
      </c>
      <c r="S42" s="72">
        <v>3</v>
      </c>
      <c r="T42" s="175">
        <f t="shared" si="33"/>
        <v>0.28132150738212341</v>
      </c>
      <c r="U42" s="138">
        <v>3</v>
      </c>
      <c r="V42" s="86">
        <f>R42*T39+R41*T40+R40*T41+R39*T42</f>
        <v>0.25697027018698648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2.7468321240614393E-2</v>
      </c>
      <c r="AF42" s="28">
        <v>3</v>
      </c>
      <c r="AG42" s="176">
        <f>((($W$39)^M42)*((1-($W$39))^($U$29-M42))*HLOOKUP($U$29,$AV$24:$BF$34,M42+1))*V43</f>
        <v>5.9570220641481812E-2</v>
      </c>
      <c r="AH42" s="28">
        <v>3</v>
      </c>
      <c r="AI42" s="176">
        <f>((($W$39)^M42)*((1-($W$39))^($U$30-M42))*HLOOKUP($U$30,$AV$24:$BF$34,M42+1))*V44</f>
        <v>5.1172516851607779E-2</v>
      </c>
      <c r="AJ42" s="28">
        <v>3</v>
      </c>
      <c r="AK42" s="176">
        <f>((($W$39)^M42)*((1-($W$39))^($U$31-M42))*HLOOKUP($U$31,$AV$24:$BF$34,M42+1))*V45</f>
        <v>2.1972916763124604E-2</v>
      </c>
      <c r="AL42" s="28">
        <v>3</v>
      </c>
      <c r="AM42" s="176">
        <f>((($W$39)^Q42)*((1-($W$39))^($U$32-Q42))*HLOOKUP($U$32,$AV$24:$BF$34,Q42+1))*V46</f>
        <v>4.9242054244305342E-3</v>
      </c>
      <c r="AN42" s="28">
        <v>3</v>
      </c>
      <c r="AO42" s="176">
        <f>((($W$39)^Q42)*((1-($W$39))^($U$33-Q42))*HLOOKUP($U$33,$AV$24:$BF$34,Q42+1))*V47</f>
        <v>5.7117937920009114E-4</v>
      </c>
      <c r="AP42" s="28">
        <v>3</v>
      </c>
      <c r="AQ42" s="176">
        <f>((($W$39)^Q42)*((1-($W$39))^($U$34-Q42))*HLOOKUP($U$34,$AV$24:$BF$34,Q42+1))*V48</f>
        <v>3.8313196878004409E-5</v>
      </c>
      <c r="AR42" s="28">
        <v>3</v>
      </c>
      <c r="AS42" s="176">
        <f>((($W$39)^Q42)*((1-($W$39))^($U$35-Q42))*HLOOKUP($U$35,$AV$24:$BF$34,Q42+1))*V49</f>
        <v>1.6854773502727457E-6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1.3934437046525178E-5</v>
      </c>
      <c r="BQ42" s="31">
        <f t="shared" si="31"/>
        <v>9</v>
      </c>
      <c r="BR42" s="31">
        <v>3</v>
      </c>
      <c r="BS42" s="107">
        <f t="shared" si="32"/>
        <v>1.0382245892377891E-5</v>
      </c>
    </row>
    <row r="43" spans="1:71" ht="15" customHeight="1" x14ac:dyDescent="0.25">
      <c r="G43" s="91">
        <v>4</v>
      </c>
      <c r="H43" s="130">
        <f>J43*L39+J42*L40+J41*L41+J40*L42</f>
        <v>0.13844445808029782</v>
      </c>
      <c r="I43" s="138">
        <v>4</v>
      </c>
      <c r="J43" s="86">
        <f t="shared" si="29"/>
        <v>5.6596087402220593E-2</v>
      </c>
      <c r="K43" s="95">
        <v>4</v>
      </c>
      <c r="L43" s="86"/>
      <c r="M43" s="85">
        <v>4</v>
      </c>
      <c r="N43" s="173">
        <f>(($C$24)^M29)*((1-($C$24))^($B$21-M29))*HLOOKUP($B$21,$AV$24:$BF$34,M29+1)</f>
        <v>1.5584697600201458E-6</v>
      </c>
      <c r="O43" s="72">
        <v>4</v>
      </c>
      <c r="P43" s="173">
        <f t="shared" si="30"/>
        <v>1.5584697600201458E-6</v>
      </c>
      <c r="Q43" s="28">
        <v>4</v>
      </c>
      <c r="R43" s="174">
        <f>P43*N39+P42*N40+P41*N41+P40*N42+P39*N43</f>
        <v>5.8037219294409204E-5</v>
      </c>
      <c r="S43" s="72">
        <v>4</v>
      </c>
      <c r="T43" s="175">
        <f t="shared" si="33"/>
        <v>0.2638752123506739</v>
      </c>
      <c r="U43" s="138">
        <v>4</v>
      </c>
      <c r="V43" s="86">
        <f>T43*R39+T42*R40+T41*R41+T40*R42+T39*R43</f>
        <v>0.26516712840832296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1.3451952787070402E-2</v>
      </c>
      <c r="AH43" s="28">
        <v>4</v>
      </c>
      <c r="AI43" s="176">
        <f>((($W$39)^M43)*((1-($W$39))^($U$30-M43))*HLOOKUP($U$30,$AV$24:$BF$34,M43+1))*V44</f>
        <v>2.3111221454971229E-2</v>
      </c>
      <c r="AJ43" s="28">
        <v>4</v>
      </c>
      <c r="AK43" s="176">
        <f>((($W$39)^M43)*((1-($W$39))^($U$31-M43))*HLOOKUP($U$31,$AV$24:$BF$34,M43+1))*V45</f>
        <v>1.4885557030451217E-2</v>
      </c>
      <c r="AL43" s="28">
        <v>4</v>
      </c>
      <c r="AM43" s="176">
        <f>((($W$39)^Q43)*((1-($W$39))^($U$32-Q43))*HLOOKUP($U$32,$AV$24:$BF$34,Q43+1))*V46</f>
        <v>4.4478719850266297E-3</v>
      </c>
      <c r="AN43" s="28">
        <v>4</v>
      </c>
      <c r="AO43" s="176">
        <f>((($W$39)^Q43)*((1-($W$39))^($U$33-Q43))*HLOOKUP($U$33,$AV$24:$BF$34,Q43+1))*V47</f>
        <v>6.4490931535994729E-4</v>
      </c>
      <c r="AP43" s="28">
        <v>4</v>
      </c>
      <c r="AQ43" s="176">
        <f>((($W$39)^Q43)*((1-($W$39))^($U$34-Q43))*HLOOKUP($U$34,$AV$24:$BF$34,Q43+1))*V48</f>
        <v>5.191056638448213E-5</v>
      </c>
      <c r="AR43" s="28">
        <v>4</v>
      </c>
      <c r="AS43" s="176">
        <f>((($W$39)^Q43)*((1-($W$39))^($U$35-Q43))*HLOOKUP($U$35,$AV$24:$BF$34,Q43+1))*V49</f>
        <v>2.664262956687792E-6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1.1366431451724815E-6</v>
      </c>
      <c r="BQ43" s="31">
        <f t="shared" si="31"/>
        <v>9</v>
      </c>
      <c r="BR43" s="31">
        <v>4</v>
      </c>
      <c r="BS43" s="107">
        <f t="shared" si="32"/>
        <v>6.358359909151254E-6</v>
      </c>
    </row>
    <row r="44" spans="1:71" ht="15" customHeight="1" thickBot="1" x14ac:dyDescent="0.3">
      <c r="G44" s="91">
        <v>5</v>
      </c>
      <c r="H44" s="130">
        <f>J44*L39+J43*L40+J42*L41+J41*L42</f>
        <v>6.3351690976828773E-2</v>
      </c>
      <c r="I44" s="138">
        <v>5</v>
      </c>
      <c r="J44" s="86">
        <f t="shared" si="29"/>
        <v>1.2479739719418672E-2</v>
      </c>
      <c r="K44" s="95">
        <v>5</v>
      </c>
      <c r="L44" s="86"/>
      <c r="M44" s="85">
        <v>5</v>
      </c>
      <c r="N44" s="173">
        <f>(($C$24)^M30)*((1-($C$24))^($B$21-M30))*HLOOKUP($B$21,$AV$24:$BF$34,M30+1)</f>
        <v>7.5896323348888808E-9</v>
      </c>
      <c r="O44" s="72">
        <v>5</v>
      </c>
      <c r="P44" s="173">
        <f t="shared" si="30"/>
        <v>7.5896323348888808E-9</v>
      </c>
      <c r="Q44" s="28">
        <v>5</v>
      </c>
      <c r="R44" s="174">
        <f>P44*N39+P43*N40+P42*N41+P41*N42+P40*N43+P39*N44</f>
        <v>1.6958217636953994E-6</v>
      </c>
      <c r="S44" s="72">
        <v>5</v>
      </c>
      <c r="T44" s="175">
        <f t="shared" si="33"/>
        <v>0.14850651485782113</v>
      </c>
      <c r="U44" s="138">
        <v>5</v>
      </c>
      <c r="V44" s="86">
        <f>T44*R39+T43*R40+T42*R41+T41*R42+T40*R43+T39*R44</f>
        <v>0.17341511596437167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4.175120474840908E-3</v>
      </c>
      <c r="AJ44" s="28">
        <v>5</v>
      </c>
      <c r="AK44" s="176">
        <f>((($W$39)^M44)*((1-($W$39))^($U$31-M44))*HLOOKUP($U$31,$AV$24:$BF$34,M44+1))*V45</f>
        <v>5.3782526430580001E-3</v>
      </c>
      <c r="AL44" s="28">
        <v>5</v>
      </c>
      <c r="AM44" s="176">
        <f>((($W$39)^Q44)*((1-($W$39))^($U$32-Q44))*HLOOKUP($U$32,$AV$24:$BF$34,Q44+1))*V46</f>
        <v>2.410569440953731E-3</v>
      </c>
      <c r="AN44" s="28">
        <v>5</v>
      </c>
      <c r="AO44" s="176">
        <f>((($W$39)^Q44)*((1-($W$39))^($U$33-Q44))*HLOOKUP($U$33,$AV$24:$BF$34,Q44+1))*V47</f>
        <v>4.6602021311959249E-4</v>
      </c>
      <c r="AP44" s="28">
        <v>5</v>
      </c>
      <c r="AQ44" s="176">
        <f>((($W$39)^Q44)*((1-($W$39))^($U$34-Q44))*HLOOKUP($U$34,$AV$24:$BF$34,Q44+1))*V48</f>
        <v>4.6889098655973505E-5</v>
      </c>
      <c r="AR44" s="28">
        <v>5</v>
      </c>
      <c r="AS44" s="176">
        <f>((($W$39)^Q44)*((1-($W$39))^($U$35-Q44))*HLOOKUP($U$35,$AV$24:$BF$34,Q44+1))*V49</f>
        <v>2.8878487904674583E-6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9.6647165296938093E-4</v>
      </c>
      <c r="BQ44" s="31">
        <f t="shared" si="31"/>
        <v>9</v>
      </c>
      <c r="BR44" s="31">
        <v>5</v>
      </c>
      <c r="BS44" s="107">
        <f t="shared" si="32"/>
        <v>2.9095628504708781E-6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2.1600644996110252E-2</v>
      </c>
      <c r="I45" s="138">
        <v>6</v>
      </c>
      <c r="J45" s="86">
        <f t="shared" si="29"/>
        <v>1.776341859504992E-3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3.4410526760837171E-8</v>
      </c>
      <c r="S45" s="72">
        <v>6</v>
      </c>
      <c r="T45" s="175">
        <f t="shared" si="33"/>
        <v>4.6432269503349763E-2</v>
      </c>
      <c r="U45" s="138">
        <v>6</v>
      </c>
      <c r="V45" s="86">
        <f>T45*R39+T44*R40+T43*R41+T42*R42+T41*R43+T40*R44+T39*R45</f>
        <v>7.0861051526510649E-2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8.0966630476630216E-4</v>
      </c>
      <c r="AL45" s="28">
        <v>6</v>
      </c>
      <c r="AM45" s="176">
        <f>((($W$39)^Q45)*((1-($W$39))^($U$32-Q45))*HLOOKUP($U$32,$AV$24:$BF$34,Q45+1))*V46</f>
        <v>7.2579589735666846E-4</v>
      </c>
      <c r="AN45" s="28">
        <v>6</v>
      </c>
      <c r="AO45" s="176">
        <f>((($W$39)^Q45)*((1-($W$39))^($U$33-Q45))*HLOOKUP($U$33,$AV$24:$BF$34,Q45+1))*V47</f>
        <v>2.1047032685790989E-4</v>
      </c>
      <c r="AP45" s="28">
        <v>6</v>
      </c>
      <c r="AQ45" s="176">
        <f>((($W$39)^Q45)*((1-($W$39))^($U$34-Q45))*HLOOKUP($U$34,$AV$24:$BF$34,Q45+1))*V48</f>
        <v>2.8235581897854876E-5</v>
      </c>
      <c r="AR45" s="28">
        <v>6</v>
      </c>
      <c r="AS45" s="176">
        <f>((($W$39)^Q45)*((1-($W$39))^($U$35-Q45))*HLOOKUP($U$35,$AV$24:$BF$34,Q45+1))*V49</f>
        <v>2.1737486262565735E-6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2.4099905916102264E-4</v>
      </c>
      <c r="BQ45" s="31">
        <f t="shared" si="31"/>
        <v>9</v>
      </c>
      <c r="BR45" s="31">
        <v>6</v>
      </c>
      <c r="BS45" s="107">
        <f t="shared" si="32"/>
        <v>9.9205614337712325E-7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5.3863298580354192E-3</v>
      </c>
      <c r="I46" s="138">
        <v>7</v>
      </c>
      <c r="J46" s="86">
        <f t="shared" si="29"/>
        <v>1.6002513205878085E-4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4.7879062116717979E-10</v>
      </c>
      <c r="S46" s="72">
        <v>7</v>
      </c>
      <c r="T46" s="175">
        <f t="shared" si="33"/>
        <v>6.2218212734278192E-3</v>
      </c>
      <c r="U46" s="138">
        <v>7</v>
      </c>
      <c r="V46" s="86">
        <f>T46*R39+T45*R40+T44*R41+T43*R42+T42*R43+T41*R44+T40*R45+T39*R46</f>
        <v>1.7271008601345148E-2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9.3655348874986243E-5</v>
      </c>
      <c r="AN46" s="28">
        <v>7</v>
      </c>
      <c r="AO46" s="176">
        <f>((($W$39)^Q46)*((1-($W$39))^($U$33-Q46))*HLOOKUP($U$33,$AV$24:$BF$34,Q46+1))*V47</f>
        <v>5.4317396837042978E-5</v>
      </c>
      <c r="AP46" s="28">
        <v>7</v>
      </c>
      <c r="AQ46" s="176">
        <f>((($W$39)^Q46)*((1-($W$39))^($U$34-Q46))*HLOOKUP($U$34,$AV$24:$BF$34,Q46+1))*V48</f>
        <v>1.0930400473312409E-5</v>
      </c>
      <c r="AR46" s="28">
        <v>7</v>
      </c>
      <c r="AS46" s="176">
        <f>((($W$39)^Q46)*((1-($W$39))^($U$35-Q46))*HLOOKUP($U$35,$AV$24:$BF$34,Q46+1))*V49</f>
        <v>1.1219858734392223E-6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4.2822856828599409E-5</v>
      </c>
      <c r="BQ46" s="31">
        <f t="shared" si="31"/>
        <v>9</v>
      </c>
      <c r="BR46" s="31">
        <v>7</v>
      </c>
      <c r="BS46" s="107">
        <f t="shared" si="32"/>
        <v>2.4737879942390179E-7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9.5709100751363357E-4</v>
      </c>
      <c r="I47" s="138">
        <v>8</v>
      </c>
      <c r="J47" s="86">
        <f t="shared" si="29"/>
        <v>8.9812007699421745E-6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4.3718903872150521E-12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2.383053434374957E-3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6.1328886304280581E-6</v>
      </c>
      <c r="AP47" s="28">
        <v>8</v>
      </c>
      <c r="AQ47" s="176">
        <f>((($W$39)^Q47)*((1-($W$39))^($U$34-Q47))*HLOOKUP($U$34,$AV$24:$BF$34,Q47+1))*V48</f>
        <v>2.4682673578748218E-6</v>
      </c>
      <c r="AR47" s="28">
        <v>8</v>
      </c>
      <c r="AS47" s="176">
        <f>((($W$39)^Q47)*((1-($W$39))^($U$35-Q47))*HLOOKUP($U$35,$AV$24:$BF$34,Q47+1))*V49</f>
        <v>3.800447816392944E-7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5.2506935959429087E-6</v>
      </c>
      <c r="BQ47" s="31">
        <f>BM12+1</f>
        <v>9</v>
      </c>
      <c r="BR47" s="31">
        <v>8</v>
      </c>
      <c r="BS47" s="107">
        <f t="shared" si="32"/>
        <v>4.3956465834510048E-8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1.1735302116812896E-4</v>
      </c>
      <c r="I48" s="138">
        <v>9</v>
      </c>
      <c r="J48" s="86">
        <f t="shared" si="29"/>
        <v>3.2400756556634789E-7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2.3656424967190827E-14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2.0282341811658249E-4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2.4772270146207273E-7</v>
      </c>
      <c r="AR48" s="28">
        <v>9</v>
      </c>
      <c r="AS48" s="176">
        <f>((($W$39)^Q48)*((1-($W$39))^($U$35-Q48))*HLOOKUP($U$35,$AV$24:$BF$34,Q48+1))*V49</f>
        <v>7.6284864104275163E-8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4.283032650190796E-7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9.5725795473953434E-6</v>
      </c>
      <c r="I49" s="94">
        <v>10</v>
      </c>
      <c r="J49" s="89">
        <f t="shared" si="29"/>
        <v>6.8905596067858702E-9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5.7602518978790843E-17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1.1887495670048764E-5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6.8905596067858702E-9</v>
      </c>
      <c r="BI49" s="31">
        <f>BQ14+1</f>
        <v>6</v>
      </c>
      <c r="BJ49" s="31">
        <v>0</v>
      </c>
      <c r="BK49" s="107">
        <f>$H$31*H39</f>
        <v>9.2341775189244354E-4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3"/>
      <c r="J50" s="293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3"/>
      <c r="X50" s="157"/>
      <c r="Y50" s="157"/>
      <c r="BI50" s="31">
        <f>BI45+1</f>
        <v>6</v>
      </c>
      <c r="BJ50" s="31">
        <v>7</v>
      </c>
      <c r="BK50" s="107">
        <f>$H$31*H46</f>
        <v>6.6862430899753254E-5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1.1880711549662903E-5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1.4567448477047406E-6</v>
      </c>
    </row>
    <row r="53" spans="1:63" x14ac:dyDescent="0.25">
      <c r="BI53" s="31">
        <f>BI48+1</f>
        <v>6</v>
      </c>
      <c r="BJ53" s="31">
        <v>10</v>
      </c>
      <c r="BK53" s="107">
        <f>$H$31*H49</f>
        <v>1.1882783925037212E-7</v>
      </c>
    </row>
    <row r="54" spans="1:63" x14ac:dyDescent="0.25">
      <c r="BI54" s="31">
        <f>BI51+1</f>
        <v>7</v>
      </c>
      <c r="BJ54" s="31">
        <v>8</v>
      </c>
      <c r="BK54" s="107">
        <f>$H$32*H47</f>
        <v>2.4610768186337386E-6</v>
      </c>
    </row>
    <row r="55" spans="1:63" x14ac:dyDescent="0.25">
      <c r="BI55" s="31">
        <f>BI52+1</f>
        <v>7</v>
      </c>
      <c r="BJ55" s="31">
        <v>9</v>
      </c>
      <c r="BK55" s="107">
        <f>$H$32*H48</f>
        <v>3.0176315285190108E-7</v>
      </c>
    </row>
    <row r="56" spans="1:63" x14ac:dyDescent="0.25">
      <c r="BI56" s="31">
        <f>BI53+1</f>
        <v>7</v>
      </c>
      <c r="BJ56" s="31">
        <v>10</v>
      </c>
      <c r="BK56" s="107">
        <f>$H$32*H49</f>
        <v>2.4615061089983684E-8</v>
      </c>
    </row>
    <row r="57" spans="1:63" x14ac:dyDescent="0.25">
      <c r="BI57" s="31">
        <f>BI55+1</f>
        <v>8</v>
      </c>
      <c r="BJ57" s="31">
        <v>9</v>
      </c>
      <c r="BK57" s="107">
        <f>$H$33*H48</f>
        <v>4.6799317121204915E-8</v>
      </c>
    </row>
    <row r="58" spans="1:63" x14ac:dyDescent="0.25">
      <c r="BI58" s="31">
        <f>BI56+1</f>
        <v>8</v>
      </c>
      <c r="BJ58" s="31">
        <v>10</v>
      </c>
      <c r="BK58" s="107">
        <f>$H$33*H49</f>
        <v>3.8174576286765525E-9</v>
      </c>
    </row>
    <row r="59" spans="1:63" x14ac:dyDescent="0.25">
      <c r="BI59" s="31">
        <f>BI58+1</f>
        <v>9</v>
      </c>
      <c r="BJ59" s="31">
        <v>10</v>
      </c>
      <c r="BK59" s="107">
        <f>$H$34*H49</f>
        <v>4.3964133245418581E-10</v>
      </c>
    </row>
  </sheetData>
  <mergeCells count="1"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4440-1124-479A-A0B1-ED0C3842847C}">
  <sheetPr>
    <tabColor rgb="FF00B050"/>
  </sheetPr>
  <dimension ref="A1:BS59"/>
  <sheetViews>
    <sheetView zoomScale="90" zoomScaleNormal="90" workbookViewId="0">
      <selection activeCell="B6" sqref="B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192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1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5" t="s">
        <v>199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2.89</v>
      </c>
      <c r="S2" s="166">
        <f>SUM(S4:S15)</f>
        <v>3.67</v>
      </c>
      <c r="T2" s="219">
        <f>SUM(T4:T16)</f>
        <v>0.90035911483748854</v>
      </c>
      <c r="U2" s="219">
        <f>SUM(U4:U16)</f>
        <v>0.28378923786709254</v>
      </c>
      <c r="V2" s="157"/>
      <c r="W2" s="157"/>
      <c r="X2" s="253">
        <f>SUM(X4:X16)</f>
        <v>0.48805054823588562</v>
      </c>
      <c r="Y2" s="254">
        <f>SUM(Y4:Y16)</f>
        <v>0.15284910167686983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4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151</v>
      </c>
      <c r="F4" s="283" t="s">
        <v>151</v>
      </c>
      <c r="G4" s="283" t="s">
        <v>138</v>
      </c>
      <c r="H4" s="283" t="s">
        <v>151</v>
      </c>
      <c r="I4" s="283" t="s">
        <v>2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0.57145328719723187</v>
      </c>
      <c r="T4" s="226">
        <f>IF(S4=0,0,S4*(P4^2.7/(P4^2.7+Q4^2.7))*P4/L4)</f>
        <v>0</v>
      </c>
      <c r="U4" s="228">
        <f>IF(S4=0,0,S4*Q4^2.7/(P4^2.7+Q4^2.7)*Q4/L4)</f>
        <v>9.5242214532871974E-2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5.4288062283737018E-2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5.4288062283737018E-2</v>
      </c>
      <c r="AH4" s="247">
        <f t="shared" ref="AH4:AH16" si="2">(1-AG4)</f>
        <v>0.94571193771626294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1.3532095792520338E-2</v>
      </c>
      <c r="BM4" s="31">
        <v>0</v>
      </c>
      <c r="BN4" s="31">
        <v>0</v>
      </c>
      <c r="BO4" s="107">
        <f>H25*H39</f>
        <v>2.0420330873813546E-2</v>
      </c>
      <c r="BQ4" s="31">
        <v>1</v>
      </c>
      <c r="BR4" s="31">
        <v>0</v>
      </c>
      <c r="BS4" s="107">
        <f>$H$26*H39</f>
        <v>7.3827207413075788E-2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33</v>
      </c>
      <c r="F5" s="283" t="s">
        <v>151</v>
      </c>
      <c r="G5" s="283" t="s">
        <v>151</v>
      </c>
      <c r="H5" s="283" t="s">
        <v>1</v>
      </c>
      <c r="I5" s="283" t="s">
        <v>2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1</v>
      </c>
      <c r="Q5" s="214">
        <f>COUNTIF(E10:I11,"IMP")</f>
        <v>0</v>
      </c>
      <c r="R5" s="221">
        <f t="shared" si="0"/>
        <v>0.35</v>
      </c>
      <c r="S5" s="221">
        <f t="shared" si="1"/>
        <v>0.44446366782006919</v>
      </c>
      <c r="T5" s="226">
        <f t="shared" ref="T5:T9" si="5">IF(S5=0,0,S5*(P5^2.7/(P5^2.7+Q5^2.7))*P5/L5)</f>
        <v>5.5557958477508648E-2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3.1668036332179926E-2</v>
      </c>
      <c r="Y5" s="252">
        <f t="shared" si="7"/>
        <v>0</v>
      </c>
      <c r="Z5" s="199"/>
      <c r="AA5" s="244">
        <f t="shared" ref="AA5:AA16" si="8">X5</f>
        <v>3.1668036332179926E-2</v>
      </c>
      <c r="AB5" s="245">
        <f t="shared" ref="AB5:AB16" si="9">1-AA5</f>
        <v>0.96833196366782004</v>
      </c>
      <c r="AC5" s="245">
        <f>PRODUCT(AB6:AB16)*AA5*PRODUCT(AB4)</f>
        <v>1.9538287903113336E-2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1.0001461678965318E-2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4.0491855020524077E-3</v>
      </c>
      <c r="BM5" s="31">
        <v>1</v>
      </c>
      <c r="BN5" s="31">
        <v>1</v>
      </c>
      <c r="BO5" s="107">
        <f>$H$26*H40</f>
        <v>4.8923636398524067E-2</v>
      </c>
      <c r="BQ5" s="31">
        <f>BQ4+1</f>
        <v>2</v>
      </c>
      <c r="BR5" s="31">
        <v>0</v>
      </c>
      <c r="BS5" s="107">
        <f>$H$27*H39</f>
        <v>0.1231718375175665</v>
      </c>
    </row>
    <row r="6" spans="1:71" ht="15.75" x14ac:dyDescent="0.25">
      <c r="A6" s="2" t="s">
        <v>31</v>
      </c>
      <c r="B6" s="271">
        <v>11.75</v>
      </c>
      <c r="C6" s="272">
        <v>3.25</v>
      </c>
      <c r="E6" s="211"/>
      <c r="F6" s="283" t="s">
        <v>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1</v>
      </c>
      <c r="R6" s="221">
        <f t="shared" si="0"/>
        <v>0.45</v>
      </c>
      <c r="S6" s="221">
        <f t="shared" si="1"/>
        <v>0.57145328719723187</v>
      </c>
      <c r="T6" s="226">
        <f t="shared" si="5"/>
        <v>2.197897258450892E-2</v>
      </c>
      <c r="U6" s="228">
        <f t="shared" si="6"/>
        <v>2.197897258450892E-2</v>
      </c>
      <c r="V6" s="218">
        <f>$G$18</f>
        <v>0.45</v>
      </c>
      <c r="W6" s="216">
        <f>$H$18</f>
        <v>0.45</v>
      </c>
      <c r="X6" s="251">
        <f t="shared" si="7"/>
        <v>9.890537663029015E-3</v>
      </c>
      <c r="Y6" s="252">
        <f t="shared" si="7"/>
        <v>9.890537663029015E-3</v>
      </c>
      <c r="Z6" s="199"/>
      <c r="AA6" s="244">
        <f t="shared" si="8"/>
        <v>9.890537663029015E-3</v>
      </c>
      <c r="AB6" s="245">
        <f t="shared" si="9"/>
        <v>0.99010946233697095</v>
      </c>
      <c r="AC6" s="245">
        <f>PRODUCT(AB7:AB16)*AA6*PRODUCT(AB4:AB5)</f>
        <v>5.9679658319205606E-3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2.9953282903849173E-3</v>
      </c>
      <c r="AE6" s="183"/>
      <c r="AF6" s="197"/>
      <c r="AG6" s="246">
        <f t="shared" si="10"/>
        <v>9.890537663029015E-3</v>
      </c>
      <c r="AH6" s="247">
        <f t="shared" si="2"/>
        <v>0.99010946233697095</v>
      </c>
      <c r="AI6" s="247">
        <f>AG6*PRODUCT(AH3:AH5)*PRODUCT(AH7:AH17)</f>
        <v>8.5385459465503535E-3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8.0071881956824808E-4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2.0199521806021827E-3</v>
      </c>
      <c r="BM6" s="31">
        <f>BI14+1</f>
        <v>2</v>
      </c>
      <c r="BN6" s="31">
        <v>2</v>
      </c>
      <c r="BO6" s="107">
        <f>$H$27*H41</f>
        <v>2.4423973432127995E-2</v>
      </c>
      <c r="BQ6" s="31">
        <f>BM5+1</f>
        <v>2</v>
      </c>
      <c r="BR6" s="31">
        <v>1</v>
      </c>
      <c r="BS6" s="107">
        <f>$H$27*H40</f>
        <v>8.1623217298887288E-2</v>
      </c>
    </row>
    <row r="7" spans="1:71" ht="15.75" x14ac:dyDescent="0.25">
      <c r="A7" s="5" t="s">
        <v>36</v>
      </c>
      <c r="B7" s="271">
        <v>7.5</v>
      </c>
      <c r="C7" s="272">
        <v>10.25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0</v>
      </c>
      <c r="R7" s="221">
        <f t="shared" si="0"/>
        <v>0.04</v>
      </c>
      <c r="S7" s="221">
        <f t="shared" si="1"/>
        <v>5.0795847750865056E-2</v>
      </c>
      <c r="T7" s="226">
        <f t="shared" si="5"/>
        <v>6.349480968858132E-3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2.8572664359861593E-3</v>
      </c>
      <c r="Y7" s="252">
        <f t="shared" si="7"/>
        <v>0</v>
      </c>
      <c r="Z7" s="199"/>
      <c r="AA7" s="244">
        <f t="shared" si="8"/>
        <v>2.8572664359861593E-3</v>
      </c>
      <c r="AB7" s="245">
        <f t="shared" si="9"/>
        <v>0.99714273356401384</v>
      </c>
      <c r="AC7" s="245">
        <f>PRODUCT(AB8:AB$16)*AA7*PRODUCT(AB$4:AB6)</f>
        <v>1.7119183565089268E-3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8.5430818993376134E-4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8.1067688582538589E-4</v>
      </c>
      <c r="BM7" s="31">
        <f>BI23+1</f>
        <v>3</v>
      </c>
      <c r="BN7" s="31">
        <v>3</v>
      </c>
      <c r="BO7" s="107">
        <f>$H$28*H42</f>
        <v>1.2433615001725485E-2</v>
      </c>
      <c r="BQ7" s="31">
        <f>BQ5+1</f>
        <v>3</v>
      </c>
      <c r="BR7" s="31">
        <v>0</v>
      </c>
      <c r="BS7" s="107">
        <f>$H$28*H39</f>
        <v>0.12569531830063158</v>
      </c>
    </row>
    <row r="8" spans="1:71" ht="15.75" x14ac:dyDescent="0.25">
      <c r="A8" s="5" t="s">
        <v>39</v>
      </c>
      <c r="B8" s="271">
        <v>7.25</v>
      </c>
      <c r="C8" s="272">
        <v>12.25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3</v>
      </c>
      <c r="Q8" s="214">
        <f>COUNTIF(E10:I11,"RAP")</f>
        <v>0</v>
      </c>
      <c r="R8" s="221">
        <f t="shared" si="0"/>
        <v>0.5</v>
      </c>
      <c r="S8" s="221">
        <f t="shared" si="1"/>
        <v>0.63494809688581322</v>
      </c>
      <c r="T8" s="226">
        <f t="shared" si="5"/>
        <v>0.23810553633217996</v>
      </c>
      <c r="U8" s="228">
        <f t="shared" si="6"/>
        <v>0</v>
      </c>
      <c r="V8" s="218">
        <f>$G$17</f>
        <v>0.56999999999999995</v>
      </c>
      <c r="W8" s="216">
        <f>$H$17</f>
        <v>0.56999999999999995</v>
      </c>
      <c r="X8" s="251">
        <f t="shared" si="7"/>
        <v>0.13572015570934257</v>
      </c>
      <c r="Y8" s="252">
        <f t="shared" si="7"/>
        <v>0</v>
      </c>
      <c r="Z8" s="199"/>
      <c r="AA8" s="244">
        <f t="shared" si="8"/>
        <v>0.13572015570934257</v>
      </c>
      <c r="AB8" s="245">
        <f t="shared" si="9"/>
        <v>0.86427984429065741</v>
      </c>
      <c r="AC8" s="245">
        <f>PRODUCT(AB9:AB$16)*AA8*PRODUCT(AB$4:AB7)</f>
        <v>9.3816581103791735E-2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3.2085546561052759E-2</v>
      </c>
      <c r="AE8" s="183"/>
      <c r="AF8" s="197"/>
      <c r="AG8" s="246">
        <f t="shared" si="10"/>
        <v>0</v>
      </c>
      <c r="AH8" s="247">
        <f t="shared" si="2"/>
        <v>1</v>
      </c>
      <c r="AI8" s="247">
        <f>AG8*PRODUCT(AH3:AH7)*PRODUCT(AH9:AH17)</f>
        <v>0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1.8570161199993963E-4</v>
      </c>
      <c r="BM8" s="31">
        <f>BI31+1</f>
        <v>4</v>
      </c>
      <c r="BN8" s="31">
        <v>4</v>
      </c>
      <c r="BO8" s="107">
        <f>$H$29*H43</f>
        <v>3.4799572947832678E-3</v>
      </c>
      <c r="BQ8" s="31">
        <f>BQ6+1</f>
        <v>3</v>
      </c>
      <c r="BR8" s="31">
        <v>1</v>
      </c>
      <c r="BS8" s="107">
        <f>$H$28*H40</f>
        <v>8.3295471480175381E-2</v>
      </c>
    </row>
    <row r="9" spans="1:71" ht="15.75" x14ac:dyDescent="0.25">
      <c r="A9" s="5" t="s">
        <v>42</v>
      </c>
      <c r="B9" s="271">
        <v>8.5</v>
      </c>
      <c r="C9" s="272">
        <v>10.75</v>
      </c>
      <c r="E9" s="284" t="s">
        <v>33</v>
      </c>
      <c r="F9" s="284" t="s">
        <v>2</v>
      </c>
      <c r="G9" s="284" t="s">
        <v>151</v>
      </c>
      <c r="H9" s="284" t="s">
        <v>151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3</v>
      </c>
      <c r="Q9" s="214">
        <f>COUNTIF(E10:I11,"RAP")</f>
        <v>0</v>
      </c>
      <c r="R9" s="221">
        <f t="shared" si="0"/>
        <v>0.5</v>
      </c>
      <c r="S9" s="221">
        <f t="shared" si="1"/>
        <v>0.63494809688581322</v>
      </c>
      <c r="T9" s="226">
        <f t="shared" si="5"/>
        <v>0.23810553633217996</v>
      </c>
      <c r="U9" s="228">
        <f t="shared" si="6"/>
        <v>0</v>
      </c>
      <c r="V9" s="218">
        <f>$G$17</f>
        <v>0.56999999999999995</v>
      </c>
      <c r="W9" s="216">
        <f>$H$17</f>
        <v>0.56999999999999995</v>
      </c>
      <c r="X9" s="251">
        <f t="shared" si="7"/>
        <v>0.13572015570934257</v>
      </c>
      <c r="Y9" s="252">
        <f t="shared" si="7"/>
        <v>0</v>
      </c>
      <c r="Z9" s="199"/>
      <c r="AA9" s="244">
        <f t="shared" si="8"/>
        <v>0.13572015570934257</v>
      </c>
      <c r="AB9" s="245">
        <f t="shared" si="9"/>
        <v>0.86427984429065741</v>
      </c>
      <c r="AC9" s="245">
        <f>PRODUCT(AB10:AB$16)*AA9*PRODUCT(AB$4:AB8)</f>
        <v>9.3816581103791735E-2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1.7353280062376041E-2</v>
      </c>
      <c r="AE9" s="183"/>
      <c r="AF9" s="197"/>
      <c r="AG9" s="246">
        <f t="shared" si="10"/>
        <v>0</v>
      </c>
      <c r="AH9" s="247">
        <f t="shared" si="2"/>
        <v>1</v>
      </c>
      <c r="AI9" s="247">
        <f>AG9*PRODUCT(AH3:AH8)*PRODUCT(AH10:AH17)</f>
        <v>0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2.5902109767732773E-5</v>
      </c>
      <c r="BM9" s="31">
        <f>BI38+1</f>
        <v>5</v>
      </c>
      <c r="BN9" s="31">
        <v>5</v>
      </c>
      <c r="BO9" s="107">
        <f>$H$30*H44</f>
        <v>4.0188258072710112E-4</v>
      </c>
      <c r="BQ9" s="31">
        <f>BM6+1</f>
        <v>3</v>
      </c>
      <c r="BR9" s="31">
        <v>2</v>
      </c>
      <c r="BS9" s="107">
        <f>$H$28*H41</f>
        <v>2.492435914402644E-2</v>
      </c>
    </row>
    <row r="10" spans="1:71" ht="15.75" x14ac:dyDescent="0.25">
      <c r="A10" s="6" t="s">
        <v>45</v>
      </c>
      <c r="B10" s="271">
        <v>7.75</v>
      </c>
      <c r="C10" s="272">
        <v>6.25</v>
      </c>
      <c r="E10" s="284" t="s">
        <v>151</v>
      </c>
      <c r="F10" s="284" t="s">
        <v>151</v>
      </c>
      <c r="G10" s="284" t="s">
        <v>151</v>
      </c>
      <c r="H10" s="284" t="s">
        <v>151</v>
      </c>
      <c r="I10" s="284" t="s">
        <v>151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0.24128027681660899</v>
      </c>
      <c r="T10" s="226">
        <f>S10*G13</f>
        <v>0.1890028835063437</v>
      </c>
      <c r="U10" s="228">
        <f>S10*G14</f>
        <v>5.2277393310265284E-2</v>
      </c>
      <c r="V10" s="218">
        <f>$G$18</f>
        <v>0.45</v>
      </c>
      <c r="W10" s="216">
        <f>$H$18</f>
        <v>0.45</v>
      </c>
      <c r="X10" s="251">
        <f t="shared" si="7"/>
        <v>8.5051297577854665E-2</v>
      </c>
      <c r="Y10" s="252">
        <f t="shared" si="7"/>
        <v>2.3524826989619378E-2</v>
      </c>
      <c r="Z10" s="199"/>
      <c r="AA10" s="244">
        <f t="shared" si="8"/>
        <v>8.5051297577854665E-2</v>
      </c>
      <c r="AB10" s="245">
        <f t="shared" si="9"/>
        <v>0.91494870242214532</v>
      </c>
      <c r="AC10" s="245">
        <f>PRODUCT(AB11:AB$16)*AA10*PRODUCT(AB$4:AB9)</f>
        <v>5.5535902796150859E-2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5.1100160900145342E-3</v>
      </c>
      <c r="AE10" s="183"/>
      <c r="AF10" s="197"/>
      <c r="AG10" s="246">
        <f t="shared" si="10"/>
        <v>2.3524826989619378E-2</v>
      </c>
      <c r="AH10" s="247">
        <f t="shared" si="2"/>
        <v>0.97647517301038067</v>
      </c>
      <c r="AI10" s="247">
        <f>AG10*PRODUCT(AH3:AH9)*PRODUCT(AH11:AH17)</f>
        <v>2.0592660617232059E-2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1.4350072886906483E-3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2.3458568307724637E-6</v>
      </c>
      <c r="BM10" s="31">
        <f>BI44+1</f>
        <v>6</v>
      </c>
      <c r="BN10" s="31">
        <v>6</v>
      </c>
      <c r="BO10" s="107">
        <f>$H$31*H45</f>
        <v>2.106327750685845E-5</v>
      </c>
      <c r="BQ10" s="31">
        <f>BQ7+1</f>
        <v>4</v>
      </c>
      <c r="BR10" s="31">
        <v>0</v>
      </c>
      <c r="BS10" s="107">
        <f>$H$29*H39</f>
        <v>8.7657463323213183E-2</v>
      </c>
    </row>
    <row r="11" spans="1:71" ht="15.75" x14ac:dyDescent="0.25">
      <c r="A11" s="6" t="s">
        <v>48</v>
      </c>
      <c r="B11" s="271">
        <v>7.5</v>
      </c>
      <c r="C11" s="272">
        <v>4</v>
      </c>
      <c r="E11" s="213"/>
      <c r="F11" s="284" t="s">
        <v>151</v>
      </c>
      <c r="G11" s="284" t="s">
        <v>151</v>
      </c>
      <c r="H11" s="284" t="s">
        <v>6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0</v>
      </c>
      <c r="R11" s="221">
        <f t="shared" si="0"/>
        <v>0.19</v>
      </c>
      <c r="S11" s="221">
        <f t="shared" si="1"/>
        <v>0.24128027681660899</v>
      </c>
      <c r="T11" s="226">
        <f>IF(P11&gt;0,IF(Q11&gt;0,G13^2.7/(G14^2.7+G13^2.7),1),0)*P11/L11*S11</f>
        <v>2.6808919646289887E-2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0.65</v>
      </c>
      <c r="W11" s="216">
        <f>IF(Q11-P11&gt;3,0.9,IF(Q11-P11=3,0.83,IF(Q11-P11=2,0.75,IF(Q11-P11=1,0.65,IF(Q11-P11=0,0.44,IF(Q11-P11=-1,0.16,IF(Q11-P11&lt;-1,0.05,0.02)))))))</f>
        <v>0.16</v>
      </c>
      <c r="X11" s="251">
        <f t="shared" si="7"/>
        <v>1.7425797770088427E-2</v>
      </c>
      <c r="Y11" s="252">
        <f t="shared" si="7"/>
        <v>0</v>
      </c>
      <c r="Z11" s="199"/>
      <c r="AA11" s="244">
        <f t="shared" si="8"/>
        <v>1.7425797770088427E-2</v>
      </c>
      <c r="AB11" s="245">
        <f t="shared" si="9"/>
        <v>0.98257420222991154</v>
      </c>
      <c r="AC11" s="245">
        <f>PRODUCT(AB12:AB$16)*AA11*PRODUCT(AB$4:AB10)</f>
        <v>1.0595390076948655E-2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7.8700435870202392E-4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1.4292451492226697E-7</v>
      </c>
      <c r="BM11" s="31">
        <f>BI50+1</f>
        <v>7</v>
      </c>
      <c r="BN11" s="31">
        <v>7</v>
      </c>
      <c r="BO11" s="107">
        <f>$H$32*H46</f>
        <v>5.4228056031937862E-7</v>
      </c>
      <c r="BQ11" s="31">
        <f>BQ8+1</f>
        <v>4</v>
      </c>
      <c r="BR11" s="31">
        <v>1</v>
      </c>
      <c r="BS11" s="107">
        <f>$H$29*H40</f>
        <v>5.8088637150350696E-2</v>
      </c>
    </row>
    <row r="12" spans="1:71" ht="15.75" x14ac:dyDescent="0.25">
      <c r="A12" s="6" t="s">
        <v>52</v>
      </c>
      <c r="B12" s="271">
        <v>7.25</v>
      </c>
      <c r="C12" s="272">
        <v>3.5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1</v>
      </c>
      <c r="Q12" s="214">
        <f>COUNTIF(F11:H11,"IMP")+COUNTIF(E10,"IMP")+COUNTIF(I10,"IMP")</f>
        <v>0</v>
      </c>
      <c r="R12" s="221">
        <f t="shared" si="0"/>
        <v>0.04</v>
      </c>
      <c r="S12" s="221">
        <f t="shared" si="1"/>
        <v>5.0795847750865056E-2</v>
      </c>
      <c r="T12" s="226">
        <f t="shared" ref="T12" si="11">IF(S12=0,0,S12*(P12^2.7/(P12^2.7+Q12^2.7))*P12/L12)</f>
        <v>1.015916955017301E-2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4.5716262975778552E-3</v>
      </c>
      <c r="Y12" s="252">
        <f t="shared" si="7"/>
        <v>0</v>
      </c>
      <c r="Z12" s="199"/>
      <c r="AA12" s="244">
        <f t="shared" si="8"/>
        <v>4.5716262975778552E-3</v>
      </c>
      <c r="AB12" s="245">
        <f t="shared" si="9"/>
        <v>0.9954283737024221</v>
      </c>
      <c r="AC12" s="245">
        <f>PRODUCT(AB13:AB$16)*AA12*PRODUCT(AB$4:AB11)</f>
        <v>2.7437866868087199E-3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1.912018057000404E-4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5.9525279155866946E-9</v>
      </c>
      <c r="BM12" s="31">
        <f>BI54+1</f>
        <v>8</v>
      </c>
      <c r="BN12" s="31">
        <v>8</v>
      </c>
      <c r="BO12" s="107">
        <f>$H$33*H47</f>
        <v>7.1246802886081182E-9</v>
      </c>
      <c r="BQ12" s="31">
        <f>BQ9+1</f>
        <v>4</v>
      </c>
      <c r="BR12" s="31">
        <v>2</v>
      </c>
      <c r="BS12" s="107">
        <f>$H$29*H41</f>
        <v>1.7381761922879133E-2</v>
      </c>
    </row>
    <row r="13" spans="1:71" ht="15.75" x14ac:dyDescent="0.25">
      <c r="A13" s="7" t="s">
        <v>55</v>
      </c>
      <c r="B13" s="271">
        <v>9</v>
      </c>
      <c r="C13" s="272">
        <v>5.75</v>
      </c>
      <c r="E13" s="210"/>
      <c r="F13" s="210" t="s">
        <v>152</v>
      </c>
      <c r="G13" s="217">
        <f>B22</f>
        <v>0.78333333333333333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0</v>
      </c>
      <c r="R13" s="221">
        <f t="shared" si="0"/>
        <v>0</v>
      </c>
      <c r="S13" s="221">
        <f t="shared" si="1"/>
        <v>0</v>
      </c>
      <c r="T13" s="226">
        <f>IF((Q13+P13)=0,0,S13*P14/4*P13/L13)</f>
        <v>0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0</v>
      </c>
      <c r="Y13" s="252">
        <f t="shared" si="7"/>
        <v>0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1.7047862768587935E-10</v>
      </c>
      <c r="BM13" s="31">
        <f>BI57+1</f>
        <v>9</v>
      </c>
      <c r="BN13" s="31">
        <v>9</v>
      </c>
      <c r="BO13" s="107">
        <f>$H$34*H48</f>
        <v>4.8072160948784197E-11</v>
      </c>
      <c r="BQ13" s="31">
        <f>BM7+1</f>
        <v>4</v>
      </c>
      <c r="BR13" s="31">
        <v>3</v>
      </c>
      <c r="BS13" s="107">
        <f>$H$29*H42</f>
        <v>8.6709605872665862E-3</v>
      </c>
    </row>
    <row r="14" spans="1:71" ht="15.75" x14ac:dyDescent="0.25">
      <c r="A14" s="7" t="s">
        <v>58</v>
      </c>
      <c r="B14" s="271">
        <v>4</v>
      </c>
      <c r="C14" s="272">
        <v>4</v>
      </c>
      <c r="E14" s="210"/>
      <c r="F14" s="210" t="s">
        <v>153</v>
      </c>
      <c r="G14" s="215">
        <f>C22</f>
        <v>0.21666666666666667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0.22858131487889274</v>
      </c>
      <c r="T14" s="226">
        <f>S14*P14^2.7/(Q14^2.7+P14^2.7)</f>
        <v>0.11429065743944637</v>
      </c>
      <c r="U14" s="228">
        <f>S14*Q14^2.7/(Q14^2.7+P14^2.7)</f>
        <v>0.11429065743944637</v>
      </c>
      <c r="V14" s="218">
        <f>$G$17</f>
        <v>0.56999999999999995</v>
      </c>
      <c r="W14" s="216">
        <f>$H$17</f>
        <v>0.56999999999999995</v>
      </c>
      <c r="X14" s="251">
        <f t="shared" si="7"/>
        <v>6.5145674740484424E-2</v>
      </c>
      <c r="Y14" s="252">
        <f t="shared" si="7"/>
        <v>6.5145674740484424E-2</v>
      </c>
      <c r="Z14" s="199"/>
      <c r="AA14" s="244">
        <f t="shared" si="8"/>
        <v>6.5145674740484424E-2</v>
      </c>
      <c r="AB14" s="245">
        <f t="shared" si="9"/>
        <v>0.93485432525951562</v>
      </c>
      <c r="AC14" s="245">
        <f>PRODUCT(AB15:AB$16)*AA14*PRODUCT(AB$4:AB13)</f>
        <v>4.1632384212549778E-2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6.5145674740484424E-2</v>
      </c>
      <c r="AH14" s="247">
        <f t="shared" si="2"/>
        <v>0.93485432525951562</v>
      </c>
      <c r="AI14" s="247">
        <f>AG14*PRODUCT(AH3:AH13)*PRODUCT(AH15:AH17)</f>
        <v>5.9564688450787606E-2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1.4639334678822212E-2</v>
      </c>
      <c r="BM14" s="31">
        <f>BQ39+1</f>
        <v>10</v>
      </c>
      <c r="BN14" s="31">
        <v>10</v>
      </c>
      <c r="BO14" s="107">
        <f>$H$35*H49</f>
        <v>1.6327674248986003E-13</v>
      </c>
      <c r="BQ14" s="31">
        <f>BQ10+1</f>
        <v>5</v>
      </c>
      <c r="BR14" s="31">
        <v>0</v>
      </c>
      <c r="BS14" s="107">
        <f>$H$30*H39</f>
        <v>4.4192267274837424E-2</v>
      </c>
    </row>
    <row r="15" spans="1:71" ht="15.75" x14ac:dyDescent="0.25">
      <c r="A15" s="162" t="s">
        <v>62</v>
      </c>
      <c r="B15" s="273">
        <v>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7.3028899249154115E-3</v>
      </c>
      <c r="BQ15" s="31">
        <f>BQ11+1</f>
        <v>5</v>
      </c>
      <c r="BR15" s="31">
        <v>1</v>
      </c>
      <c r="BS15" s="107">
        <f>$H$30*H40</f>
        <v>2.9285225481759353E-2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1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2.9309030771664467E-3</v>
      </c>
      <c r="BQ16" s="31">
        <f>BQ12+1</f>
        <v>5</v>
      </c>
      <c r="BR16" s="31">
        <v>2</v>
      </c>
      <c r="BS16" s="107">
        <f>$H$30*H41</f>
        <v>8.7629671163442207E-3</v>
      </c>
    </row>
    <row r="17" spans="1:71" x14ac:dyDescent="0.25">
      <c r="A17" s="161" t="s">
        <v>69</v>
      </c>
      <c r="B17" s="275" t="s">
        <v>70</v>
      </c>
      <c r="C17" s="276" t="s">
        <v>186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6.7138145364937086E-4</v>
      </c>
      <c r="BQ17" s="31">
        <f>BQ13+1</f>
        <v>5</v>
      </c>
      <c r="BR17" s="31">
        <v>3</v>
      </c>
      <c r="BS17" s="107">
        <f>$H$30*H42</f>
        <v>4.3714407567232352E-3</v>
      </c>
    </row>
    <row r="18" spans="1:71" x14ac:dyDescent="0.25">
      <c r="A18" s="161" t="s">
        <v>73</v>
      </c>
      <c r="B18" s="275">
        <v>20</v>
      </c>
      <c r="C18" s="276">
        <v>12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0.59743359182342426</v>
      </c>
      <c r="AC18" s="159">
        <f>SUM(AC4:AC16)</f>
        <v>0.3253587980715843</v>
      </c>
      <c r="AD18" s="159">
        <f>SUM(AD3:AD17)</f>
        <v>6.9378147037129384E-2</v>
      </c>
      <c r="AE18" s="159">
        <f>IF((1-AB18-AC18-AD18)&lt;0,(1-AB18-AC18-AD18)-1,1-AB18-AC18-AD18)</f>
        <v>7.829463067862058E-3</v>
      </c>
      <c r="AF18" s="197"/>
      <c r="AG18" s="157"/>
      <c r="AH18" s="160">
        <f>PRODUCT(AH3:AH17)</f>
        <v>0.85476598182119379</v>
      </c>
      <c r="AI18" s="159">
        <f>SUM(AI3:AI17)</f>
        <v>8.8695895014570023E-2</v>
      </c>
      <c r="AJ18" s="159">
        <f>SUM(AJ3:AJ17)</f>
        <v>2.2357261082588962E-3</v>
      </c>
      <c r="AK18" s="159">
        <f>IF((1-AH18-AI18-AJ18)&lt;0,(1-AH18-AI18-AJ18)-1,(1-AH18-AI18-AJ18))</f>
        <v>5.4302397055977294E-2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9.3645908191963625E-5</v>
      </c>
      <c r="BQ18" s="31">
        <f>BM8+1</f>
        <v>5</v>
      </c>
      <c r="BR18" s="31">
        <v>4</v>
      </c>
      <c r="BS18" s="107">
        <f>$H$30*H43</f>
        <v>1.7544108287623347E-3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8.4811583062501097E-6</v>
      </c>
      <c r="BQ19" s="31">
        <f>BQ15+1</f>
        <v>6</v>
      </c>
      <c r="BR19" s="31">
        <v>1</v>
      </c>
      <c r="BS19" s="107">
        <f>$H$31*H40</f>
        <v>1.1004134083406612E-2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5.1672609385143081E-7</v>
      </c>
      <c r="BQ20" s="31">
        <f>BQ16+1</f>
        <v>6</v>
      </c>
      <c r="BR20" s="31">
        <v>2</v>
      </c>
      <c r="BS20" s="107">
        <f>$H$31*H41</f>
        <v>3.2927479140222654E-3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2.1520636260585363E-8</v>
      </c>
      <c r="BQ21" s="31">
        <f>BQ17+1</f>
        <v>6</v>
      </c>
      <c r="BR21" s="31">
        <v>3</v>
      </c>
      <c r="BS21" s="107">
        <f>$H$31*H42</f>
        <v>1.6426003021425611E-3</v>
      </c>
    </row>
    <row r="22" spans="1:71" x14ac:dyDescent="0.25">
      <c r="A22" s="26" t="s">
        <v>81</v>
      </c>
      <c r="B22" s="169">
        <f>(B6)/((B6)+(C6))</f>
        <v>0.78333333333333333</v>
      </c>
      <c r="C22" s="170">
        <f>1-B22</f>
        <v>0.21666666666666667</v>
      </c>
      <c r="V22" s="171">
        <f>SUM(V25:V35)</f>
        <v>1</v>
      </c>
      <c r="AS22" s="82">
        <f>Y23+AA23+AC23+AE23+AG23+AI23+AK23+AM23+AO23+AQ23+AS23</f>
        <v>1.0000000000000007</v>
      </c>
      <c r="BI22" s="31">
        <v>1</v>
      </c>
      <c r="BJ22" s="31">
        <v>10</v>
      </c>
      <c r="BK22" s="107">
        <f t="shared" si="12"/>
        <v>6.1634461671734312E-10</v>
      </c>
      <c r="BQ22" s="31">
        <f>BQ18+1</f>
        <v>6</v>
      </c>
      <c r="BR22" s="31">
        <v>4</v>
      </c>
      <c r="BS22" s="107">
        <f>$H$31*H43</f>
        <v>6.5923248598874799E-4</v>
      </c>
    </row>
    <row r="23" spans="1:71" ht="15.75" thickBot="1" x14ac:dyDescent="0.3">
      <c r="A23" s="40" t="s">
        <v>82</v>
      </c>
      <c r="B23" s="56">
        <f>((B22^2.8)/((B22^2.8)+(C22^2.8)))*B21</f>
        <v>4.8668278626662023</v>
      </c>
      <c r="C23" s="57">
        <f>B21-B23</f>
        <v>0.13317213733379774</v>
      </c>
      <c r="D23" s="149">
        <f>SUM(D25:D30)</f>
        <v>1</v>
      </c>
      <c r="E23" s="149">
        <f>SUM(E25:E30)</f>
        <v>1</v>
      </c>
      <c r="H23" s="229">
        <f>SUM(H25:H35)</f>
        <v>0.99999659206589842</v>
      </c>
      <c r="I23" s="81"/>
      <c r="J23" s="229">
        <f>SUM(J25:J35)</f>
        <v>1.0000000000000004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1.0050760126517704</v>
      </c>
      <c r="V23" s="171">
        <f>SUM(V25:V34)</f>
        <v>0.23672579313674585</v>
      </c>
      <c r="Y23" s="168">
        <f>SUM(Y25:Y35)</f>
        <v>1.796526618339006E-16</v>
      </c>
      <c r="Z23" s="81"/>
      <c r="AA23" s="168">
        <f>SUM(AA25:AA35)</f>
        <v>6.5655670938183166E-14</v>
      </c>
      <c r="AB23" s="81"/>
      <c r="AC23" s="168">
        <f>SUM(AC25:AC35)</f>
        <v>1.07975362874045E-11</v>
      </c>
      <c r="AD23" s="81"/>
      <c r="AE23" s="168">
        <f>SUM(AE25:AE35)</f>
        <v>1.0522892757338625E-9</v>
      </c>
      <c r="AF23" s="81"/>
      <c r="AG23" s="168">
        <f>SUM(AG25:AG35)</f>
        <v>6.7300383710373075E-8</v>
      </c>
      <c r="AH23" s="81"/>
      <c r="AI23" s="168">
        <f>SUM(AI25:AI35)</f>
        <v>2.9515289349595526E-6</v>
      </c>
      <c r="AJ23" s="81"/>
      <c r="AK23" s="168">
        <f>SUM(AK25:AK35)</f>
        <v>8.9891849633145696E-5</v>
      </c>
      <c r="AL23" s="81"/>
      <c r="AM23" s="168">
        <f>SUM(AM25:AM35)</f>
        <v>1.8773607746493896E-3</v>
      </c>
      <c r="AN23" s="81"/>
      <c r="AO23" s="168">
        <f>SUM(AO25:AO35)</f>
        <v>2.5731576156536203E-2</v>
      </c>
      <c r="AP23" s="81"/>
      <c r="AQ23" s="168">
        <f>SUM(AQ25:AQ35)</f>
        <v>0.20902394446345587</v>
      </c>
      <c r="AR23" s="81"/>
      <c r="AS23" s="168">
        <f>SUM(AS25:AS35)</f>
        <v>0.76327420686325465</v>
      </c>
      <c r="BI23" s="31">
        <f t="shared" ref="BI23:BI30" si="15">BI15+1</f>
        <v>2</v>
      </c>
      <c r="BJ23" s="31">
        <v>3</v>
      </c>
      <c r="BK23" s="107">
        <f t="shared" ref="BK23:BK30" si="16">$H$27*H42</f>
        <v>1.2183995612991844E-2</v>
      </c>
      <c r="BQ23" s="31">
        <f>BM9+1</f>
        <v>6</v>
      </c>
      <c r="BR23" s="31">
        <v>5</v>
      </c>
      <c r="BS23" s="107">
        <f>$H$31*H44</f>
        <v>1.5101026990080812E-4</v>
      </c>
    </row>
    <row r="24" spans="1:71" ht="15.75" thickBot="1" x14ac:dyDescent="0.3">
      <c r="A24" s="26" t="s">
        <v>83</v>
      </c>
      <c r="B24" s="64">
        <f>B23/B21</f>
        <v>0.97336557253324041</v>
      </c>
      <c r="C24" s="65">
        <f>C23/B21</f>
        <v>2.6634427466759546E-2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4.8898601240677901E-3</v>
      </c>
      <c r="BQ24" s="31">
        <f>BI49+1</f>
        <v>7</v>
      </c>
      <c r="BR24" s="31">
        <v>0</v>
      </c>
      <c r="BS24" s="107">
        <f t="shared" ref="BS24:BS30" si="17">$H$32*H39</f>
        <v>4.7204707136847407E-3</v>
      </c>
    </row>
    <row r="25" spans="1:71" x14ac:dyDescent="0.25">
      <c r="A25" s="26" t="s">
        <v>108</v>
      </c>
      <c r="B25" s="172">
        <f>1/(1+EXP(-3.1416*4*((B11/(B11+C8))-(3.1416/6))))</f>
        <v>0.14091434514436638</v>
      </c>
      <c r="C25" s="170">
        <f>1/(1+EXP(-3.1416*4*((C11/(C11+B8))-(3.1416/6))))</f>
        <v>0.10796351322490928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4.1046339864347664E-2</v>
      </c>
      <c r="I25" s="97">
        <v>0</v>
      </c>
      <c r="J25" s="98">
        <f t="shared" ref="J25:J35" si="18">Y25+AA25+AC25+AE25+AG25+AI25+AK25+AM25+AO25+AQ25+AS25</f>
        <v>6.8704439164644762E-2</v>
      </c>
      <c r="K25" s="97">
        <v>0</v>
      </c>
      <c r="L25" s="98">
        <f>AB18</f>
        <v>0.59743359182342426</v>
      </c>
      <c r="M25" s="85">
        <v>0</v>
      </c>
      <c r="N25" s="173">
        <f>(1-$B$24)^$B$21</f>
        <v>1.340345708516652E-8</v>
      </c>
      <c r="O25" s="72">
        <v>0</v>
      </c>
      <c r="P25" s="173">
        <f t="shared" ref="P25:P30" si="19">N25</f>
        <v>1.340345708516652E-8</v>
      </c>
      <c r="Q25" s="28">
        <v>0</v>
      </c>
      <c r="R25" s="174">
        <f>P25*N25</f>
        <v>1.796526618339006E-16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1.796526618339006E-16</v>
      </c>
      <c r="W25" s="134">
        <f>B31</f>
        <v>0.24136683755342039</v>
      </c>
      <c r="X25" s="28">
        <v>0</v>
      </c>
      <c r="Y25" s="176">
        <f>V25</f>
        <v>1.796526618339006E-16</v>
      </c>
      <c r="Z25" s="28">
        <v>0</v>
      </c>
      <c r="AA25" s="176">
        <f>((1-W25)^Z26)*V26</f>
        <v>4.9808569276385884E-14</v>
      </c>
      <c r="AB25" s="28">
        <v>0</v>
      </c>
      <c r="AC25" s="176">
        <f>(((1-$W$25)^AB27))*V27</f>
        <v>6.2142442453622063E-12</v>
      </c>
      <c r="AD25" s="28">
        <v>0</v>
      </c>
      <c r="AE25" s="176">
        <f>(((1-$W$25)^AB28))*V28</f>
        <v>4.5944191577981482E-10</v>
      </c>
      <c r="AF25" s="28">
        <v>0</v>
      </c>
      <c r="AG25" s="176">
        <f>(((1-$W$25)^AB29))*V29</f>
        <v>2.2291784370364606E-8</v>
      </c>
      <c r="AH25" s="28">
        <v>0</v>
      </c>
      <c r="AI25" s="176">
        <f>(((1-$W$25)^AB30))*V30</f>
        <v>7.4166222809731193E-7</v>
      </c>
      <c r="AJ25" s="28">
        <v>0</v>
      </c>
      <c r="AK25" s="176">
        <f>(((1-$W$25)^AB31))*V31</f>
        <v>1.7136071134392135E-5</v>
      </c>
      <c r="AL25" s="28">
        <v>0</v>
      </c>
      <c r="AM25" s="176">
        <f>(((1-$W$25)^AB32))*V32</f>
        <v>2.7150041793982341E-4</v>
      </c>
      <c r="AN25" s="28">
        <v>0</v>
      </c>
      <c r="AO25" s="176">
        <f>(((1-$W$25)^AB33))*V33</f>
        <v>2.823065635049137E-3</v>
      </c>
      <c r="AP25" s="28">
        <v>0</v>
      </c>
      <c r="AQ25" s="176">
        <f>(((1-$W$25)^AB34))*V34</f>
        <v>1.7397323873269383E-2</v>
      </c>
      <c r="AR25" s="28">
        <v>0</v>
      </c>
      <c r="AS25" s="176">
        <f>(((1-$W$25)^AB35))*V35</f>
        <v>4.819464874753341E-2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1.1201194006772287E-3</v>
      </c>
      <c r="BQ25" s="31">
        <f>BQ19+1</f>
        <v>7</v>
      </c>
      <c r="BR25" s="31">
        <v>1</v>
      </c>
      <c r="BS25" s="107">
        <f t="shared" si="17"/>
        <v>3.1281501890492833E-3</v>
      </c>
    </row>
    <row r="26" spans="1:71" x14ac:dyDescent="0.25">
      <c r="A26" s="40" t="s">
        <v>109</v>
      </c>
      <c r="B26" s="169">
        <f>1/(1+EXP(-3.1416*4*((B10/(B10+C9))-(3.1416/6))))</f>
        <v>0.21157389933533724</v>
      </c>
      <c r="C26" s="170">
        <f>1/(1+EXP(-3.1416*4*((C10/(C10+B9))-(3.1416/6))))</f>
        <v>0.22183214211185029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0.14839801888806875</v>
      </c>
      <c r="I26" s="138">
        <v>1</v>
      </c>
      <c r="J26" s="86">
        <f t="shared" si="18"/>
        <v>0.21097646142490589</v>
      </c>
      <c r="K26" s="138">
        <v>1</v>
      </c>
      <c r="L26" s="86">
        <f>AC18</f>
        <v>0.3253587980715843</v>
      </c>
      <c r="M26" s="85">
        <v>1</v>
      </c>
      <c r="N26" s="173">
        <f>(($B$24)^M26)*((1-($B$24))^($B$21-M26))*HLOOKUP($B$21,$AV$24:$BF$34,M26+1)</f>
        <v>2.449172916502547E-6</v>
      </c>
      <c r="O26" s="72">
        <v>1</v>
      </c>
      <c r="P26" s="173">
        <f t="shared" si="19"/>
        <v>2.449172916502547E-6</v>
      </c>
      <c r="Q26" s="28">
        <v>1</v>
      </c>
      <c r="R26" s="174">
        <f>N26*P25+P26*N25</f>
        <v>6.5654768160988023E-14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6.5655670938183166E-14</v>
      </c>
      <c r="W26" s="177"/>
      <c r="X26" s="28">
        <v>1</v>
      </c>
      <c r="Y26" s="174"/>
      <c r="Z26" s="28">
        <v>1</v>
      </c>
      <c r="AA26" s="176">
        <f>(1-((1-W25)^Z26))*V26</f>
        <v>1.5847101661797279E-14</v>
      </c>
      <c r="AB26" s="28">
        <v>1</v>
      </c>
      <c r="AC26" s="176">
        <f>((($W$25)^M26)*((1-($W$25))^($U$27-M26))*HLOOKUP($U$27,$AV$24:$BF$34,M26+1))*V27</f>
        <v>3.9542497099663388E-12</v>
      </c>
      <c r="AD26" s="28">
        <v>1</v>
      </c>
      <c r="AE26" s="176">
        <f>((($W$25)^M26)*((1-($W$25))^($U$28-M26))*HLOOKUP($U$28,$AV$24:$BF$34,M26+1))*V28</f>
        <v>4.3852832069834914E-10</v>
      </c>
      <c r="AF26" s="28">
        <v>1</v>
      </c>
      <c r="AG26" s="176">
        <f>((($W$25)^M26)*((1-($W$25))^($U$29-M26))*HLOOKUP($U$29,$AV$24:$BF$34,M26+1))*V29</f>
        <v>2.8369429459401179E-8</v>
      </c>
      <c r="AH26" s="28">
        <v>1</v>
      </c>
      <c r="AI26" s="176">
        <f>((($W$25)^M26)*((1-($W$25))^($U$30-M26))*HLOOKUP($U$30,$AV$24:$BF$34,M26+1))*V30</f>
        <v>1.1798368130346343E-6</v>
      </c>
      <c r="AJ26" s="28">
        <v>1</v>
      </c>
      <c r="AK26" s="176">
        <f>((($W$25)^M26)*((1-($W$25))^($U$31-M26))*HLOOKUP($U$31,$AV$24:$BF$34,M26+1))*V31</f>
        <v>3.2712089340728738E-5</v>
      </c>
      <c r="AL26" s="28">
        <v>1</v>
      </c>
      <c r="AM26" s="176">
        <f>((($W$25)^Q26)*((1-($W$25))^($U$32-Q26))*HLOOKUP($U$32,$AV$24:$BF$34,Q26+1))*V32</f>
        <v>6.0466428784712025E-4</v>
      </c>
      <c r="AN26" s="28">
        <v>1</v>
      </c>
      <c r="AO26" s="176">
        <f>((($W$25)^Q26)*((1-($W$25))^($U$33-Q26))*HLOOKUP($U$33,$AV$24:$BF$34,Q26+1))*V33</f>
        <v>7.1854957918271066E-3</v>
      </c>
      <c r="AP26" s="28">
        <v>1</v>
      </c>
      <c r="AQ26" s="176">
        <f>((($W$25)^Q26)*((1-($W$25))^($U$34-Q26))*HLOOKUP($U$34,$AV$24:$BF$34,Q26+1))*V34</f>
        <v>4.981621589645982E-2</v>
      </c>
      <c r="AR26" s="28">
        <v>1</v>
      </c>
      <c r="AS26" s="176">
        <f>((($W$25)^Q26)*((1-($W$25))^($U$35-Q26))*HLOOKUP($U$35,$AV$24:$BF$34,Q26+1))*V35</f>
        <v>0.1533361647106902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1.5623696184887214E-4</v>
      </c>
      <c r="BQ26" s="31">
        <f>BQ20+1</f>
        <v>7</v>
      </c>
      <c r="BR26" s="31">
        <v>2</v>
      </c>
      <c r="BS26" s="107">
        <f t="shared" si="17"/>
        <v>9.3603094361348316E-4</v>
      </c>
    </row>
    <row r="27" spans="1:71" x14ac:dyDescent="0.25">
      <c r="A27" s="26" t="s">
        <v>110</v>
      </c>
      <c r="B27" s="169">
        <f>1/(1+EXP(-3.1416*4*((B12/(B12+C7))-(3.1416/6))))</f>
        <v>0.20202480276155996</v>
      </c>
      <c r="C27" s="170">
        <f>1/(1+EXP(-3.1416*4*((C12/(C12+B7))-(3.1416/6))))</f>
        <v>7.0347275949534965E-2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0.2475842891921794</v>
      </c>
      <c r="I27" s="138">
        <v>2</v>
      </c>
      <c r="J27" s="86">
        <f t="shared" si="18"/>
        <v>0.29153810060714891</v>
      </c>
      <c r="K27" s="138">
        <v>2</v>
      </c>
      <c r="L27" s="86">
        <f>AD18</f>
        <v>6.9378147037129384E-2</v>
      </c>
      <c r="M27" s="85">
        <v>2</v>
      </c>
      <c r="N27" s="173">
        <f>(($B$24)^M27)*((1-($B$24))^($B$21-M27))*HLOOKUP($B$21,$AV$24:$BF$34,M27+1)</f>
        <v>1.790119649524754E-4</v>
      </c>
      <c r="O27" s="72">
        <v>2</v>
      </c>
      <c r="P27" s="173">
        <f t="shared" si="19"/>
        <v>1.790119649524754E-4</v>
      </c>
      <c r="Q27" s="28">
        <v>2</v>
      </c>
      <c r="R27" s="174">
        <f>P25*N27+P26*N26+P27*N25</f>
        <v>1.0797206354873266E-11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1.0797536287404499E-11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6.2904233207595402E-13</v>
      </c>
      <c r="AD27" s="28">
        <v>2</v>
      </c>
      <c r="AE27" s="176">
        <f>((($W$25)^M27)*((1-($W$25))^($U$28-M27))*HLOOKUP($U$28,$AV$24:$BF$34,M27+1))*V28</f>
        <v>1.3952223443966039E-10</v>
      </c>
      <c r="AF27" s="28">
        <v>2</v>
      </c>
      <c r="AG27" s="176">
        <f>((($W$25)^M27)*((1-($W$25))^($U$29-M27))*HLOOKUP($U$29,$AV$24:$BF$34,M27+1))*V29</f>
        <v>1.3539032718516331E-8</v>
      </c>
      <c r="AH27" s="28">
        <v>2</v>
      </c>
      <c r="AI27" s="176">
        <f>((($W$25)^M27)*((1-($W$25))^($U$30-M27))*HLOOKUP($U$30,$AV$24:$BF$34,M27+1))*V30</f>
        <v>7.507541048505865E-7</v>
      </c>
      <c r="AJ27" s="28">
        <v>2</v>
      </c>
      <c r="AK27" s="176">
        <f>((($W$25)^M27)*((1-($W$25))^($U$31-M27))*HLOOKUP($U$31,$AV$24:$BF$34,M27+1))*V31</f>
        <v>2.6019207783091842E-5</v>
      </c>
      <c r="AL27" s="28">
        <v>2</v>
      </c>
      <c r="AM27" s="176">
        <f>((($W$25)^Q27)*((1-($W$25))^($U$32-Q27))*HLOOKUP($U$32,$AV$24:$BF$34,Q27+1))*V32</f>
        <v>5.771402338983335E-4</v>
      </c>
      <c r="AN27" s="28">
        <v>2</v>
      </c>
      <c r="AO27" s="176">
        <f>((($W$25)^Q27)*((1-($W$25))^($U$33-Q27))*HLOOKUP($U$33,$AV$24:$BF$34,Q27+1))*V33</f>
        <v>8.0014843600657373E-3</v>
      </c>
      <c r="AP27" s="28">
        <v>2</v>
      </c>
      <c r="AQ27" s="176">
        <f>((($W$25)^Q27)*((1-($W$25))^($U$34-Q27))*HLOOKUP($U$34,$AV$24:$BF$34,Q27+1))*V34</f>
        <v>6.3398138046218716E-2</v>
      </c>
      <c r="AR27" s="28">
        <v>2</v>
      </c>
      <c r="AS27" s="176">
        <f>((($W$25)^Q27)*((1-($W$25))^($U$35-Q27))*HLOOKUP($U$35,$AV$24:$BF$34,Q27+1))*V35</f>
        <v>0.21953455432589417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1.4149795034414075E-5</v>
      </c>
      <c r="BQ27" s="31">
        <f>BQ21+1</f>
        <v>7</v>
      </c>
      <c r="BR27" s="31">
        <v>3</v>
      </c>
      <c r="BS27" s="107">
        <f t="shared" si="17"/>
        <v>4.6694273322494536E-4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0.25265666781830964</v>
      </c>
      <c r="I28" s="138">
        <v>3</v>
      </c>
      <c r="J28" s="86">
        <f t="shared" si="18"/>
        <v>0.23873298879334079</v>
      </c>
      <c r="K28" s="138">
        <v>3</v>
      </c>
      <c r="L28" s="86">
        <f>AE18</f>
        <v>7.829463067862058E-3</v>
      </c>
      <c r="M28" s="85">
        <v>3</v>
      </c>
      <c r="N28" s="173">
        <f>(($B$24)^M28)*((1-($B$24))^($B$21-M28))*HLOOKUP($B$21,$AV$24:$BF$34,M28+1)</f>
        <v>6.5420622978934837E-3</v>
      </c>
      <c r="O28" s="72">
        <v>3</v>
      </c>
      <c r="P28" s="173">
        <f t="shared" si="19"/>
        <v>6.5420622978934837E-3</v>
      </c>
      <c r="Q28" s="28">
        <v>3</v>
      </c>
      <c r="R28" s="174">
        <f>P25*N28+P26*N27+P27*N26+P28*N25</f>
        <v>1.0522350150996142E-9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1.0522892757338625E-9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1.4796804816038302E-11</v>
      </c>
      <c r="AF28" s="28">
        <v>3</v>
      </c>
      <c r="AG28" s="176">
        <f>((($W$25)^M28)*((1-($W$25))^($U$29-M28))*HLOOKUP($U$29,$AV$24:$BF$34,M28+1))*V29</f>
        <v>2.8717204155798085E-9</v>
      </c>
      <c r="AH28" s="28">
        <v>3</v>
      </c>
      <c r="AI28" s="176">
        <f>((($W$25)^M28)*((1-($W$25))^($U$30-M28))*HLOOKUP($U$30,$AV$24:$BF$34,M28+1))*V30</f>
        <v>2.3886003544011311E-7</v>
      </c>
      <c r="AJ28" s="28">
        <v>3</v>
      </c>
      <c r="AK28" s="176">
        <f>((($W$25)^M28)*((1-($W$25))^($U$31-M28))*HLOOKUP($U$31,$AV$24:$BF$34,M28+1))*V31</f>
        <v>1.1037699921609472E-5</v>
      </c>
      <c r="AL28" s="28">
        <v>3</v>
      </c>
      <c r="AM28" s="176">
        <f>((($W$25)^Q28)*((1-($W$25))^($U$32-Q28))*HLOOKUP($U$32,$AV$24:$BF$34,Q28+1))*V32</f>
        <v>3.0603836824909724E-4</v>
      </c>
      <c r="AN28" s="28">
        <v>3</v>
      </c>
      <c r="AO28" s="176">
        <f>((($W$25)^Q28)*((1-($W$25))^($U$33-Q28))*HLOOKUP($U$33,$AV$24:$BF$34,Q28+1))*V33</f>
        <v>5.0915068608227776E-3</v>
      </c>
      <c r="AP28" s="28">
        <v>3</v>
      </c>
      <c r="AQ28" s="176">
        <f>((($W$25)^Q28)*((1-($W$25))^($U$34-Q28))*HLOOKUP($U$34,$AV$24:$BF$34,Q28+1))*V34</f>
        <v>4.7065108632781689E-2</v>
      </c>
      <c r="AR28" s="28">
        <v>3</v>
      </c>
      <c r="AS28" s="176">
        <f>((($W$25)^Q28)*((1-($W$25))^($U$35-Q28))*HLOOKUP($U$35,$AV$24:$BF$34,Q28+1))*V35</f>
        <v>0.18625905548501295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8.6209548895496571E-7</v>
      </c>
      <c r="BQ28" s="31">
        <f>BQ22+1</f>
        <v>7</v>
      </c>
      <c r="BR28" s="31">
        <v>4</v>
      </c>
      <c r="BS28" s="107">
        <f t="shared" si="17"/>
        <v>1.8740031792076553E-4</v>
      </c>
    </row>
    <row r="29" spans="1:71" x14ac:dyDescent="0.25">
      <c r="A29" s="26" t="s">
        <v>112</v>
      </c>
      <c r="B29" s="169">
        <f>1/(1+EXP(-3.1416*4*((B14/(B14+C13))-(3.1416/6))))</f>
        <v>0.19398509852154583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0.17619783212353304</v>
      </c>
      <c r="I29" s="138">
        <v>4</v>
      </c>
      <c r="J29" s="86">
        <f t="shared" si="18"/>
        <v>0.12829166162552369</v>
      </c>
      <c r="K29" s="138">
        <v>4</v>
      </c>
      <c r="L29" s="86"/>
      <c r="M29" s="85">
        <v>4</v>
      </c>
      <c r="N29" s="173">
        <f>(($B$24)^M29)*((1-($B$24))^($B$21-M29))*HLOOKUP($B$21,$AV$24:$BF$34,M29+1)</f>
        <v>0.11954111313420213</v>
      </c>
      <c r="O29" s="72">
        <v>4</v>
      </c>
      <c r="P29" s="173">
        <f t="shared" si="19"/>
        <v>0.11954111313420213</v>
      </c>
      <c r="Q29" s="28">
        <v>4</v>
      </c>
      <c r="R29" s="174">
        <f>P25*N29+P26*N28+P27*N27+P28*N26+P29*N25</f>
        <v>6.7295095551907195E-8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6.7300383710373075E-8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2.2841674651116406E-10</v>
      </c>
      <c r="AH29" s="28">
        <v>4</v>
      </c>
      <c r="AI29" s="176">
        <f>((($W$25)^M29)*((1-($W$25))^($U$30-M29))*HLOOKUP($U$30,$AV$24:$BF$34,M29+1))*V30</f>
        <v>3.7997871847671652E-8</v>
      </c>
      <c r="AJ29" s="28">
        <v>4</v>
      </c>
      <c r="AK29" s="176">
        <f>((($W$25)^M29)*((1-($W$25))^($U$31-M29))*HLOOKUP($U$31,$AV$24:$BF$34,M29+1))*V31</f>
        <v>2.6338171620563526E-6</v>
      </c>
      <c r="AL29" s="28">
        <v>4</v>
      </c>
      <c r="AM29" s="176">
        <f>((($W$25)^Q29)*((1-($W$25))^($U$32-Q29))*HLOOKUP($U$32,$AV$24:$BF$34,Q29+1))*V32</f>
        <v>9.7369211854741699E-5</v>
      </c>
      <c r="AN29" s="28">
        <v>4</v>
      </c>
      <c r="AO29" s="176">
        <f>((($W$25)^Q29)*((1-($W$25))^($U$33-Q29))*HLOOKUP($U$33,$AV$24:$BF$34,Q29+1))*V33</f>
        <v>2.0248932063144441E-3</v>
      </c>
      <c r="AP29" s="28">
        <v>4</v>
      </c>
      <c r="AQ29" s="176">
        <f>((($W$25)^Q29)*((1-($W$25))^($U$34-Q29))*HLOOKUP($U$34,$AV$24:$BF$34,Q29+1))*V34</f>
        <v>2.246136273525209E-2</v>
      </c>
      <c r="AR29" s="28">
        <v>4</v>
      </c>
      <c r="AS29" s="176">
        <f>((($W$25)^Q29)*((1-($W$25))^($U$35-Q29))*HLOOKUP($U$35,$AV$24:$BF$34,Q29+1))*V35</f>
        <v>0.10370536442865178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3.5904599478240444E-8</v>
      </c>
      <c r="BQ29" s="31">
        <f>BQ23+1</f>
        <v>7</v>
      </c>
      <c r="BR29" s="31">
        <v>5</v>
      </c>
      <c r="BS29" s="107">
        <f t="shared" si="17"/>
        <v>4.292775794607166E-5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8.8829648899822644E-2</v>
      </c>
      <c r="I30" s="138">
        <v>5</v>
      </c>
      <c r="J30" s="86">
        <f t="shared" si="18"/>
        <v>4.7274524343096064E-2</v>
      </c>
      <c r="K30" s="138">
        <v>5</v>
      </c>
      <c r="L30" s="86"/>
      <c r="M30" s="85">
        <v>5</v>
      </c>
      <c r="N30" s="173">
        <f>(($B$24)^M30)*((1-($B$24))^($B$21-M30))*HLOOKUP($B$21,$AV$24:$BF$34,M30+1)</f>
        <v>0.87373535002657832</v>
      </c>
      <c r="O30" s="72">
        <v>5</v>
      </c>
      <c r="P30" s="173">
        <f t="shared" si="19"/>
        <v>0.87373535002657832</v>
      </c>
      <c r="Q30" s="28">
        <v>5</v>
      </c>
      <c r="R30" s="174">
        <f>P25*N30+P26*N29+P27*N28+P28*N27+P29*N26+P30*N25</f>
        <v>2.9511907155042956E-6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2.9515289349595526E-6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2.4178816892356642E-9</v>
      </c>
      <c r="AJ30" s="28">
        <v>5</v>
      </c>
      <c r="AK30" s="176">
        <f>((($W$25)^M30)*((1-($W$25))^($U$31-M30))*HLOOKUP($U$31,$AV$24:$BF$34,M30+1))*V31</f>
        <v>3.3519026088935639E-7</v>
      </c>
      <c r="AL30" s="28">
        <v>5</v>
      </c>
      <c r="AM30" s="176">
        <f>((($W$25)^Q30)*((1-($W$25))^($U$32-Q30))*HLOOKUP($U$32,$AV$24:$BF$34,Q30+1))*V32</f>
        <v>1.8587401582595272E-5</v>
      </c>
      <c r="AN30" s="28">
        <v>5</v>
      </c>
      <c r="AO30" s="176">
        <f>((($W$25)^Q30)*((1-($W$25))^($U$33-Q30))*HLOOKUP($U$33,$AV$24:$BF$34,Q30+1))*V33</f>
        <v>5.1539225415913822E-4</v>
      </c>
      <c r="AP30" s="28">
        <v>5</v>
      </c>
      <c r="AQ30" s="176">
        <f>((($W$25)^Q30)*((1-($W$25))^($U$34-Q30))*HLOOKUP($U$34,$AV$24:$BF$34,Q30+1))*V34</f>
        <v>7.1463104421431107E-3</v>
      </c>
      <c r="AR30" s="28">
        <v>5</v>
      </c>
      <c r="AS30" s="176">
        <f>((($W$25)^Q30)*((1-($W$25))^($U$35-Q30))*HLOOKUP($U$35,$AV$24:$BF$34,Q30+1))*V35</f>
        <v>3.9593896637068644E-2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1.0282970417717519E-9</v>
      </c>
      <c r="BQ30" s="31">
        <f>BM10+1</f>
        <v>7</v>
      </c>
      <c r="BR30" s="31">
        <v>6</v>
      </c>
      <c r="BS30" s="107">
        <f t="shared" si="17"/>
        <v>5.987667454400839E-6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0.24136683755342039</v>
      </c>
      <c r="C31" s="61">
        <f>(C25*E25)+(C26*E26)+(C27*E27)+(C28*E28)+(C29*E29)+(C30*E30)/(C25+C26+C27+C28+C29+C30)</f>
        <v>0.19304415738457975</v>
      </c>
      <c r="G31" s="87">
        <v>6</v>
      </c>
      <c r="H31" s="126">
        <f>J31*L25+J30*L26+J29*L27+J28*L28</f>
        <v>3.3378379404468791E-2</v>
      </c>
      <c r="I31" s="138">
        <v>6</v>
      </c>
      <c r="J31" s="86">
        <f t="shared" si="18"/>
        <v>1.20974250543955E-2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8.9877016129990688E-5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8.9891849633145669E-5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1.7774030377795154E-8</v>
      </c>
      <c r="AL31" s="28">
        <v>6</v>
      </c>
      <c r="AM31" s="176">
        <f>((($W$25)^Q31)*((1-($W$25))^($U$32-Q31))*HLOOKUP($U$32,$AV$24:$BF$34,Q31+1))*V32</f>
        <v>1.9712567990296086E-6</v>
      </c>
      <c r="AN31" s="28">
        <v>6</v>
      </c>
      <c r="AO31" s="176">
        <f>((($W$25)^Q31)*((1-($W$25))^($U$33-Q31))*HLOOKUP($U$33,$AV$24:$BF$34,Q31+1))*V33</f>
        <v>8.1988637357175624E-5</v>
      </c>
      <c r="AP31" s="28">
        <v>6</v>
      </c>
      <c r="AQ31" s="176">
        <f>((($W$25)^Q31)*((1-($W$25))^($U$34-Q31))*HLOOKUP($U$34,$AV$24:$BF$34,Q31+1))*V34</f>
        <v>1.5157807813483486E-3</v>
      </c>
      <c r="AR31" s="28">
        <v>6</v>
      </c>
      <c r="AS31" s="176">
        <f>((($W$25)^Q31)*((1-($W$25))^($U$35-Q31))*HLOOKUP($U$35,$AV$24:$BF$34,Q31+1))*V35</f>
        <v>1.0497666604860569E-2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4.9900410445091322E-3</v>
      </c>
      <c r="BQ31" s="31">
        <f t="shared" ref="BQ31:BQ37" si="24">BQ24+1</f>
        <v>8</v>
      </c>
      <c r="BR31" s="31">
        <v>0</v>
      </c>
      <c r="BS31" s="107">
        <f t="shared" ref="BS31:BS38" si="25">$H$33*H39</f>
        <v>1.0179382378358436E-3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9.4884870588494465E-3</v>
      </c>
      <c r="I32" s="138">
        <v>7</v>
      </c>
      <c r="J32" s="86">
        <f t="shared" si="18"/>
        <v>2.1227625516037595E-3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1.87690898228036E-3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1.8773607746493887E-3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8.9596478648336545E-8</v>
      </c>
      <c r="AN32" s="28">
        <v>7</v>
      </c>
      <c r="AO32" s="176">
        <f>((($W$25)^Q32)*((1-($W$25))^($U$33-Q32))*HLOOKUP($U$33,$AV$24:$BF$34,Q32+1))*V33</f>
        <v>7.4530048038333307E-6</v>
      </c>
      <c r="AP32" s="28">
        <v>7</v>
      </c>
      <c r="AQ32" s="176">
        <f>((($W$25)^Q32)*((1-($W$25))^($U$34-Q32))*HLOOKUP($U$34,$AV$24:$BF$34,Q32+1))*V34</f>
        <v>2.0668330043831543E-4</v>
      </c>
      <c r="AR32" s="28">
        <v>7</v>
      </c>
      <c r="AS32" s="176">
        <f>((($W$25)^Q32)*((1-($W$25))^($U$35-Q32))*HLOOKUP($U$35,$AV$24:$BF$34,Q32+1))*V35</f>
        <v>1.9085366498829625E-3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1.1430678265456358E-3</v>
      </c>
      <c r="BQ32" s="31">
        <f t="shared" si="24"/>
        <v>8</v>
      </c>
      <c r="BR32" s="31">
        <v>1</v>
      </c>
      <c r="BS32" s="107">
        <f t="shared" si="25"/>
        <v>6.745648652994379E-4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v>0.35</v>
      </c>
      <c r="G33" s="87">
        <v>8</v>
      </c>
      <c r="H33" s="126">
        <f>J33*L25+J32*L26+J31*L27+J30*L28</f>
        <v>2.046129376126127E-3</v>
      </c>
      <c r="I33" s="138">
        <v>8</v>
      </c>
      <c r="J33" s="86">
        <f t="shared" si="18"/>
        <v>2.4444361541458247E-4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2.57221399128554E-2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2.5731576156536196E-2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2.9640613685576496E-7</v>
      </c>
      <c r="AP33" s="28">
        <v>8</v>
      </c>
      <c r="AQ33" s="176">
        <f>((($W$25)^Q33)*((1-($W$25))^($U$34-Q33))*HLOOKUP($U$34,$AV$24:$BF$34,Q33+1))*V34</f>
        <v>1.6439597249155479E-5</v>
      </c>
      <c r="AR33" s="28">
        <v>8</v>
      </c>
      <c r="AS33" s="176">
        <f>((($W$25)^Q33)*((1-($W$25))^($U$35-Q33))*HLOOKUP($U$35,$AV$24:$BF$34,Q33+1))*V35</f>
        <v>2.2770761202857125E-4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1.594378637658698E-4</v>
      </c>
      <c r="BQ33" s="31">
        <f t="shared" si="24"/>
        <v>8</v>
      </c>
      <c r="BR33" s="31">
        <v>2</v>
      </c>
      <c r="BS33" s="107">
        <f t="shared" si="25"/>
        <v>2.0184887209224314E-4</v>
      </c>
    </row>
    <row r="34" spans="1:71" x14ac:dyDescent="0.25">
      <c r="A34" s="40" t="s">
        <v>117</v>
      </c>
      <c r="B34" s="56">
        <f>B23*2</f>
        <v>9.7336557253324045</v>
      </c>
      <c r="C34" s="57">
        <f>C23*2</f>
        <v>0.26634427466759547</v>
      </c>
      <c r="G34" s="87">
        <v>9</v>
      </c>
      <c r="H34" s="126">
        <f>J34*L25+J33*L26+J32*L27+J31*L28</f>
        <v>3.3148710670480514E-4</v>
      </c>
      <c r="I34" s="138">
        <v>9</v>
      </c>
      <c r="J34" s="86">
        <f t="shared" si="18"/>
        <v>1.668059985902683E-5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0.20889459265375779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0.20902394446345579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5.8115829525182105E-7</v>
      </c>
      <c r="AR34" s="28">
        <v>9</v>
      </c>
      <c r="AS34" s="176">
        <f>((($W$25)^Q34)*((1-($W$25))^($U$35-Q34))*HLOOKUP($U$35,$AV$24:$BF$34,Q34+1))*V35</f>
        <v>1.6099441563775009E-5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1.443968870307483E-5</v>
      </c>
      <c r="BQ34" s="31">
        <f t="shared" si="24"/>
        <v>8</v>
      </c>
      <c r="BR34" s="31">
        <v>3</v>
      </c>
      <c r="BS34" s="107">
        <f t="shared" si="25"/>
        <v>1.0069310707749849E-4</v>
      </c>
    </row>
    <row r="35" spans="1:71" ht="15.75" thickBot="1" x14ac:dyDescent="0.3">
      <c r="G35" s="88">
        <v>10</v>
      </c>
      <c r="H35" s="127">
        <f>J35*L25+J34*L26+J33*L27+J32*L28</f>
        <v>3.9312333488108472E-5</v>
      </c>
      <c r="I35" s="94">
        <v>10</v>
      </c>
      <c r="J35" s="89">
        <f t="shared" si="18"/>
        <v>5.1222006748196894E-7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0.76341346188606729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0.76327420686325409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5.1222006748196894E-7</v>
      </c>
      <c r="BI35" s="31">
        <f t="shared" si="22"/>
        <v>3</v>
      </c>
      <c r="BJ35" s="31">
        <v>8</v>
      </c>
      <c r="BK35" s="107">
        <f t="shared" si="23"/>
        <v>8.7975765462034919E-7</v>
      </c>
      <c r="BQ35" s="31">
        <f t="shared" si="24"/>
        <v>8</v>
      </c>
      <c r="BR35" s="31">
        <v>4</v>
      </c>
      <c r="BS35" s="107">
        <f t="shared" si="25"/>
        <v>4.0411637093969922E-5</v>
      </c>
    </row>
    <row r="36" spans="1:71" ht="15.75" x14ac:dyDescent="0.25">
      <c r="A36" s="285" t="s">
        <v>118</v>
      </c>
      <c r="B36" s="182">
        <f>SUM(BO4:BO14)</f>
        <v>0.11010500831268437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3.6640194307651556E-8</v>
      </c>
      <c r="BQ36" s="31">
        <f t="shared" si="24"/>
        <v>8</v>
      </c>
      <c r="BR36" s="31">
        <v>5</v>
      </c>
      <c r="BS36" s="107">
        <f t="shared" si="25"/>
        <v>9.257086618753292E-6</v>
      </c>
    </row>
    <row r="37" spans="1:71" ht="16.5" thickBot="1" x14ac:dyDescent="0.3">
      <c r="A37" s="110" t="s">
        <v>119</v>
      </c>
      <c r="B37" s="182">
        <f>SUM(BK4:BK59)</f>
        <v>8.8534481358590614E-2</v>
      </c>
      <c r="G37" s="157"/>
      <c r="H37" s="229">
        <f>SUM(H39:H49)</f>
        <v>0.99999999991682842</v>
      </c>
      <c r="I37" s="230"/>
      <c r="J37" s="229">
        <f>SUM(J39:J49)</f>
        <v>0.99999999999999989</v>
      </c>
      <c r="K37" s="229"/>
      <c r="L37" s="229">
        <f>SUM(L39:L49)</f>
        <v>1</v>
      </c>
      <c r="M37" s="230"/>
      <c r="N37" s="231">
        <f>SUM(N39:N49)</f>
        <v>0.99999999999999978</v>
      </c>
      <c r="O37" s="230"/>
      <c r="P37" s="231">
        <f>SUM(P39:P49)</f>
        <v>0.99999999999999978</v>
      </c>
      <c r="Q37" s="230"/>
      <c r="R37" s="229">
        <f>SUM(R39:R49)</f>
        <v>0.99999999999999944</v>
      </c>
      <c r="S37" s="230"/>
      <c r="T37" s="229">
        <f>SUM(T39:T49)</f>
        <v>1</v>
      </c>
      <c r="U37" s="230"/>
      <c r="V37" s="171">
        <f>SUM(V39:V48)</f>
        <v>0.99999780478503153</v>
      </c>
      <c r="W37" s="157"/>
      <c r="X37" s="157"/>
      <c r="Y37" s="168">
        <f>SUM(Y39:Y49)</f>
        <v>3.7424267649364663E-2</v>
      </c>
      <c r="Z37" s="81"/>
      <c r="AA37" s="168">
        <f>SUM(AA39:AA49)</f>
        <v>0.15130119012299292</v>
      </c>
      <c r="AB37" s="81"/>
      <c r="AC37" s="168">
        <f>SUM(AC39:AC49)</f>
        <v>0.26772701054064979</v>
      </c>
      <c r="AD37" s="81"/>
      <c r="AE37" s="168">
        <f>SUM(AE39:AE49)</f>
        <v>0.27169298749121112</v>
      </c>
      <c r="AF37" s="81"/>
      <c r="AG37" s="168">
        <f>SUM(AG39:AG49)</f>
        <v>0.17409905527321984</v>
      </c>
      <c r="AH37" s="81"/>
      <c r="AI37" s="168">
        <f>SUM(AI39:AI49)</f>
        <v>7.3172867222415131E-2</v>
      </c>
      <c r="AJ37" s="81"/>
      <c r="AK37" s="168">
        <f>SUM(AK39:AK49)</f>
        <v>2.0360028178354667E-2</v>
      </c>
      <c r="AL37" s="81"/>
      <c r="AM37" s="168">
        <f>SUM(AM39:AM49)</f>
        <v>3.7327352794777505E-3</v>
      </c>
      <c r="AN37" s="81"/>
      <c r="AO37" s="168">
        <f>SUM(AO39:AO49)</f>
        <v>4.5078262395577018E-4</v>
      </c>
      <c r="AP37" s="81"/>
      <c r="AQ37" s="168">
        <f>SUM(AQ39:AQ49)</f>
        <v>3.6880403389834535E-5</v>
      </c>
      <c r="AR37" s="81"/>
      <c r="AS37" s="168">
        <f>SUM(AS39:AS49)</f>
        <v>2.1952149684700819E-6</v>
      </c>
      <c r="BI37" s="31">
        <f t="shared" si="22"/>
        <v>3</v>
      </c>
      <c r="BJ37" s="31">
        <v>10</v>
      </c>
      <c r="BK37" s="107">
        <f t="shared" si="23"/>
        <v>1.0493642587305279E-9</v>
      </c>
      <c r="BQ37" s="31">
        <f t="shared" si="24"/>
        <v>8</v>
      </c>
      <c r="BR37" s="31">
        <v>6</v>
      </c>
      <c r="BS37" s="107">
        <f t="shared" si="25"/>
        <v>1.2912008202084747E-6</v>
      </c>
    </row>
    <row r="38" spans="1:71" ht="16.5" thickBot="1" x14ac:dyDescent="0.3">
      <c r="A38" s="111" t="s">
        <v>120</v>
      </c>
      <c r="B38" s="182">
        <f>SUM(BS4:BS47)</f>
        <v>0.80131778997813075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7.9715320694538248E-4</v>
      </c>
      <c r="BQ38" s="31">
        <f>BM11+1</f>
        <v>8</v>
      </c>
      <c r="BR38" s="31">
        <v>7</v>
      </c>
      <c r="BS38" s="107">
        <f t="shared" si="25"/>
        <v>1.1693921040201762E-7</v>
      </c>
    </row>
    <row r="39" spans="1:71" x14ac:dyDescent="0.25">
      <c r="G39" s="128">
        <v>0</v>
      </c>
      <c r="H39" s="129">
        <f>L39*J39</f>
        <v>0.49749456203159276</v>
      </c>
      <c r="I39" s="97">
        <v>0</v>
      </c>
      <c r="J39" s="98">
        <f t="shared" ref="J39:J49" si="29">Y39+AA39+AC39+AE39+AG39+AI39+AK39+AM39+AO39+AQ39+AS39</f>
        <v>0.58202428806492013</v>
      </c>
      <c r="K39" s="102">
        <v>0</v>
      </c>
      <c r="L39" s="98">
        <f>AH18</f>
        <v>0.85476598182119379</v>
      </c>
      <c r="M39" s="85">
        <v>0</v>
      </c>
      <c r="N39" s="173">
        <f>(1-$C$24)^$B$21</f>
        <v>0.87373535002657832</v>
      </c>
      <c r="O39" s="72">
        <v>0</v>
      </c>
      <c r="P39" s="173">
        <f t="shared" ref="P39:P44" si="30">N39</f>
        <v>0.87373535002657832</v>
      </c>
      <c r="Q39" s="28">
        <v>0</v>
      </c>
      <c r="R39" s="174">
        <f>P39*N39</f>
        <v>0.76341346188606729</v>
      </c>
      <c r="S39" s="72">
        <v>0</v>
      </c>
      <c r="T39" s="175">
        <f>(1-$C$33)^(INT(B23*2*(1-B31)))</f>
        <v>4.9022278906250022E-2</v>
      </c>
      <c r="U39" s="138">
        <v>0</v>
      </c>
      <c r="V39" s="86">
        <f>R39*T39</f>
        <v>3.7424267649364663E-2</v>
      </c>
      <c r="W39" s="134">
        <f>C31</f>
        <v>0.19304415738457975</v>
      </c>
      <c r="X39" s="28">
        <v>0</v>
      </c>
      <c r="Y39" s="176">
        <f>V39</f>
        <v>3.7424267649364663E-2</v>
      </c>
      <c r="Z39" s="28">
        <v>0</v>
      </c>
      <c r="AA39" s="176">
        <f>((1-W39)^Z40)*V40</f>
        <v>0.12209337936441565</v>
      </c>
      <c r="AB39" s="28">
        <v>0</v>
      </c>
      <c r="AC39" s="176">
        <f>(((1-$W$39)^AB41))*V41</f>
        <v>0.17433786750057084</v>
      </c>
      <c r="AD39" s="28">
        <v>0</v>
      </c>
      <c r="AE39" s="176">
        <f>(((1-$W$39)^AB42))*V42</f>
        <v>0.14276696932136082</v>
      </c>
      <c r="AF39" s="28">
        <v>0</v>
      </c>
      <c r="AG39" s="176">
        <f>(((1-$W$39)^AB43))*V43</f>
        <v>7.3823646959020273E-2</v>
      </c>
      <c r="AH39" s="28">
        <v>0</v>
      </c>
      <c r="AI39" s="176">
        <f>(((1-$W$39)^AB44))*V44</f>
        <v>2.5037959044522409E-2</v>
      </c>
      <c r="AJ39" s="28">
        <v>0</v>
      </c>
      <c r="AK39" s="176">
        <f>(((1-$W$39)^AB45))*V45</f>
        <v>5.6218207861740595E-3</v>
      </c>
      <c r="AL39" s="28">
        <v>0</v>
      </c>
      <c r="AM39" s="176">
        <f>(((1-$W$39)^AB46))*V46</f>
        <v>8.3171701077231711E-4</v>
      </c>
      <c r="AN39" s="28">
        <v>0</v>
      </c>
      <c r="AO39" s="176">
        <f>(((1-$W$39)^AB47))*V47</f>
        <v>8.1052297562601779E-5</v>
      </c>
      <c r="AP39" s="28">
        <v>0</v>
      </c>
      <c r="AQ39" s="176">
        <f>(((1-$W$39)^AB48))*V48</f>
        <v>5.3511065168897435E-6</v>
      </c>
      <c r="AR39" s="28">
        <v>0</v>
      </c>
      <c r="AS39" s="176">
        <f>(((1-$W$39)^AB49))*V49</f>
        <v>2.5702463970963981E-7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1.1118885638971302E-4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1.6491303296922689E-4</v>
      </c>
    </row>
    <row r="40" spans="1:71" x14ac:dyDescent="0.25">
      <c r="G40" s="91">
        <v>1</v>
      </c>
      <c r="H40" s="130">
        <f>L39*J40+L40*J39</f>
        <v>0.32967850086614292</v>
      </c>
      <c r="I40" s="138">
        <v>1</v>
      </c>
      <c r="J40" s="86">
        <f t="shared" si="29"/>
        <v>0.32529995534400269</v>
      </c>
      <c r="K40" s="95">
        <v>1</v>
      </c>
      <c r="L40" s="86">
        <f>AI18</f>
        <v>8.8695895014570023E-2</v>
      </c>
      <c r="M40" s="85">
        <v>1</v>
      </c>
      <c r="N40" s="173">
        <f>(($C$24)^M26)*((1-($C$24))^($B$21-M26))*HLOOKUP($B$21,$AV$24:$BF$34,M26+1)</f>
        <v>0.11954111313420193</v>
      </c>
      <c r="O40" s="72">
        <v>1</v>
      </c>
      <c r="P40" s="173">
        <f t="shared" si="30"/>
        <v>0.11954111313420193</v>
      </c>
      <c r="Q40" s="28">
        <v>1</v>
      </c>
      <c r="R40" s="174">
        <f>P40*N39+P39*N40</f>
        <v>0.20889459265375745</v>
      </c>
      <c r="S40" s="72">
        <v>1</v>
      </c>
      <c r="T40" s="175">
        <f t="shared" ref="T40:T49" si="33">(($C$33)^S40)*((1-($C$33))^(INT($B$23*2*(1-$B$31))-S40))*HLOOKUP(INT($B$23*2*(1-$B$31)),$AV$24:$BF$34,S40+1)</f>
        <v>0.18477628203125004</v>
      </c>
      <c r="U40" s="138">
        <v>1</v>
      </c>
      <c r="V40" s="86">
        <f>R40*T39+T40*R39</f>
        <v>0.15130119012299292</v>
      </c>
      <c r="W40" s="177"/>
      <c r="X40" s="28">
        <v>1</v>
      </c>
      <c r="Y40" s="174"/>
      <c r="Z40" s="28">
        <v>1</v>
      </c>
      <c r="AA40" s="176">
        <f>(1-((1-W39)^Z40))*V40</f>
        <v>2.9207810758577278E-2</v>
      </c>
      <c r="AB40" s="28">
        <v>1</v>
      </c>
      <c r="AC40" s="176">
        <f>((($W$39)^M40)*((1-($W$39))^($U$27-M40))*HLOOKUP($U$27,$AV$24:$BF$34,M40+1))*V41</f>
        <v>8.3412015762333355E-2</v>
      </c>
      <c r="AD40" s="28">
        <v>1</v>
      </c>
      <c r="AE40" s="176">
        <f>((($W$39)^M40)*((1-($W$39))^($U$28-M40))*HLOOKUP($U$28,$AV$24:$BF$34,M40+1))*V42</f>
        <v>0.1024603621643036</v>
      </c>
      <c r="AF40" s="28">
        <v>1</v>
      </c>
      <c r="AG40" s="176">
        <f>((($W$39)^M40)*((1-($W$39))^($U$29-M40))*HLOOKUP($U$29,$AV$24:$BF$34,M40+1))*V43</f>
        <v>7.0641901177993585E-2</v>
      </c>
      <c r="AH40" s="28">
        <v>1</v>
      </c>
      <c r="AI40" s="176">
        <f>((($W$39)^M40)*((1-($W$39))^($U$30-M40))*HLOOKUP($U$30,$AV$24:$BF$34,M40+1))*V44</f>
        <v>2.9948551402229372E-2</v>
      </c>
      <c r="AJ40" s="28">
        <v>1</v>
      </c>
      <c r="AK40" s="176">
        <f>((($W$39)^M40)*((1-($W$39))^($U$31-M40))*HLOOKUP($U$31,$AV$24:$BF$34,M40+1))*V45</f>
        <v>8.0692865655448351E-3</v>
      </c>
      <c r="AL40" s="28">
        <v>1</v>
      </c>
      <c r="AM40" s="176">
        <f>((($W$39)^Q40)*((1-($W$39))^($U$32-Q40))*HLOOKUP($U$32,$AV$24:$BF$34,Q40+1))*V46</f>
        <v>1.3927735662041378E-3</v>
      </c>
      <c r="AN40" s="28">
        <v>1</v>
      </c>
      <c r="AO40" s="176">
        <f>((($W$39)^Q40)*((1-($W$39))^($U$33-Q40))*HLOOKUP($U$33,$AV$24:$BF$34,Q40+1))*V47</f>
        <v>1.55118004339314E-4</v>
      </c>
      <c r="AP40" s="28">
        <v>1</v>
      </c>
      <c r="AQ40" s="176">
        <f>((($W$39)^Q40)*((1-($W$39))^($U$34-Q40))*HLOOKUP($U$34,$AV$24:$BF$34,Q40+1))*V48</f>
        <v>1.152107481807254E-5</v>
      </c>
      <c r="AR40" s="28">
        <v>1</v>
      </c>
      <c r="AS40" s="176">
        <f>((($W$39)^Q40)*((1-($W$39))^($U$35-Q40))*HLOOKUP($U$35,$AV$24:$BF$34,Q40+1))*V49</f>
        <v>6.1486765916470569E-7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1.0069957258559547E-5</v>
      </c>
      <c r="BQ40" s="31">
        <f t="shared" si="31"/>
        <v>9</v>
      </c>
      <c r="BR40" s="31">
        <v>1</v>
      </c>
      <c r="BS40" s="107">
        <f t="shared" si="32"/>
        <v>1.0928417239489531E-4</v>
      </c>
    </row>
    <row r="41" spans="1:71" x14ac:dyDescent="0.25">
      <c r="G41" s="91">
        <v>2</v>
      </c>
      <c r="H41" s="130">
        <f>L39*J41+J40*L40+J39*L41</f>
        <v>9.8649124755931766E-2</v>
      </c>
      <c r="I41" s="138">
        <v>2</v>
      </c>
      <c r="J41" s="86">
        <f t="shared" si="29"/>
        <v>8.0133169345474195E-2</v>
      </c>
      <c r="K41" s="95">
        <v>2</v>
      </c>
      <c r="L41" s="86">
        <f>AJ18</f>
        <v>2.2357261082588962E-3</v>
      </c>
      <c r="M41" s="85">
        <v>2</v>
      </c>
      <c r="N41" s="173">
        <f>(($C$24)^M27)*((1-($C$24))^($B$21-M27))*HLOOKUP($B$21,$AV$24:$BF$34,M27+1)</f>
        <v>6.5420622978934612E-3</v>
      </c>
      <c r="O41" s="72">
        <v>2</v>
      </c>
      <c r="P41" s="173">
        <f t="shared" si="30"/>
        <v>6.5420622978934612E-3</v>
      </c>
      <c r="Q41" s="28">
        <v>2</v>
      </c>
      <c r="R41" s="174">
        <f>P41*N39+P40*N40+P39*N41</f>
        <v>2.5722139912855314E-2</v>
      </c>
      <c r="S41" s="72">
        <v>2</v>
      </c>
      <c r="T41" s="175">
        <f t="shared" si="33"/>
        <v>0.29848476328125007</v>
      </c>
      <c r="U41" s="138">
        <v>2</v>
      </c>
      <c r="V41" s="86">
        <f>R41*T39+T40*R40+R39*T41</f>
        <v>0.26772701054064979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9.9771272777455615E-3</v>
      </c>
      <c r="AD41" s="28">
        <v>2</v>
      </c>
      <c r="AE41" s="176">
        <f>((($W$39)^M41)*((1-($W$39))^($U$28-M41))*HLOOKUP($U$28,$AV$24:$BF$34,M41+1))*V42</f>
        <v>2.4511098668323711E-2</v>
      </c>
      <c r="AF41" s="28">
        <v>2</v>
      </c>
      <c r="AG41" s="176">
        <f>((($W$39)^M41)*((1-($W$39))^($U$29-M41))*HLOOKUP($U$29,$AV$24:$BF$34,M41+1))*V43</f>
        <v>2.5348982376938421E-2</v>
      </c>
      <c r="AH41" s="28">
        <v>2</v>
      </c>
      <c r="AI41" s="176">
        <f>((($W$39)^M41)*((1-($W$39))^($U$30-M41))*HLOOKUP($U$30,$AV$24:$BF$34,M41+1))*V44</f>
        <v>1.4328895250560683E-2</v>
      </c>
      <c r="AJ41" s="28">
        <v>2</v>
      </c>
      <c r="AK41" s="176">
        <f>((($W$39)^M41)*((1-($W$39))^($U$31-M41))*HLOOKUP($U$31,$AV$24:$BF$34,M41+1))*V45</f>
        <v>4.8259413448558924E-3</v>
      </c>
      <c r="AL41" s="28">
        <v>2</v>
      </c>
      <c r="AM41" s="176">
        <f>((($W$39)^Q41)*((1-($W$39))^($U$32-Q41))*HLOOKUP($U$32,$AV$24:$BF$34,Q41+1))*V46</f>
        <v>9.995595247590174E-4</v>
      </c>
      <c r="AN41" s="28">
        <v>2</v>
      </c>
      <c r="AO41" s="176">
        <f>((($W$39)^Q41)*((1-($W$39))^($U$33-Q41))*HLOOKUP($U$33,$AV$24:$BF$34,Q41+1))*V47</f>
        <v>1.2987846424201453E-4</v>
      </c>
      <c r="AP41" s="28">
        <v>2</v>
      </c>
      <c r="AQ41" s="176">
        <f>((($W$39)^Q41)*((1-($W$39))^($U$34-Q41))*HLOOKUP($U$34,$AV$24:$BF$34,Q41+1))*V48</f>
        <v>1.1024524827584485E-5</v>
      </c>
      <c r="AR41" s="28">
        <v>2</v>
      </c>
      <c r="AS41" s="176">
        <f>((($W$39)^Q41)*((1-($W$39))^($U$35-Q41))*HLOOKUP($U$35,$AV$24:$BF$34,Q41+1))*V49</f>
        <v>6.6191322132073174E-7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6.1352582885190733E-7</v>
      </c>
      <c r="BQ41" s="31">
        <f t="shared" si="31"/>
        <v>9</v>
      </c>
      <c r="BR41" s="31">
        <v>2</v>
      </c>
      <c r="BS41" s="107">
        <f t="shared" si="32"/>
        <v>3.2700912944305191E-5</v>
      </c>
    </row>
    <row r="42" spans="1:71" ht="15" customHeight="1" x14ac:dyDescent="0.25">
      <c r="G42" s="91">
        <v>3</v>
      </c>
      <c r="H42" s="130">
        <f>J42*L39+J41*L40+L42*J39+L41*J40</f>
        <v>4.9211505514933571E-2</v>
      </c>
      <c r="I42" s="138">
        <v>3</v>
      </c>
      <c r="J42" s="86">
        <f t="shared" si="29"/>
        <v>1.1431698216114602E-2</v>
      </c>
      <c r="K42" s="95">
        <v>3</v>
      </c>
      <c r="L42" s="86">
        <f>AK18</f>
        <v>5.4302397055977294E-2</v>
      </c>
      <c r="M42" s="85">
        <v>3</v>
      </c>
      <c r="N42" s="173">
        <f>(($C$24)^M28)*((1-($C$24))^($B$21-M28))*HLOOKUP($B$21,$AV$24:$BF$34,M28+1)</f>
        <v>1.7901196495247448E-4</v>
      </c>
      <c r="O42" s="72">
        <v>3</v>
      </c>
      <c r="P42" s="173">
        <f t="shared" si="30"/>
        <v>1.7901196495247448E-4</v>
      </c>
      <c r="Q42" s="28">
        <v>3</v>
      </c>
      <c r="R42" s="174">
        <f>P42*N39+P41*N40+P40*N41+P39*N42</f>
        <v>1.8769089822803502E-3</v>
      </c>
      <c r="S42" s="72">
        <v>3</v>
      </c>
      <c r="T42" s="175">
        <f t="shared" si="33"/>
        <v>0.26787094140625001</v>
      </c>
      <c r="U42" s="138">
        <v>3</v>
      </c>
      <c r="V42" s="86">
        <f>R42*T39+R41*T40+R40*T41+R39*T42</f>
        <v>0.27169298749121118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1.954557337223013E-3</v>
      </c>
      <c r="AF42" s="28">
        <v>3</v>
      </c>
      <c r="AG42" s="176">
        <f>((($W$39)^M42)*((1-($W$39))^($U$29-M42))*HLOOKUP($U$29,$AV$24:$BF$34,M42+1))*V43</f>
        <v>4.0427432622603243E-3</v>
      </c>
      <c r="AH42" s="28">
        <v>3</v>
      </c>
      <c r="AI42" s="176">
        <f>((($W$39)^M42)*((1-($W$39))^($U$30-M42))*HLOOKUP($U$30,$AV$24:$BF$34,M42+1))*V44</f>
        <v>3.4278325576417804E-3</v>
      </c>
      <c r="AJ42" s="28">
        <v>3</v>
      </c>
      <c r="AK42" s="176">
        <f>((($W$39)^M42)*((1-($W$39))^($U$31-M42))*HLOOKUP($U$31,$AV$24:$BF$34,M42+1))*V45</f>
        <v>1.5393155879684711E-3</v>
      </c>
      <c r="AL42" s="28">
        <v>3</v>
      </c>
      <c r="AM42" s="176">
        <f>((($W$39)^Q42)*((1-($W$39))^($U$32-Q42))*HLOOKUP($U$32,$AV$24:$BF$34,Q42+1))*V46</f>
        <v>3.9853301346171299E-4</v>
      </c>
      <c r="AN42" s="28">
        <v>3</v>
      </c>
      <c r="AO42" s="176">
        <f>((($W$39)^Q42)*((1-($W$39))^($U$33-Q42))*HLOOKUP($U$33,$AV$24:$BF$34,Q42+1))*V47</f>
        <v>6.2140398192647934E-5</v>
      </c>
      <c r="AP42" s="28">
        <v>3</v>
      </c>
      <c r="AQ42" s="176">
        <f>((($W$39)^Q42)*((1-($W$39))^($U$34-Q42))*HLOOKUP($U$34,$AV$24:$BF$34,Q42+1))*V48</f>
        <v>6.1538025397856725E-6</v>
      </c>
      <c r="AR42" s="28">
        <v>3</v>
      </c>
      <c r="AS42" s="176">
        <f>((($W$39)^Q42)*((1-($W$39))^($U$35-Q42))*HLOOKUP($U$35,$AV$24:$BF$34,Q42+1))*V49</f>
        <v>4.2225682686653212E-7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2.5552156851193023E-8</v>
      </c>
      <c r="BQ42" s="31">
        <f t="shared" si="31"/>
        <v>9</v>
      </c>
      <c r="BR42" s="31">
        <v>3</v>
      </c>
      <c r="BS42" s="107">
        <f t="shared" si="32"/>
        <v>1.631297957973289E-5</v>
      </c>
    </row>
    <row r="43" spans="1:71" ht="15" customHeight="1" x14ac:dyDescent="0.25">
      <c r="G43" s="91">
        <v>4</v>
      </c>
      <c r="H43" s="130">
        <f>J43*L39+J42*L40+J41*L41+J40*L42</f>
        <v>1.9750284398184055E-2</v>
      </c>
      <c r="I43" s="138">
        <v>4</v>
      </c>
      <c r="J43" s="86">
        <f t="shared" si="29"/>
        <v>1.0442817755130424E-3</v>
      </c>
      <c r="K43" s="95">
        <v>4</v>
      </c>
      <c r="L43" s="86"/>
      <c r="M43" s="85">
        <v>4</v>
      </c>
      <c r="N43" s="173">
        <f>(($C$24)^M29)*((1-($C$24))^($B$21-M29))*HLOOKUP($B$21,$AV$24:$BF$34,M29+1)</f>
        <v>2.4491729165025309E-6</v>
      </c>
      <c r="O43" s="72">
        <v>4</v>
      </c>
      <c r="P43" s="173">
        <f t="shared" si="30"/>
        <v>2.4491729165025309E-6</v>
      </c>
      <c r="Q43" s="28">
        <v>4</v>
      </c>
      <c r="R43" s="174">
        <f>P43*N39+P42*N40+P41*N41+P40*N42+P39*N43</f>
        <v>8.9877016129990064E-5</v>
      </c>
      <c r="S43" s="72">
        <v>4</v>
      </c>
      <c r="T43" s="175">
        <f t="shared" si="33"/>
        <v>0.14423819921874997</v>
      </c>
      <c r="U43" s="138">
        <v>4</v>
      </c>
      <c r="V43" s="86">
        <f>T43*R39+T42*R40+T41*R41+T40*R42+T39*R43</f>
        <v>0.17409905527321989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2.4178149700725587E-4</v>
      </c>
      <c r="AH43" s="28">
        <v>4</v>
      </c>
      <c r="AI43" s="176">
        <f>((($W$39)^M43)*((1-($W$39))^($U$30-M43))*HLOOKUP($U$30,$AV$24:$BF$34,M43+1))*V44</f>
        <v>4.1001193175619092E-4</v>
      </c>
      <c r="AJ43" s="28">
        <v>4</v>
      </c>
      <c r="AK43" s="176">
        <f>((($W$39)^M43)*((1-($W$39))^($U$31-M43))*HLOOKUP($U$31,$AV$24:$BF$34,M43+1))*V45</f>
        <v>2.7618228743336078E-4</v>
      </c>
      <c r="AL43" s="28">
        <v>4</v>
      </c>
      <c r="AM43" s="176">
        <f>((($W$39)^Q43)*((1-($W$39))^($U$32-Q43))*HLOOKUP($U$32,$AV$24:$BF$34,Q43+1))*V46</f>
        <v>9.5339132218563358E-5</v>
      </c>
      <c r="AN43" s="28">
        <v>4</v>
      </c>
      <c r="AO43" s="176">
        <f>((($W$39)^Q43)*((1-($W$39))^($U$33-Q43))*HLOOKUP($U$33,$AV$24:$BF$34,Q43+1))*V47</f>
        <v>1.8581934994364637E-5</v>
      </c>
      <c r="AP43" s="28">
        <v>4</v>
      </c>
      <c r="AQ43" s="176">
        <f>((($W$39)^Q43)*((1-($W$39))^($U$34-Q43))*HLOOKUP($U$34,$AV$24:$BF$34,Q43+1))*V48</f>
        <v>2.208216788208142E-6</v>
      </c>
      <c r="AR43" s="28">
        <v>4</v>
      </c>
      <c r="AS43" s="176">
        <f>((($W$39)^Q43)*((1-($W$39))^($U$35-Q43))*HLOOKUP($U$35,$AV$24:$BF$34,Q43+1))*V49</f>
        <v>1.7677531509871269E-7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7.3180616641868863E-10</v>
      </c>
      <c r="BQ43" s="31">
        <f t="shared" si="31"/>
        <v>9</v>
      </c>
      <c r="BR43" s="31">
        <v>4</v>
      </c>
      <c r="BS43" s="107">
        <f t="shared" si="32"/>
        <v>6.5469646317510864E-6</v>
      </c>
    </row>
    <row r="44" spans="1:71" ht="15" customHeight="1" thickBot="1" x14ac:dyDescent="0.3">
      <c r="G44" s="91">
        <v>5</v>
      </c>
      <c r="H44" s="130">
        <f>J44*L39+J43*L40+J42*L41+J41*L42</f>
        <v>4.524194181835875E-3</v>
      </c>
      <c r="I44" s="138">
        <v>5</v>
      </c>
      <c r="J44" s="86">
        <f t="shared" si="29"/>
        <v>6.3864672852000581E-5</v>
      </c>
      <c r="K44" s="95">
        <v>5</v>
      </c>
      <c r="L44" s="86"/>
      <c r="M44" s="85">
        <v>5</v>
      </c>
      <c r="N44" s="173">
        <f>(($C$24)^M30)*((1-($C$24))^($B$21-M30))*HLOOKUP($B$21,$AV$24:$BF$34,M30+1)</f>
        <v>1.3403457085166408E-8</v>
      </c>
      <c r="O44" s="72">
        <v>5</v>
      </c>
      <c r="P44" s="173">
        <f t="shared" si="30"/>
        <v>1.3403457085166408E-8</v>
      </c>
      <c r="Q44" s="28">
        <v>5</v>
      </c>
      <c r="R44" s="174">
        <f>P44*N39+P43*N40+P42*N41+P41*N42+P40*N43+P39*N44</f>
        <v>2.9511907155042706E-6</v>
      </c>
      <c r="S44" s="72">
        <v>5</v>
      </c>
      <c r="T44" s="175">
        <f t="shared" si="33"/>
        <v>4.6600033593749986E-2</v>
      </c>
      <c r="U44" s="138">
        <v>5</v>
      </c>
      <c r="V44" s="86">
        <f>T44*R39+T43*R40+T42*R41+T41*R42+T40*R43+T39*R44</f>
        <v>7.3172867222415158E-2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1.9617035704695746E-5</v>
      </c>
      <c r="AJ44" s="28">
        <v>5</v>
      </c>
      <c r="AK44" s="176">
        <f>((($W$39)^M44)*((1-($W$39))^($U$31-M44))*HLOOKUP($U$31,$AV$24:$BF$34,M44+1))*V45</f>
        <v>2.6427903063106282E-5</v>
      </c>
      <c r="AL44" s="28">
        <v>5</v>
      </c>
      <c r="AM44" s="176">
        <f>((($W$39)^Q44)*((1-($W$39))^($U$32-Q44))*HLOOKUP($U$32,$AV$24:$BF$34,Q44+1))*V46</f>
        <v>1.3684512688023937E-5</v>
      </c>
      <c r="AN44" s="28">
        <v>5</v>
      </c>
      <c r="AO44" s="176">
        <f>((($W$39)^Q44)*((1-($W$39))^($U$33-Q44))*HLOOKUP($U$33,$AV$24:$BF$34,Q44+1))*V47</f>
        <v>3.556213407599521E-6</v>
      </c>
      <c r="AP44" s="28">
        <v>5</v>
      </c>
      <c r="AQ44" s="176">
        <f>((($W$39)^Q44)*((1-($W$39))^($U$34-Q44))*HLOOKUP($U$34,$AV$24:$BF$34,Q44+1))*V48</f>
        <v>5.2826106050673002E-7</v>
      </c>
      <c r="AR44" s="28">
        <v>5</v>
      </c>
      <c r="AS44" s="176">
        <f>((($W$39)^Q44)*((1-($W$39))^($U$35-Q44))*HLOOKUP($U$35,$AV$24:$BF$34,Q44+1))*V49</f>
        <v>5.0746928068362389E-8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5.6055553894365146E-5</v>
      </c>
      <c r="BQ44" s="31">
        <f t="shared" si="31"/>
        <v>9</v>
      </c>
      <c r="BR44" s="31">
        <v>5</v>
      </c>
      <c r="BS44" s="107">
        <f t="shared" si="32"/>
        <v>1.4997120395074873E-6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6.3104554153514236E-4</v>
      </c>
      <c r="I45" s="138">
        <v>6</v>
      </c>
      <c r="J45" s="86">
        <f t="shared" si="29"/>
        <v>2.6646634046111769E-6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6.7295095551906507E-8</v>
      </c>
      <c r="S45" s="72">
        <v>6</v>
      </c>
      <c r="T45" s="175">
        <f t="shared" si="33"/>
        <v>8.3641085937499957E-3</v>
      </c>
      <c r="U45" s="138">
        <v>6</v>
      </c>
      <c r="V45" s="86">
        <f>T45*R39+T44*R40+T43*R41+T42*R42+T41*R43+T40*R44+T39*R45</f>
        <v>2.0360028178354677E-2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1.0537033149429517E-6</v>
      </c>
      <c r="AL45" s="28">
        <v>6</v>
      </c>
      <c r="AM45" s="176">
        <f>((($W$39)^Q45)*((1-($W$39))^($U$32-Q45))*HLOOKUP($U$32,$AV$24:$BF$34,Q45+1))*V46</f>
        <v>1.0912266741949275E-6</v>
      </c>
      <c r="AN45" s="28">
        <v>6</v>
      </c>
      <c r="AO45" s="176">
        <f>((($W$39)^Q45)*((1-($W$39))^($U$33-Q45))*HLOOKUP($U$33,$AV$24:$BF$34,Q45+1))*V47</f>
        <v>4.253678977803561E-7</v>
      </c>
      <c r="AP45" s="28">
        <v>6</v>
      </c>
      <c r="AQ45" s="176">
        <f>((($W$39)^Q45)*((1-($W$39))^($U$34-Q45))*HLOOKUP($U$34,$AV$24:$BF$34,Q45+1))*V48</f>
        <v>8.4248898489155481E-8</v>
      </c>
      <c r="AR45" s="28">
        <v>6</v>
      </c>
      <c r="AS45" s="176">
        <f>((($W$39)^Q45)*((1-($W$39))^($U$35-Q45))*HLOOKUP($U$35,$AV$24:$BF$34,Q45+1))*V49</f>
        <v>1.011661920378634E-8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5.076741052562553E-6</v>
      </c>
      <c r="BQ45" s="31">
        <f t="shared" si="31"/>
        <v>9</v>
      </c>
      <c r="BR45" s="31">
        <v>6</v>
      </c>
      <c r="BS45" s="107">
        <f t="shared" si="32"/>
        <v>2.0918346076245128E-7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5.7151425401757822E-5</v>
      </c>
      <c r="I46" s="138">
        <v>7</v>
      </c>
      <c r="J46" s="86">
        <f t="shared" si="29"/>
        <v>7.6387185312806333E-8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1.0522350150996017E-9</v>
      </c>
      <c r="S46" s="72">
        <v>7</v>
      </c>
      <c r="T46" s="175">
        <f t="shared" si="33"/>
        <v>6.4339296874999961E-4</v>
      </c>
      <c r="U46" s="138">
        <v>7</v>
      </c>
      <c r="V46" s="86">
        <f>T46*R39+T45*R40+T44*R41+T43*R42+T42*R43+T41*R44+T40*R45+T39*R46</f>
        <v>3.7327352794777518E-3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3.7292699782641412E-8</v>
      </c>
      <c r="AN46" s="28">
        <v>7</v>
      </c>
      <c r="AO46" s="176">
        <f>((($W$39)^Q46)*((1-($W$39))^($U$33-Q46))*HLOOKUP($U$33,$AV$24:$BF$34,Q46+1))*V47</f>
        <v>2.9073917792193681E-8</v>
      </c>
      <c r="AP46" s="28">
        <v>7</v>
      </c>
      <c r="AQ46" s="176">
        <f>((($W$39)^Q46)*((1-($W$39))^($U$34-Q46))*HLOOKUP($U$34,$AV$24:$BF$34,Q46+1))*V48</f>
        <v>8.6376248473552353E-9</v>
      </c>
      <c r="AR46" s="28">
        <v>7</v>
      </c>
      <c r="AS46" s="176">
        <f>((($W$39)^Q46)*((1-($W$39))^($U$35-Q46))*HLOOKUP($U$35,$AV$24:$BF$34,Q46+1))*V49</f>
        <v>1.3829428906160165E-9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3.0930734681047566E-7</v>
      </c>
      <c r="BQ46" s="31">
        <f t="shared" si="31"/>
        <v>9</v>
      </c>
      <c r="BR46" s="31">
        <v>7</v>
      </c>
      <c r="BS46" s="107">
        <f t="shared" si="32"/>
        <v>1.8944960650484205E-8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3.4820282489160355E-6</v>
      </c>
      <c r="I47" s="138">
        <v>8</v>
      </c>
      <c r="J47" s="86">
        <f t="shared" si="29"/>
        <v>1.5100490329310899E-9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1.0797206354873123E-11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4.507826239557704E-4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8.6940165521817255E-10</v>
      </c>
      <c r="AP47" s="28">
        <v>8</v>
      </c>
      <c r="AQ47" s="176">
        <f>((($W$39)^Q47)*((1-($W$39))^($U$34-Q47))*HLOOKUP($U$34,$AV$24:$BF$34,Q47+1))*V48</f>
        <v>5.1658434154756847E-10</v>
      </c>
      <c r="AR47" s="28">
        <v>8</v>
      </c>
      <c r="AS47" s="176">
        <f>((($W$39)^Q47)*((1-($W$39))^($U$35-Q47))*HLOOKUP($U$35,$AV$24:$BF$34,Q47+1))*V49</f>
        <v>1.2406303616534891E-10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1.2882049082949642E-8</v>
      </c>
      <c r="BQ47" s="31">
        <f>BM12+1</f>
        <v>9</v>
      </c>
      <c r="BR47" s="31">
        <v>8</v>
      </c>
      <c r="BS47" s="107">
        <f t="shared" si="32"/>
        <v>1.1542474696975757E-9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1.4501970054477343E-7</v>
      </c>
      <c r="I48" s="138">
        <v>9</v>
      </c>
      <c r="J48" s="86">
        <f t="shared" si="29"/>
        <v>2.0326443006112051E-11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6.5654768160987051E-14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3.6880403389834563E-5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1.373110916989305E-11</v>
      </c>
      <c r="AR48" s="28">
        <v>9</v>
      </c>
      <c r="AS48" s="176">
        <f>((($W$39)^Q48)*((1-($W$39))^($U$35-Q48))*HLOOKUP($U$35,$AV$24:$BF$34,Q48+1))*V49</f>
        <v>6.5953338362190003E-12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3.6893805129294241E-10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4.1533210573533972E-9</v>
      </c>
      <c r="I49" s="94">
        <v>10</v>
      </c>
      <c r="J49" s="89">
        <f t="shared" si="29"/>
        <v>1.5777699297106187E-13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1.7965266183389757E-16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2.1952149684700828E-6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1.5777699297106187E-13</v>
      </c>
      <c r="BI49" s="31">
        <f>BQ14+1</f>
        <v>6</v>
      </c>
      <c r="BJ49" s="31">
        <v>0</v>
      </c>
      <c r="BK49" s="107">
        <f>$H$31*H39</f>
        <v>1.6605562243150539E-2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5"/>
      <c r="J50" s="295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5"/>
      <c r="X50" s="157"/>
      <c r="Y50" s="157"/>
      <c r="BI50" s="31">
        <f>BI45+1</f>
        <v>6</v>
      </c>
      <c r="BJ50" s="31">
        <v>7</v>
      </c>
      <c r="BK50" s="107">
        <f>$H$31*H46</f>
        <v>1.9076219605660677E-6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1.1622445998939753E-7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4.8405225859058972E-9</v>
      </c>
    </row>
    <row r="53" spans="1:63" x14ac:dyDescent="0.25">
      <c r="BI53" s="31">
        <f>BI48+1</f>
        <v>6</v>
      </c>
      <c r="BJ53" s="31">
        <v>10</v>
      </c>
      <c r="BK53" s="107">
        <f>$H$31*H49</f>
        <v>1.3863112604091117E-10</v>
      </c>
    </row>
    <row r="54" spans="1:63" x14ac:dyDescent="0.25">
      <c r="BI54" s="31">
        <f>BI51+1</f>
        <v>7</v>
      </c>
      <c r="BJ54" s="31">
        <v>8</v>
      </c>
      <c r="BK54" s="107">
        <f>$H$32*H47</f>
        <v>3.3039179978388001E-8</v>
      </c>
    </row>
    <row r="55" spans="1:63" x14ac:dyDescent="0.25">
      <c r="BI55" s="31">
        <f>BI52+1</f>
        <v>7</v>
      </c>
      <c r="BJ55" s="31">
        <v>9</v>
      </c>
      <c r="BK55" s="107">
        <f>$H$32*H48</f>
        <v>1.3760175518973048E-9</v>
      </c>
    </row>
    <row r="56" spans="1:63" x14ac:dyDescent="0.25">
      <c r="BI56" s="31">
        <f>BI53+1</f>
        <v>7</v>
      </c>
      <c r="BJ56" s="31">
        <v>10</v>
      </c>
      <c r="BK56" s="107">
        <f>$H$32*H49</f>
        <v>3.9408733103944609E-11</v>
      </c>
    </row>
    <row r="57" spans="1:63" x14ac:dyDescent="0.25">
      <c r="BI57" s="31">
        <f>BI55+1</f>
        <v>8</v>
      </c>
      <c r="BJ57" s="31">
        <v>9</v>
      </c>
      <c r="BK57" s="107">
        <f>$H$33*H48</f>
        <v>2.9672906940167505E-10</v>
      </c>
    </row>
    <row r="58" spans="1:63" x14ac:dyDescent="0.25">
      <c r="BI58" s="31">
        <f>BI56+1</f>
        <v>8</v>
      </c>
      <c r="BJ58" s="31">
        <v>10</v>
      </c>
      <c r="BK58" s="107">
        <f>$H$33*H49</f>
        <v>8.4982322239340125E-12</v>
      </c>
    </row>
    <row r="59" spans="1:63" x14ac:dyDescent="0.25">
      <c r="BI59" s="31">
        <f>BI58+1</f>
        <v>9</v>
      </c>
      <c r="BJ59" s="31">
        <v>10</v>
      </c>
      <c r="BK59" s="107">
        <f>$H$34*H49</f>
        <v>1.3767723805182198E-12</v>
      </c>
    </row>
  </sheetData>
  <mergeCells count="1"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Loko-LUKE</vt:lpstr>
      <vt:lpstr>VADER_ConjuntoVacio</vt:lpstr>
      <vt:lpstr>VADER-Stephen</vt:lpstr>
      <vt:lpstr>Gaditano-VADER</vt:lpstr>
      <vt:lpstr>VADER-Pamboli</vt:lpstr>
      <vt:lpstr>Granada-VADER</vt:lpstr>
      <vt:lpstr>VADER-Granada</vt:lpstr>
      <vt:lpstr>Pamboli-VADER</vt:lpstr>
      <vt:lpstr>LUKE-Palazzo</vt:lpstr>
      <vt:lpstr>SIMULADOR_v5</vt:lpstr>
      <vt:lpstr>SIMULADOR_v4</vt:lpstr>
      <vt:lpstr>Eventos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2022-07-29T14:27:09Z</dcterms:modified>
</cp:coreProperties>
</file>