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0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481678D4-D34B-424E-851B-B32DC7F556D4}" xr6:coauthVersionLast="47" xr6:coauthVersionMax="47" xr10:uidLastSave="{00000000-0000-0000-0000-000000000000}"/>
  <bookViews>
    <workbookView xWindow="-120" yWindow="16080" windowWidth="29040" windowHeight="15840" firstSheet="5" activeTab="11" xr2:uid="{00000000-000D-0000-FFFF-FFFF00000000}"/>
  </bookViews>
  <sheets>
    <sheet name="SIMULADOR_v5" sheetId="2" r:id="rId1"/>
    <sheet name="J1-Pamboli-VADER" sheetId="10" r:id="rId2"/>
    <sheet name="J2-VADER-Spartak" sheetId="23" r:id="rId3"/>
    <sheet name="J3-Hasabit-VADER" sheetId="26" r:id="rId4"/>
    <sheet name="C2-Racing-VADER" sheetId="24" r:id="rId5"/>
    <sheet name="Analisis Partidos" sheetId="21" r:id="rId6"/>
    <sheet name="RIVALES" sheetId="3" r:id="rId7"/>
    <sheet name="Paso que arraso" sheetId="20" r:id="rId8"/>
    <sheet name="Spartak de Santiago" sheetId="19" r:id="rId9"/>
    <sheet name="Pamboli" sheetId="8" r:id="rId10"/>
    <sheet name="Club Atlético Gaditano" sheetId="12" r:id="rId11"/>
    <sheet name="Habasit" sheetId="14" r:id="rId12"/>
    <sheet name="Las Animas" sheetId="16" r:id="rId13"/>
    <sheet name="La Barrilla" sheetId="17" r:id="rId14"/>
  </sheets>
  <definedNames>
    <definedName name="DatosExternos_1" localSheetId="10" hidden="1">'Club Atlético Gaditano'!$F$5:$AB$26</definedName>
    <definedName name="DatosExternos_1" localSheetId="11" hidden="1">Habasit!$A$1:$W$37</definedName>
    <definedName name="DatosExternos_1" localSheetId="12" hidden="1">'Las Animas'!$A$1:$W$26</definedName>
    <definedName name="DatosExternos_1" localSheetId="9" hidden="1">Pamboli!$F$5:$AB$27</definedName>
    <definedName name="DatosExternos_1" localSheetId="8" hidden="1">'Spartak de Santiago'!$A$1:$W$74</definedName>
    <definedName name="DatosExternos_2" localSheetId="13" hidden="1">'La Barrilla'!$A$1:$W$26</definedName>
    <definedName name="DatosExternos_2" localSheetId="7" hidden="1">'Paso que arraso'!$A$1:$W$20</definedName>
  </definedNames>
  <calcPr calcId="191029"/>
  <pivotCaches>
    <pivotCache cacheId="199" r:id="rId15"/>
    <pivotCache cacheId="200" r:id="rId16"/>
    <pivotCache cacheId="201" r:id="rId17"/>
    <pivotCache cacheId="202" r:id="rId18"/>
    <pivotCache cacheId="203" r:id="rId19"/>
    <pivotCache cacheId="204" r:id="rId20"/>
    <pivotCache cacheId="20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6" l="1"/>
  <c r="BI52" i="26"/>
  <c r="BI55" i="26" s="1"/>
  <c r="BI57" i="26" s="1"/>
  <c r="BM13" i="26" s="1"/>
  <c r="BF48" i="26"/>
  <c r="BF47" i="26"/>
  <c r="BF46" i="26"/>
  <c r="BE45" i="26"/>
  <c r="BE44" i="26"/>
  <c r="BF45" i="26" s="1"/>
  <c r="BD44" i="26"/>
  <c r="BE43" i="26"/>
  <c r="BF44" i="26" s="1"/>
  <c r="BD43" i="26"/>
  <c r="BC43" i="26"/>
  <c r="BF42" i="26"/>
  <c r="BE42" i="26"/>
  <c r="BF43" i="26" s="1"/>
  <c r="BD42" i="26"/>
  <c r="BC42" i="26"/>
  <c r="BF41" i="26"/>
  <c r="BE41" i="26"/>
  <c r="BD41" i="26"/>
  <c r="BC41" i="26"/>
  <c r="BF40" i="26"/>
  <c r="BE40" i="26"/>
  <c r="BD40" i="26"/>
  <c r="BC40" i="26"/>
  <c r="BC39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BI34" i="26"/>
  <c r="BI40" i="26" s="1"/>
  <c r="BI45" i="26" s="1"/>
  <c r="BI50" i="26" s="1"/>
  <c r="BM11" i="26" s="1"/>
  <c r="BQ38" i="26" s="1"/>
  <c r="BQ46" i="26" s="1"/>
  <c r="BF34" i="26"/>
  <c r="BF33" i="26"/>
  <c r="C33" i="26"/>
  <c r="B33" i="26"/>
  <c r="C32" i="26"/>
  <c r="D25" i="26"/>
  <c r="BI31" i="26"/>
  <c r="BE31" i="26"/>
  <c r="BF32" i="26" s="1"/>
  <c r="BI30" i="26"/>
  <c r="BI37" i="26" s="1"/>
  <c r="BI43" i="26" s="1"/>
  <c r="BI48" i="26" s="1"/>
  <c r="BI53" i="26" s="1"/>
  <c r="BI56" i="26" s="1"/>
  <c r="BI58" i="26" s="1"/>
  <c r="BI59" i="26" s="1"/>
  <c r="BF30" i="26"/>
  <c r="BE30" i="26"/>
  <c r="BF31" i="26" s="1"/>
  <c r="BD30" i="26"/>
  <c r="E30" i="26"/>
  <c r="D30" i="26"/>
  <c r="C30" i="26"/>
  <c r="BQ29" i="26"/>
  <c r="BQ36" i="26" s="1"/>
  <c r="BQ44" i="26" s="1"/>
  <c r="BI29" i="26"/>
  <c r="BI36" i="26" s="1"/>
  <c r="BI42" i="26" s="1"/>
  <c r="BI47" i="26" s="1"/>
  <c r="BF29" i="26"/>
  <c r="BE29" i="26"/>
  <c r="BD29" i="26"/>
  <c r="BC29" i="26"/>
  <c r="C29" i="26"/>
  <c r="B29" i="26"/>
  <c r="BI28" i="26"/>
  <c r="BI35" i="26" s="1"/>
  <c r="BI41" i="26" s="1"/>
  <c r="BI46" i="26" s="1"/>
  <c r="BI51" i="26" s="1"/>
  <c r="BI54" i="26" s="1"/>
  <c r="BF28" i="26"/>
  <c r="BE28" i="26"/>
  <c r="BD28" i="26"/>
  <c r="BC28" i="26"/>
  <c r="BI27" i="26"/>
  <c r="BF27" i="26"/>
  <c r="BE27" i="26"/>
  <c r="BD27" i="26"/>
  <c r="BC27" i="26"/>
  <c r="C27" i="26"/>
  <c r="B27" i="26"/>
  <c r="BI26" i="26"/>
  <c r="BI33" i="26" s="1"/>
  <c r="BI39" i="26" s="1"/>
  <c r="BI44" i="26" s="1"/>
  <c r="BF26" i="26"/>
  <c r="BE26" i="26"/>
  <c r="BD26" i="26"/>
  <c r="BC26" i="26"/>
  <c r="E26" i="26"/>
  <c r="E27" i="26" s="1"/>
  <c r="C26" i="26"/>
  <c r="B26" i="26"/>
  <c r="BI25" i="26"/>
  <c r="BI32" i="26" s="1"/>
  <c r="BI38" i="26" s="1"/>
  <c r="BC25" i="26"/>
  <c r="E25" i="26"/>
  <c r="C25" i="26"/>
  <c r="B25" i="26"/>
  <c r="BI24" i="26"/>
  <c r="BI23" i="26"/>
  <c r="B22" i="26"/>
  <c r="C22" i="26" s="1"/>
  <c r="G14" i="26" s="1"/>
  <c r="B20" i="26"/>
  <c r="B21" i="26" s="1"/>
  <c r="BQ18" i="26"/>
  <c r="BQ22" i="26" s="1"/>
  <c r="BQ28" i="26" s="1"/>
  <c r="BQ35" i="26" s="1"/>
  <c r="BQ43" i="26" s="1"/>
  <c r="W16" i="26"/>
  <c r="V16" i="26"/>
  <c r="R16" i="26"/>
  <c r="Q16" i="26"/>
  <c r="P16" i="26"/>
  <c r="W15" i="26"/>
  <c r="V15" i="26"/>
  <c r="Q15" i="26"/>
  <c r="U15" i="26" s="1"/>
  <c r="Y15" i="26" s="1"/>
  <c r="AG15" i="26" s="1"/>
  <c r="P15" i="26"/>
  <c r="T15" i="26" s="1"/>
  <c r="W14" i="26"/>
  <c r="V14" i="26"/>
  <c r="Q14" i="26"/>
  <c r="P14" i="26"/>
  <c r="Q13" i="26"/>
  <c r="P13" i="26"/>
  <c r="BM12" i="26"/>
  <c r="BQ47" i="26" s="1"/>
  <c r="W12" i="26"/>
  <c r="V12" i="26"/>
  <c r="Q12" i="26"/>
  <c r="P12" i="26"/>
  <c r="Q11" i="26"/>
  <c r="P11" i="26"/>
  <c r="BM10" i="26"/>
  <c r="BQ30" i="26" s="1"/>
  <c r="BQ37" i="26" s="1"/>
  <c r="BQ45" i="26" s="1"/>
  <c r="W10" i="26"/>
  <c r="V10" i="26"/>
  <c r="BM9" i="26"/>
  <c r="BQ23" i="26" s="1"/>
  <c r="W9" i="26"/>
  <c r="V9" i="26"/>
  <c r="Q9" i="26"/>
  <c r="P9" i="26"/>
  <c r="BM8" i="26"/>
  <c r="W8" i="26"/>
  <c r="V8" i="26"/>
  <c r="Q8" i="26"/>
  <c r="P8" i="26"/>
  <c r="BM7" i="26"/>
  <c r="BQ13" i="26" s="1"/>
  <c r="BQ17" i="26" s="1"/>
  <c r="BQ21" i="26" s="1"/>
  <c r="BQ27" i="26" s="1"/>
  <c r="BQ34" i="26" s="1"/>
  <c r="BQ42" i="26" s="1"/>
  <c r="W7" i="26"/>
  <c r="V7" i="26"/>
  <c r="Q7" i="26"/>
  <c r="P7" i="26"/>
  <c r="BQ6" i="26"/>
  <c r="BQ8" i="26" s="1"/>
  <c r="BQ11" i="26" s="1"/>
  <c r="BQ15" i="26" s="1"/>
  <c r="BQ19" i="26" s="1"/>
  <c r="BQ25" i="26" s="1"/>
  <c r="BQ32" i="26" s="1"/>
  <c r="BQ40" i="26" s="1"/>
  <c r="BM6" i="26"/>
  <c r="BQ9" i="26" s="1"/>
  <c r="BQ12" i="26" s="1"/>
  <c r="BQ16" i="26" s="1"/>
  <c r="BQ20" i="26" s="1"/>
  <c r="BQ26" i="26" s="1"/>
  <c r="BQ33" i="26" s="1"/>
  <c r="BQ41" i="26" s="1"/>
  <c r="W6" i="26"/>
  <c r="V6" i="26"/>
  <c r="Q6" i="26"/>
  <c r="P6" i="26"/>
  <c r="BQ5" i="26"/>
  <c r="BQ7" i="26" s="1"/>
  <c r="BQ10" i="26" s="1"/>
  <c r="BQ14" i="26" s="1"/>
  <c r="BI49" i="26" s="1"/>
  <c r="BQ24" i="26" s="1"/>
  <c r="BQ31" i="26" s="1"/>
  <c r="BQ39" i="26" s="1"/>
  <c r="BM14" i="26" s="1"/>
  <c r="W5" i="26"/>
  <c r="V5" i="26"/>
  <c r="Q5" i="26"/>
  <c r="P5" i="26"/>
  <c r="W4" i="26"/>
  <c r="V4" i="26"/>
  <c r="Q4" i="26"/>
  <c r="P4" i="26"/>
  <c r="D3" i="26"/>
  <c r="Q1" i="26"/>
  <c r="P1" i="26"/>
  <c r="N1" i="26"/>
  <c r="N9" i="26" s="1"/>
  <c r="BF48" i="24"/>
  <c r="BF47" i="24"/>
  <c r="BF46" i="24"/>
  <c r="BE45" i="24"/>
  <c r="BE44" i="24"/>
  <c r="BF45" i="24" s="1"/>
  <c r="BD44" i="24"/>
  <c r="BE43" i="24"/>
  <c r="BF44" i="24" s="1"/>
  <c r="BD43" i="24"/>
  <c r="BC43" i="24"/>
  <c r="BF42" i="24"/>
  <c r="BE42" i="24"/>
  <c r="BF43" i="24" s="1"/>
  <c r="BD42" i="24"/>
  <c r="BC42" i="24"/>
  <c r="BF41" i="24"/>
  <c r="BE41" i="24"/>
  <c r="BD41" i="24"/>
  <c r="BC41" i="24"/>
  <c r="BF40" i="24"/>
  <c r="BE40" i="24"/>
  <c r="BD40" i="24"/>
  <c r="BC40" i="24"/>
  <c r="BC39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BI34" i="24"/>
  <c r="BI40" i="24" s="1"/>
  <c r="BI45" i="24" s="1"/>
  <c r="BI50" i="24" s="1"/>
  <c r="BM11" i="24" s="1"/>
  <c r="BQ38" i="24" s="1"/>
  <c r="BQ46" i="24" s="1"/>
  <c r="BF34" i="24"/>
  <c r="BF33" i="24"/>
  <c r="C33" i="24"/>
  <c r="B33" i="24"/>
  <c r="C32" i="24"/>
  <c r="B32" i="24"/>
  <c r="D26" i="24" s="1"/>
  <c r="D27" i="24" s="1"/>
  <c r="BE31" i="24"/>
  <c r="BF32" i="24" s="1"/>
  <c r="BI30" i="24"/>
  <c r="BI37" i="24" s="1"/>
  <c r="BI43" i="24" s="1"/>
  <c r="BI48" i="24" s="1"/>
  <c r="BI53" i="24" s="1"/>
  <c r="BI56" i="24" s="1"/>
  <c r="BI58" i="24" s="1"/>
  <c r="BI59" i="24" s="1"/>
  <c r="BE30" i="24"/>
  <c r="BF31" i="24" s="1"/>
  <c r="BD30" i="24"/>
  <c r="E30" i="24"/>
  <c r="D30" i="24"/>
  <c r="C30" i="24"/>
  <c r="B30" i="24"/>
  <c r="BI29" i="24"/>
  <c r="BI36" i="24" s="1"/>
  <c r="BI42" i="24" s="1"/>
  <c r="BI47" i="24" s="1"/>
  <c r="BI52" i="24" s="1"/>
  <c r="BI55" i="24" s="1"/>
  <c r="BI57" i="24" s="1"/>
  <c r="BM13" i="24" s="1"/>
  <c r="BE29" i="24"/>
  <c r="BF30" i="24" s="1"/>
  <c r="BD29" i="24"/>
  <c r="BC29" i="24"/>
  <c r="C29" i="24"/>
  <c r="B29" i="24"/>
  <c r="BI28" i="24"/>
  <c r="BI35" i="24" s="1"/>
  <c r="BI41" i="24" s="1"/>
  <c r="BI46" i="24" s="1"/>
  <c r="BI51" i="24" s="1"/>
  <c r="BI54" i="24" s="1"/>
  <c r="BM12" i="24" s="1"/>
  <c r="BQ47" i="24" s="1"/>
  <c r="BF28" i="24"/>
  <c r="BE28" i="24"/>
  <c r="BD28" i="24"/>
  <c r="BC28" i="24"/>
  <c r="BI27" i="24"/>
  <c r="BF27" i="24"/>
  <c r="BE27" i="24"/>
  <c r="BD27" i="24"/>
  <c r="BC27" i="24"/>
  <c r="C27" i="24"/>
  <c r="B27" i="24"/>
  <c r="BI26" i="24"/>
  <c r="BI33" i="24" s="1"/>
  <c r="BI39" i="24" s="1"/>
  <c r="BI44" i="24" s="1"/>
  <c r="BF26" i="24"/>
  <c r="BE26" i="24"/>
  <c r="BD26" i="24"/>
  <c r="BC26" i="24"/>
  <c r="E26" i="24"/>
  <c r="E27" i="24" s="1"/>
  <c r="C26" i="24"/>
  <c r="B26" i="24"/>
  <c r="BI25" i="24"/>
  <c r="BI32" i="24" s="1"/>
  <c r="BI38" i="24" s="1"/>
  <c r="BC25" i="24"/>
  <c r="E25" i="24"/>
  <c r="E23" i="24" s="1"/>
  <c r="D25" i="24"/>
  <c r="C25" i="24"/>
  <c r="B25" i="24"/>
  <c r="BI24" i="24"/>
  <c r="BI31" i="24" s="1"/>
  <c r="BM8" i="24" s="1"/>
  <c r="BQ18" i="24" s="1"/>
  <c r="BQ22" i="24" s="1"/>
  <c r="BQ28" i="24" s="1"/>
  <c r="BQ35" i="24" s="1"/>
  <c r="BQ43" i="24" s="1"/>
  <c r="BI23" i="24"/>
  <c r="B22" i="24"/>
  <c r="B20" i="24"/>
  <c r="B21" i="24" s="1"/>
  <c r="W16" i="24"/>
  <c r="V16" i="24"/>
  <c r="R16" i="24"/>
  <c r="Q16" i="24"/>
  <c r="P16" i="24"/>
  <c r="W15" i="24"/>
  <c r="V15" i="24"/>
  <c r="Q15" i="24"/>
  <c r="U15" i="24" s="1"/>
  <c r="Y15" i="24" s="1"/>
  <c r="AG15" i="24" s="1"/>
  <c r="P15" i="24"/>
  <c r="T15" i="24" s="1"/>
  <c r="W14" i="24"/>
  <c r="V14" i="24"/>
  <c r="Q14" i="24"/>
  <c r="P14" i="24"/>
  <c r="Q13" i="24"/>
  <c r="P13" i="24"/>
  <c r="BQ12" i="24"/>
  <c r="BQ16" i="24" s="1"/>
  <c r="BQ20" i="24" s="1"/>
  <c r="BQ26" i="24" s="1"/>
  <c r="BQ33" i="24" s="1"/>
  <c r="BQ41" i="24" s="1"/>
  <c r="W12" i="24"/>
  <c r="V12" i="24"/>
  <c r="Q12" i="24"/>
  <c r="P12" i="24"/>
  <c r="BQ11" i="24"/>
  <c r="BQ15" i="24" s="1"/>
  <c r="BQ19" i="24" s="1"/>
  <c r="BQ25" i="24" s="1"/>
  <c r="BQ32" i="24" s="1"/>
  <c r="BQ40" i="24" s="1"/>
  <c r="Q11" i="24"/>
  <c r="P11" i="24"/>
  <c r="BM10" i="24"/>
  <c r="BQ30" i="24" s="1"/>
  <c r="BQ37" i="24" s="1"/>
  <c r="BQ45" i="24" s="1"/>
  <c r="W10" i="24"/>
  <c r="V10" i="24"/>
  <c r="BM9" i="24"/>
  <c r="BQ23" i="24" s="1"/>
  <c r="BQ29" i="24" s="1"/>
  <c r="BQ36" i="24" s="1"/>
  <c r="BQ44" i="24" s="1"/>
  <c r="W9" i="24"/>
  <c r="V9" i="24"/>
  <c r="Q9" i="24"/>
  <c r="P9" i="24"/>
  <c r="W8" i="24"/>
  <c r="V8" i="24"/>
  <c r="Q8" i="24"/>
  <c r="P8" i="24"/>
  <c r="BM7" i="24"/>
  <c r="BQ13" i="24" s="1"/>
  <c r="BQ17" i="24" s="1"/>
  <c r="BQ21" i="24" s="1"/>
  <c r="BQ27" i="24" s="1"/>
  <c r="BQ34" i="24" s="1"/>
  <c r="BQ42" i="24" s="1"/>
  <c r="W7" i="24"/>
  <c r="V7" i="24"/>
  <c r="Q7" i="24"/>
  <c r="P7" i="24"/>
  <c r="BQ6" i="24"/>
  <c r="BQ8" i="24" s="1"/>
  <c r="BM6" i="24"/>
  <c r="BQ9" i="24" s="1"/>
  <c r="W6" i="24"/>
  <c r="V6" i="24"/>
  <c r="Q6" i="24"/>
  <c r="P6" i="24"/>
  <c r="BQ5" i="24"/>
  <c r="BQ7" i="24" s="1"/>
  <c r="BQ10" i="24" s="1"/>
  <c r="BQ14" i="24" s="1"/>
  <c r="BI49" i="24" s="1"/>
  <c r="BQ24" i="24" s="1"/>
  <c r="BQ31" i="24" s="1"/>
  <c r="BQ39" i="24" s="1"/>
  <c r="BM14" i="24" s="1"/>
  <c r="W5" i="24"/>
  <c r="V5" i="24"/>
  <c r="Q5" i="24"/>
  <c r="P5" i="24"/>
  <c r="W4" i="24"/>
  <c r="V4" i="24"/>
  <c r="Q4" i="24"/>
  <c r="P4" i="24"/>
  <c r="D3" i="24"/>
  <c r="Q1" i="24"/>
  <c r="P1" i="24"/>
  <c r="N1" i="24"/>
  <c r="N5" i="24" s="1"/>
  <c r="B22" i="23"/>
  <c r="BF48" i="23"/>
  <c r="BF47" i="23"/>
  <c r="BF46" i="23"/>
  <c r="BF45" i="23"/>
  <c r="BE45" i="23"/>
  <c r="BF44" i="23"/>
  <c r="BE44" i="23"/>
  <c r="BD44" i="23"/>
  <c r="BF43" i="23"/>
  <c r="BE43" i="23"/>
  <c r="BD43" i="23"/>
  <c r="BC43" i="23"/>
  <c r="BF42" i="23"/>
  <c r="BE42" i="23"/>
  <c r="BD42" i="23"/>
  <c r="BC42" i="23"/>
  <c r="BF41" i="23"/>
  <c r="BE41" i="23"/>
  <c r="BD41" i="23"/>
  <c r="BC41" i="23"/>
  <c r="BF40" i="23"/>
  <c r="BE40" i="23"/>
  <c r="BD40" i="23"/>
  <c r="BC40" i="23"/>
  <c r="BC39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BI35" i="23"/>
  <c r="BI41" i="23" s="1"/>
  <c r="BI46" i="23" s="1"/>
  <c r="BI51" i="23" s="1"/>
  <c r="BI54" i="23" s="1"/>
  <c r="BM12" i="23" s="1"/>
  <c r="BQ47" i="23" s="1"/>
  <c r="BI34" i="23"/>
  <c r="BI40" i="23" s="1"/>
  <c r="BI45" i="23" s="1"/>
  <c r="BI50" i="23" s="1"/>
  <c r="BM11" i="23" s="1"/>
  <c r="BQ38" i="23" s="1"/>
  <c r="BQ46" i="23" s="1"/>
  <c r="BF34" i="23"/>
  <c r="BI33" i="23"/>
  <c r="BI39" i="23" s="1"/>
  <c r="BI44" i="23" s="1"/>
  <c r="BM10" i="23" s="1"/>
  <c r="BQ30" i="23" s="1"/>
  <c r="BQ37" i="23" s="1"/>
  <c r="BQ45" i="23" s="1"/>
  <c r="BF33" i="23"/>
  <c r="C33" i="23"/>
  <c r="B33" i="23"/>
  <c r="BF32" i="23"/>
  <c r="C32" i="23"/>
  <c r="B32" i="23"/>
  <c r="BF31" i="23"/>
  <c r="BE31" i="23"/>
  <c r="BI30" i="23"/>
  <c r="BI37" i="23" s="1"/>
  <c r="BI43" i="23" s="1"/>
  <c r="BI48" i="23" s="1"/>
  <c r="BI53" i="23" s="1"/>
  <c r="BI56" i="23" s="1"/>
  <c r="BI58" i="23" s="1"/>
  <c r="BI59" i="23" s="1"/>
  <c r="BF30" i="23"/>
  <c r="BE30" i="23"/>
  <c r="BD30" i="23"/>
  <c r="E30" i="23"/>
  <c r="D30" i="23"/>
  <c r="C30" i="23"/>
  <c r="B30" i="23"/>
  <c r="BI29" i="23"/>
  <c r="BI36" i="23" s="1"/>
  <c r="BI42" i="23" s="1"/>
  <c r="BI47" i="23" s="1"/>
  <c r="BI52" i="23" s="1"/>
  <c r="BI55" i="23" s="1"/>
  <c r="BI57" i="23" s="1"/>
  <c r="BM13" i="23" s="1"/>
  <c r="BF29" i="23"/>
  <c r="BE29" i="23"/>
  <c r="BD29" i="23"/>
  <c r="BC29" i="23"/>
  <c r="C29" i="23"/>
  <c r="B29" i="23"/>
  <c r="BI28" i="23"/>
  <c r="BF28" i="23"/>
  <c r="BE28" i="23"/>
  <c r="BD28" i="23"/>
  <c r="BC28" i="23"/>
  <c r="BI27" i="23"/>
  <c r="BF27" i="23"/>
  <c r="BE27" i="23"/>
  <c r="BD27" i="23"/>
  <c r="BC27" i="23"/>
  <c r="C27" i="23"/>
  <c r="B27" i="23"/>
  <c r="BI26" i="23"/>
  <c r="BF26" i="23"/>
  <c r="BE26" i="23"/>
  <c r="BD26" i="23"/>
  <c r="BC26" i="23"/>
  <c r="E26" i="23"/>
  <c r="E27" i="23" s="1"/>
  <c r="D26" i="23"/>
  <c r="D27" i="23" s="1"/>
  <c r="D23" i="23" s="1"/>
  <c r="C26" i="23"/>
  <c r="B26" i="23"/>
  <c r="BI25" i="23"/>
  <c r="BI32" i="23" s="1"/>
  <c r="BI38" i="23" s="1"/>
  <c r="BC25" i="23"/>
  <c r="E25" i="23"/>
  <c r="E23" i="23" s="1"/>
  <c r="D25" i="23"/>
  <c r="C25" i="23"/>
  <c r="B25" i="23"/>
  <c r="BI24" i="23"/>
  <c r="BI31" i="23" s="1"/>
  <c r="BI23" i="23"/>
  <c r="B20" i="23"/>
  <c r="B21" i="23" s="1"/>
  <c r="W16" i="23"/>
  <c r="V16" i="23"/>
  <c r="R16" i="23"/>
  <c r="Q16" i="23"/>
  <c r="P16" i="23"/>
  <c r="W15" i="23"/>
  <c r="V15" i="23"/>
  <c r="Q15" i="23"/>
  <c r="U15" i="23" s="1"/>
  <c r="Y15" i="23" s="1"/>
  <c r="AG15" i="23" s="1"/>
  <c r="P15" i="23"/>
  <c r="T15" i="23" s="1"/>
  <c r="W14" i="23"/>
  <c r="V14" i="23"/>
  <c r="Q14" i="23"/>
  <c r="P14" i="23"/>
  <c r="Q13" i="23"/>
  <c r="P13" i="23"/>
  <c r="BQ12" i="23"/>
  <c r="BQ16" i="23" s="1"/>
  <c r="BQ20" i="23" s="1"/>
  <c r="BQ26" i="23" s="1"/>
  <c r="BQ33" i="23" s="1"/>
  <c r="BQ41" i="23" s="1"/>
  <c r="W12" i="23"/>
  <c r="V12" i="23"/>
  <c r="Q12" i="23"/>
  <c r="P12" i="23"/>
  <c r="BQ11" i="23"/>
  <c r="BQ15" i="23" s="1"/>
  <c r="BQ19" i="23" s="1"/>
  <c r="BQ25" i="23" s="1"/>
  <c r="BQ32" i="23" s="1"/>
  <c r="BQ40" i="23" s="1"/>
  <c r="Q11" i="23"/>
  <c r="P11" i="23"/>
  <c r="W10" i="23"/>
  <c r="V10" i="23"/>
  <c r="BM9" i="23"/>
  <c r="BQ23" i="23" s="1"/>
  <c r="BQ29" i="23" s="1"/>
  <c r="BQ36" i="23" s="1"/>
  <c r="BQ44" i="23" s="1"/>
  <c r="W9" i="23"/>
  <c r="V9" i="23"/>
  <c r="Q9" i="23"/>
  <c r="P9" i="23"/>
  <c r="BM8" i="23"/>
  <c r="BQ18" i="23" s="1"/>
  <c r="BQ22" i="23" s="1"/>
  <c r="BQ28" i="23" s="1"/>
  <c r="BQ35" i="23" s="1"/>
  <c r="BQ43" i="23" s="1"/>
  <c r="W8" i="23"/>
  <c r="V8" i="23"/>
  <c r="Q8" i="23"/>
  <c r="P8" i="23"/>
  <c r="BM7" i="23"/>
  <c r="BQ13" i="23" s="1"/>
  <c r="BQ17" i="23" s="1"/>
  <c r="BQ21" i="23" s="1"/>
  <c r="BQ27" i="23" s="1"/>
  <c r="BQ34" i="23" s="1"/>
  <c r="BQ42" i="23" s="1"/>
  <c r="W7" i="23"/>
  <c r="V7" i="23"/>
  <c r="Q7" i="23"/>
  <c r="P7" i="23"/>
  <c r="BQ6" i="23"/>
  <c r="BQ8" i="23" s="1"/>
  <c r="BM6" i="23"/>
  <c r="BQ9" i="23" s="1"/>
  <c r="W6" i="23"/>
  <c r="V6" i="23"/>
  <c r="Q6" i="23"/>
  <c r="P6" i="23"/>
  <c r="BQ5" i="23"/>
  <c r="BQ7" i="23" s="1"/>
  <c r="BQ10" i="23" s="1"/>
  <c r="BQ14" i="23" s="1"/>
  <c r="BI49" i="23" s="1"/>
  <c r="BQ24" i="23" s="1"/>
  <c r="BQ31" i="23" s="1"/>
  <c r="BQ39" i="23" s="1"/>
  <c r="BM14" i="23" s="1"/>
  <c r="W5" i="23"/>
  <c r="V5" i="23"/>
  <c r="Q5" i="23"/>
  <c r="P5" i="23"/>
  <c r="W4" i="23"/>
  <c r="V4" i="23"/>
  <c r="Q4" i="23"/>
  <c r="P4" i="23"/>
  <c r="D3" i="23"/>
  <c r="Q1" i="23"/>
  <c r="P1" i="23"/>
  <c r="N1" i="23"/>
  <c r="N9" i="23" s="1"/>
  <c r="V10" i="3"/>
  <c r="V9" i="3"/>
  <c r="V4" i="3"/>
  <c r="V6" i="3"/>
  <c r="V7" i="3"/>
  <c r="V5" i="3"/>
  <c r="V8" i="3"/>
  <c r="L4" i="3"/>
  <c r="K4" i="3"/>
  <c r="BF48" i="10"/>
  <c r="BF47" i="10"/>
  <c r="BE45" i="10"/>
  <c r="BF46" i="10" s="1"/>
  <c r="BE44" i="10"/>
  <c r="BF45" i="10" s="1"/>
  <c r="BD44" i="10"/>
  <c r="BE43" i="10"/>
  <c r="BD43" i="10"/>
  <c r="BC43" i="10"/>
  <c r="BF42" i="10"/>
  <c r="BE42" i="10"/>
  <c r="BF43" i="10" s="1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I37" i="10"/>
  <c r="BI43" i="10" s="1"/>
  <c r="BI48" i="10" s="1"/>
  <c r="BI53" i="10" s="1"/>
  <c r="BI56" i="10" s="1"/>
  <c r="BI58" i="10" s="1"/>
  <c r="BI59" i="10" s="1"/>
  <c r="BI36" i="10"/>
  <c r="BI42" i="10" s="1"/>
  <c r="BI47" i="10" s="1"/>
  <c r="BI52" i="10" s="1"/>
  <c r="BI55" i="10" s="1"/>
  <c r="BI57" i="10" s="1"/>
  <c r="BM13" i="10" s="1"/>
  <c r="BF34" i="10"/>
  <c r="BI33" i="10"/>
  <c r="BI39" i="10" s="1"/>
  <c r="BI44" i="10" s="1"/>
  <c r="BM10" i="10" s="1"/>
  <c r="BQ30" i="10" s="1"/>
  <c r="BQ37" i="10" s="1"/>
  <c r="BQ45" i="10" s="1"/>
  <c r="BF33" i="10"/>
  <c r="C33" i="10"/>
  <c r="B33" i="10"/>
  <c r="BI32" i="10"/>
  <c r="BI38" i="10" s="1"/>
  <c r="BF32" i="10"/>
  <c r="C32" i="10"/>
  <c r="B32" i="10"/>
  <c r="BI31" i="10"/>
  <c r="BM8" i="10" s="1"/>
  <c r="BQ18" i="10" s="1"/>
  <c r="BQ22" i="10" s="1"/>
  <c r="BQ28" i="10" s="1"/>
  <c r="BQ35" i="10" s="1"/>
  <c r="BQ43" i="10" s="1"/>
  <c r="BE31" i="10"/>
  <c r="BI30" i="10"/>
  <c r="BE30" i="10"/>
  <c r="BF31" i="10" s="1"/>
  <c r="BD30" i="10"/>
  <c r="E30" i="10"/>
  <c r="D30" i="10"/>
  <c r="C30" i="10"/>
  <c r="B30" i="10"/>
  <c r="BI29" i="10"/>
  <c r="BF29" i="10"/>
  <c r="BE29" i="10"/>
  <c r="BF30" i="10" s="1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F28" i="10" s="1"/>
  <c r="BD27" i="10"/>
  <c r="BC27" i="10"/>
  <c r="D27" i="10"/>
  <c r="C27" i="10"/>
  <c r="B27" i="10"/>
  <c r="BI26" i="10"/>
  <c r="BF26" i="10"/>
  <c r="BE26" i="10"/>
  <c r="BD26" i="10"/>
  <c r="BC26" i="10"/>
  <c r="E26" i="10"/>
  <c r="E27" i="10" s="1"/>
  <c r="D26" i="10"/>
  <c r="C26" i="10"/>
  <c r="B26" i="10"/>
  <c r="BI25" i="10"/>
  <c r="BC25" i="10"/>
  <c r="E25" i="10"/>
  <c r="D25" i="10"/>
  <c r="D23" i="10" s="1"/>
  <c r="C25" i="10"/>
  <c r="B25" i="10"/>
  <c r="BI24" i="10"/>
  <c r="BI23" i="10"/>
  <c r="B22" i="10"/>
  <c r="C22" i="10" s="1"/>
  <c r="G14" i="10" s="1"/>
  <c r="B21" i="10"/>
  <c r="B20" i="10"/>
  <c r="W16" i="10"/>
  <c r="V16" i="10"/>
  <c r="R16" i="10"/>
  <c r="Q16" i="10"/>
  <c r="P16" i="10"/>
  <c r="W15" i="10"/>
  <c r="V15" i="10"/>
  <c r="Q15" i="10"/>
  <c r="U15" i="10" s="1"/>
  <c r="Y15" i="10" s="1"/>
  <c r="AG15" i="10" s="1"/>
  <c r="P15" i="10"/>
  <c r="W14" i="10"/>
  <c r="V14" i="10"/>
  <c r="Q14" i="10"/>
  <c r="P14" i="10"/>
  <c r="Q13" i="10"/>
  <c r="P13" i="10"/>
  <c r="BQ12" i="10"/>
  <c r="BQ16" i="10" s="1"/>
  <c r="BQ20" i="10" s="1"/>
  <c r="BQ26" i="10" s="1"/>
  <c r="BQ33" i="10" s="1"/>
  <c r="BQ41" i="10" s="1"/>
  <c r="W12" i="10"/>
  <c r="V12" i="10"/>
  <c r="Q12" i="10"/>
  <c r="P12" i="10"/>
  <c r="Q11" i="10"/>
  <c r="P11" i="10"/>
  <c r="W10" i="10"/>
  <c r="V10" i="10"/>
  <c r="BQ9" i="10"/>
  <c r="BM9" i="10"/>
  <c r="BQ23" i="10" s="1"/>
  <c r="BQ29" i="10" s="1"/>
  <c r="BQ36" i="10" s="1"/>
  <c r="BQ44" i="10" s="1"/>
  <c r="W9" i="10"/>
  <c r="V9" i="10"/>
  <c r="Q9" i="10"/>
  <c r="P9" i="10"/>
  <c r="BQ8" i="10"/>
  <c r="BQ11" i="10" s="1"/>
  <c r="BQ15" i="10" s="1"/>
  <c r="BQ19" i="10" s="1"/>
  <c r="BQ25" i="10" s="1"/>
  <c r="BQ32" i="10" s="1"/>
  <c r="BQ40" i="10" s="1"/>
  <c r="W8" i="10"/>
  <c r="V8" i="10"/>
  <c r="Q8" i="10"/>
  <c r="P8" i="10"/>
  <c r="BM7" i="10"/>
  <c r="BQ13" i="10" s="1"/>
  <c r="BQ17" i="10" s="1"/>
  <c r="BQ21" i="10" s="1"/>
  <c r="BQ27" i="10" s="1"/>
  <c r="BQ34" i="10" s="1"/>
  <c r="BQ42" i="10" s="1"/>
  <c r="W7" i="10"/>
  <c r="V7" i="10"/>
  <c r="Q7" i="10"/>
  <c r="P7" i="10"/>
  <c r="BQ6" i="10"/>
  <c r="BM6" i="10"/>
  <c r="W6" i="10"/>
  <c r="V6" i="10"/>
  <c r="Q6" i="10"/>
  <c r="P6" i="10"/>
  <c r="BQ5" i="10"/>
  <c r="BQ7" i="10" s="1"/>
  <c r="BQ10" i="10" s="1"/>
  <c r="BQ14" i="10" s="1"/>
  <c r="BI49" i="10" s="1"/>
  <c r="BQ24" i="10" s="1"/>
  <c r="BQ31" i="10" s="1"/>
  <c r="BQ39" i="10" s="1"/>
  <c r="BM14" i="10" s="1"/>
  <c r="W5" i="10"/>
  <c r="V5" i="10"/>
  <c r="Q5" i="10"/>
  <c r="P5" i="10"/>
  <c r="W4" i="10"/>
  <c r="V4" i="10"/>
  <c r="Q4" i="10"/>
  <c r="P4" i="10"/>
  <c r="D3" i="10"/>
  <c r="Q1" i="10"/>
  <c r="P1" i="10"/>
  <c r="N1" i="10"/>
  <c r="N7" i="10" s="1"/>
  <c r="V3" i="3"/>
  <c r="E23" i="26" l="1"/>
  <c r="V11" i="26"/>
  <c r="X15" i="26"/>
  <c r="AA15" i="26" s="1"/>
  <c r="AB15" i="26" s="1"/>
  <c r="W11" i="26"/>
  <c r="R9" i="26"/>
  <c r="N7" i="26"/>
  <c r="R7" i="26" s="1"/>
  <c r="D26" i="26"/>
  <c r="D27" i="26" s="1"/>
  <c r="D23" i="26" s="1"/>
  <c r="N6" i="26"/>
  <c r="R6" i="26" s="1"/>
  <c r="AH15" i="26"/>
  <c r="AJ15" i="26"/>
  <c r="N15" i="26"/>
  <c r="N14" i="26"/>
  <c r="R14" i="26" s="1"/>
  <c r="N12" i="26"/>
  <c r="R12" i="26" s="1"/>
  <c r="N11" i="26"/>
  <c r="R11" i="26" s="1"/>
  <c r="N5" i="26"/>
  <c r="R5" i="26" s="1"/>
  <c r="N8" i="26"/>
  <c r="R8" i="26" s="1"/>
  <c r="N13" i="26"/>
  <c r="R13" i="26" s="1"/>
  <c r="C31" i="26"/>
  <c r="W39" i="26" s="1"/>
  <c r="N4" i="26"/>
  <c r="R4" i="26" s="1"/>
  <c r="N10" i="26"/>
  <c r="R10" i="26" s="1"/>
  <c r="G13" i="26"/>
  <c r="R15" i="26"/>
  <c r="B23" i="26"/>
  <c r="N4" i="24"/>
  <c r="R4" i="24" s="1"/>
  <c r="R5" i="24"/>
  <c r="B31" i="24"/>
  <c r="W25" i="24" s="1"/>
  <c r="X15" i="24"/>
  <c r="AA15" i="24" s="1"/>
  <c r="AB15" i="24" s="1"/>
  <c r="AH15" i="24"/>
  <c r="AJ15" i="24"/>
  <c r="W11" i="24"/>
  <c r="C31" i="24"/>
  <c r="W39" i="24" s="1"/>
  <c r="N15" i="24"/>
  <c r="N14" i="24"/>
  <c r="R14" i="24" s="1"/>
  <c r="N12" i="24"/>
  <c r="R12" i="24" s="1"/>
  <c r="N11" i="24"/>
  <c r="R11" i="24" s="1"/>
  <c r="N6" i="24"/>
  <c r="R6" i="24" s="1"/>
  <c r="N8" i="24"/>
  <c r="D23" i="24"/>
  <c r="BF29" i="24"/>
  <c r="R8" i="24"/>
  <c r="N9" i="24"/>
  <c r="R9" i="24" s="1"/>
  <c r="V11" i="24"/>
  <c r="N13" i="24"/>
  <c r="R13" i="24" s="1"/>
  <c r="N7" i="24"/>
  <c r="R7" i="24" s="1"/>
  <c r="N10" i="24"/>
  <c r="R10" i="24" s="1"/>
  <c r="C22" i="24"/>
  <c r="G14" i="24" s="1"/>
  <c r="G13" i="24"/>
  <c r="R15" i="24"/>
  <c r="N4" i="23"/>
  <c r="N7" i="23"/>
  <c r="R7" i="23" s="1"/>
  <c r="N6" i="23"/>
  <c r="W11" i="23"/>
  <c r="R6" i="23"/>
  <c r="R15" i="23"/>
  <c r="R9" i="23"/>
  <c r="X15" i="23"/>
  <c r="AA15" i="23" s="1"/>
  <c r="AB15" i="23" s="1"/>
  <c r="R4" i="23"/>
  <c r="C22" i="23"/>
  <c r="G14" i="23" s="1"/>
  <c r="G13" i="23"/>
  <c r="AJ15" i="23"/>
  <c r="AH15" i="23"/>
  <c r="R12" i="23"/>
  <c r="V11" i="23"/>
  <c r="N15" i="23"/>
  <c r="N14" i="23"/>
  <c r="R14" i="23" s="1"/>
  <c r="N12" i="23"/>
  <c r="N11" i="23"/>
  <c r="R11" i="23" s="1"/>
  <c r="N5" i="23"/>
  <c r="N8" i="23"/>
  <c r="R8" i="23" s="1"/>
  <c r="N10" i="23"/>
  <c r="R10" i="23" s="1"/>
  <c r="N13" i="23"/>
  <c r="R13" i="23" s="1"/>
  <c r="B31" i="23"/>
  <c r="W25" i="23" s="1"/>
  <c r="C31" i="23"/>
  <c r="W39" i="23" s="1"/>
  <c r="W11" i="10"/>
  <c r="G13" i="10"/>
  <c r="V11" i="10"/>
  <c r="E23" i="10"/>
  <c r="N4" i="10"/>
  <c r="R4" i="10" s="1"/>
  <c r="N5" i="10"/>
  <c r="R5" i="10" s="1"/>
  <c r="N12" i="10"/>
  <c r="N15" i="10"/>
  <c r="R12" i="10"/>
  <c r="B31" i="10"/>
  <c r="W25" i="10" s="1"/>
  <c r="AJ15" i="10"/>
  <c r="AH15" i="10"/>
  <c r="R7" i="10"/>
  <c r="N14" i="10"/>
  <c r="R14" i="10" s="1"/>
  <c r="T15" i="10"/>
  <c r="X15" i="10" s="1"/>
  <c r="AA15" i="10" s="1"/>
  <c r="R15" i="10"/>
  <c r="C31" i="10"/>
  <c r="W39" i="10" s="1"/>
  <c r="N9" i="10"/>
  <c r="N13" i="10"/>
  <c r="R13" i="10" s="1"/>
  <c r="R9" i="10"/>
  <c r="N8" i="10"/>
  <c r="N10" i="10"/>
  <c r="R10" i="10" s="1"/>
  <c r="N11" i="10"/>
  <c r="R11" i="10" s="1"/>
  <c r="BF44" i="10"/>
  <c r="N6" i="10"/>
  <c r="R6" i="10" s="1"/>
  <c r="R8" i="10"/>
  <c r="B23" i="10"/>
  <c r="B31" i="26" l="1"/>
  <c r="W25" i="26" s="1"/>
  <c r="C23" i="26"/>
  <c r="R2" i="26"/>
  <c r="B24" i="26"/>
  <c r="B34" i="26"/>
  <c r="N2" i="26"/>
  <c r="B23" i="23"/>
  <c r="T39" i="23" s="1"/>
  <c r="B23" i="24"/>
  <c r="N2" i="24"/>
  <c r="R2" i="24"/>
  <c r="N2" i="23"/>
  <c r="R5" i="23"/>
  <c r="T48" i="10"/>
  <c r="C23" i="10"/>
  <c r="T29" i="10" s="1"/>
  <c r="R2" i="10"/>
  <c r="S14" i="10" s="1"/>
  <c r="AB15" i="10"/>
  <c r="T43" i="10"/>
  <c r="T46" i="10"/>
  <c r="T40" i="10"/>
  <c r="T45" i="10"/>
  <c r="N2" i="10"/>
  <c r="T28" i="10"/>
  <c r="T42" i="10"/>
  <c r="B34" i="10"/>
  <c r="T16" i="10" s="1"/>
  <c r="X16" i="10" s="1"/>
  <c r="AA16" i="10" s="1"/>
  <c r="T47" i="10"/>
  <c r="T44" i="10"/>
  <c r="B24" i="10"/>
  <c r="T41" i="10"/>
  <c r="T39" i="10"/>
  <c r="T33" i="10"/>
  <c r="T49" i="10"/>
  <c r="T48" i="26" l="1"/>
  <c r="T42" i="26"/>
  <c r="T45" i="26"/>
  <c r="T46" i="26"/>
  <c r="T49" i="26"/>
  <c r="T44" i="26"/>
  <c r="T40" i="26"/>
  <c r="T41" i="26"/>
  <c r="S10" i="26"/>
  <c r="T10" i="26" s="1"/>
  <c r="X10" i="26" s="1"/>
  <c r="AA10" i="26" s="1"/>
  <c r="T39" i="26"/>
  <c r="T16" i="26"/>
  <c r="X16" i="26" s="1"/>
  <c r="AA16" i="26" s="1"/>
  <c r="AB16" i="26" s="1"/>
  <c r="T47" i="26"/>
  <c r="T43" i="26"/>
  <c r="S16" i="26"/>
  <c r="S6" i="26"/>
  <c r="S9" i="26"/>
  <c r="S7" i="26"/>
  <c r="S13" i="26"/>
  <c r="C34" i="26"/>
  <c r="U16" i="26" s="1"/>
  <c r="Y16" i="26" s="1"/>
  <c r="AG16" i="26" s="1"/>
  <c r="T25" i="26"/>
  <c r="C24" i="26"/>
  <c r="T28" i="26"/>
  <c r="T27" i="26"/>
  <c r="T33" i="26"/>
  <c r="T31" i="26"/>
  <c r="T30" i="26"/>
  <c r="T35" i="26"/>
  <c r="T34" i="26"/>
  <c r="T29" i="26"/>
  <c r="T32" i="26"/>
  <c r="T26" i="26"/>
  <c r="S5" i="26"/>
  <c r="N27" i="26"/>
  <c r="P27" i="26" s="1"/>
  <c r="N25" i="26"/>
  <c r="N29" i="26"/>
  <c r="P29" i="26" s="1"/>
  <c r="N26" i="26"/>
  <c r="N28" i="26"/>
  <c r="P28" i="26" s="1"/>
  <c r="N30" i="26"/>
  <c r="P30" i="26" s="1"/>
  <c r="R35" i="26" s="1"/>
  <c r="S8" i="26"/>
  <c r="S15" i="26"/>
  <c r="S4" i="26"/>
  <c r="S14" i="26"/>
  <c r="S11" i="26"/>
  <c r="S12" i="26"/>
  <c r="C23" i="23"/>
  <c r="T49" i="23"/>
  <c r="T45" i="23"/>
  <c r="T48" i="23"/>
  <c r="T40" i="23"/>
  <c r="T46" i="23"/>
  <c r="T47" i="23"/>
  <c r="T41" i="23"/>
  <c r="T44" i="23"/>
  <c r="B24" i="23"/>
  <c r="N28" i="23" s="1"/>
  <c r="P28" i="23" s="1"/>
  <c r="B34" i="23"/>
  <c r="T16" i="23" s="1"/>
  <c r="X16" i="23" s="1"/>
  <c r="AA16" i="23" s="1"/>
  <c r="AD16" i="23" s="1"/>
  <c r="T43" i="23"/>
  <c r="T42" i="23"/>
  <c r="S9" i="24"/>
  <c r="U9" i="24" s="1"/>
  <c r="Y9" i="24" s="1"/>
  <c r="AG9" i="24" s="1"/>
  <c r="S7" i="24"/>
  <c r="U7" i="24" s="1"/>
  <c r="Y7" i="24" s="1"/>
  <c r="AG7" i="24" s="1"/>
  <c r="S6" i="24"/>
  <c r="U6" i="24" s="1"/>
  <c r="Y6" i="24" s="1"/>
  <c r="AG6" i="24" s="1"/>
  <c r="B34" i="24"/>
  <c r="T16" i="24" s="1"/>
  <c r="X16" i="24" s="1"/>
  <c r="AA16" i="24" s="1"/>
  <c r="B24" i="24"/>
  <c r="T46" i="24"/>
  <c r="T45" i="24"/>
  <c r="T44" i="24"/>
  <c r="T43" i="24"/>
  <c r="T41" i="24"/>
  <c r="T48" i="24"/>
  <c r="T42" i="24"/>
  <c r="T49" i="24"/>
  <c r="T40" i="24"/>
  <c r="T47" i="24"/>
  <c r="T39" i="24"/>
  <c r="C23" i="24"/>
  <c r="S8" i="24"/>
  <c r="S10" i="24"/>
  <c r="S14" i="24"/>
  <c r="S15" i="24"/>
  <c r="S13" i="24"/>
  <c r="S16" i="24"/>
  <c r="S5" i="24"/>
  <c r="S4" i="24"/>
  <c r="S11" i="24"/>
  <c r="S12" i="24"/>
  <c r="R2" i="23"/>
  <c r="S7" i="23" s="1"/>
  <c r="C34" i="23"/>
  <c r="U16" i="23" s="1"/>
  <c r="Y16" i="23" s="1"/>
  <c r="AG16" i="23" s="1"/>
  <c r="T25" i="23"/>
  <c r="T30" i="23"/>
  <c r="T28" i="23"/>
  <c r="T31" i="23"/>
  <c r="T27" i="23"/>
  <c r="C24" i="23"/>
  <c r="T35" i="23"/>
  <c r="T34" i="23"/>
  <c r="T26" i="23"/>
  <c r="T32" i="23"/>
  <c r="T29" i="23"/>
  <c r="T33" i="23"/>
  <c r="T31" i="10"/>
  <c r="T30" i="10"/>
  <c r="T27" i="10"/>
  <c r="T26" i="10"/>
  <c r="T34" i="10"/>
  <c r="C24" i="10"/>
  <c r="T35" i="10"/>
  <c r="T32" i="10"/>
  <c r="C34" i="10"/>
  <c r="U16" i="10" s="1"/>
  <c r="Y16" i="10" s="1"/>
  <c r="AG16" i="10" s="1"/>
  <c r="AJ16" i="10" s="1"/>
  <c r="T25" i="10"/>
  <c r="T37" i="10"/>
  <c r="T14" i="10"/>
  <c r="X14" i="10" s="1"/>
  <c r="AA14" i="10" s="1"/>
  <c r="U14" i="10"/>
  <c r="Y14" i="10" s="1"/>
  <c r="AG14" i="10" s="1"/>
  <c r="S7" i="10"/>
  <c r="S6" i="10"/>
  <c r="N25" i="10"/>
  <c r="N27" i="10"/>
  <c r="P27" i="10" s="1"/>
  <c r="N29" i="10"/>
  <c r="P29" i="10" s="1"/>
  <c r="N26" i="10"/>
  <c r="N30" i="10"/>
  <c r="P30" i="10" s="1"/>
  <c r="R35" i="10" s="1"/>
  <c r="N28" i="10"/>
  <c r="P28" i="10" s="1"/>
  <c r="S9" i="10"/>
  <c r="S16" i="10"/>
  <c r="S5" i="10"/>
  <c r="S4" i="10"/>
  <c r="S12" i="10"/>
  <c r="S11" i="10"/>
  <c r="AD16" i="10"/>
  <c r="AB16" i="10"/>
  <c r="S8" i="10"/>
  <c r="S10" i="10"/>
  <c r="S15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S13" i="10"/>
  <c r="T37" i="26" l="1"/>
  <c r="U10" i="26"/>
  <c r="Y10" i="26" s="1"/>
  <c r="AG10" i="26" s="1"/>
  <c r="AH10" i="26" s="1"/>
  <c r="AD16" i="26"/>
  <c r="R33" i="26"/>
  <c r="N43" i="26"/>
  <c r="P43" i="26" s="1"/>
  <c r="N41" i="26"/>
  <c r="P41" i="26" s="1"/>
  <c r="N44" i="26"/>
  <c r="P44" i="26" s="1"/>
  <c r="N40" i="26"/>
  <c r="P40" i="26" s="1"/>
  <c r="N39" i="26"/>
  <c r="N42" i="26"/>
  <c r="P42" i="26" s="1"/>
  <c r="T23" i="26"/>
  <c r="T14" i="26"/>
  <c r="X14" i="26" s="1"/>
  <c r="AA14" i="26" s="1"/>
  <c r="U14" i="26"/>
  <c r="Y14" i="26" s="1"/>
  <c r="AG14" i="26" s="1"/>
  <c r="AH16" i="26"/>
  <c r="AJ16" i="26"/>
  <c r="S2" i="26"/>
  <c r="U4" i="26"/>
  <c r="T4" i="26"/>
  <c r="R34" i="26"/>
  <c r="T5" i="26"/>
  <c r="X5" i="26" s="1"/>
  <c r="AA5" i="26" s="1"/>
  <c r="U5" i="26"/>
  <c r="Y5" i="26" s="1"/>
  <c r="AG5" i="26" s="1"/>
  <c r="U13" i="26"/>
  <c r="Y13" i="26" s="1"/>
  <c r="AG13" i="26" s="1"/>
  <c r="T13" i="26"/>
  <c r="X13" i="26" s="1"/>
  <c r="AA13" i="26" s="1"/>
  <c r="U12" i="26"/>
  <c r="Y12" i="26" s="1"/>
  <c r="AG12" i="26" s="1"/>
  <c r="T12" i="26"/>
  <c r="X12" i="26" s="1"/>
  <c r="AA12" i="26" s="1"/>
  <c r="AB10" i="26"/>
  <c r="P25" i="26"/>
  <c r="N23" i="26"/>
  <c r="U7" i="26"/>
  <c r="Y7" i="26" s="1"/>
  <c r="AG7" i="26" s="1"/>
  <c r="T7" i="26"/>
  <c r="X7" i="26" s="1"/>
  <c r="AA7" i="26" s="1"/>
  <c r="R32" i="26"/>
  <c r="U9" i="26"/>
  <c r="Y9" i="26" s="1"/>
  <c r="AG9" i="26" s="1"/>
  <c r="T9" i="26"/>
  <c r="X9" i="26" s="1"/>
  <c r="AA9" i="26" s="1"/>
  <c r="U8" i="26"/>
  <c r="Y8" i="26" s="1"/>
  <c r="AG8" i="26" s="1"/>
  <c r="T8" i="26"/>
  <c r="X8" i="26" s="1"/>
  <c r="AA8" i="26" s="1"/>
  <c r="U6" i="26"/>
  <c r="Y6" i="26" s="1"/>
  <c r="AG6" i="26" s="1"/>
  <c r="T6" i="26"/>
  <c r="X6" i="26" s="1"/>
  <c r="AA6" i="26" s="1"/>
  <c r="P26" i="26"/>
  <c r="R31" i="26" s="1"/>
  <c r="U11" i="26"/>
  <c r="Y11" i="26" s="1"/>
  <c r="AG11" i="26" s="1"/>
  <c r="T11" i="26"/>
  <c r="X11" i="26" s="1"/>
  <c r="AA11" i="26" s="1"/>
  <c r="T37" i="23"/>
  <c r="N30" i="23"/>
  <c r="P30" i="23" s="1"/>
  <c r="R35" i="23" s="1"/>
  <c r="N25" i="23"/>
  <c r="N23" i="23" s="1"/>
  <c r="N26" i="23"/>
  <c r="N29" i="23"/>
  <c r="P29" i="23" s="1"/>
  <c r="R34" i="23" s="1"/>
  <c r="AB16" i="23"/>
  <c r="N27" i="23"/>
  <c r="P27" i="23" s="1"/>
  <c r="R32" i="23" s="1"/>
  <c r="T9" i="24"/>
  <c r="X9" i="24" s="1"/>
  <c r="AA9" i="24" s="1"/>
  <c r="AB9" i="24" s="1"/>
  <c r="T7" i="24"/>
  <c r="X7" i="24" s="1"/>
  <c r="AA7" i="24" s="1"/>
  <c r="AB7" i="24" s="1"/>
  <c r="T6" i="24"/>
  <c r="X6" i="24" s="1"/>
  <c r="AA6" i="24" s="1"/>
  <c r="AB6" i="24" s="1"/>
  <c r="U13" i="24"/>
  <c r="Y13" i="24" s="1"/>
  <c r="AG13" i="24" s="1"/>
  <c r="T13" i="24"/>
  <c r="X13" i="24" s="1"/>
  <c r="AA13" i="24" s="1"/>
  <c r="N25" i="24"/>
  <c r="N30" i="24"/>
  <c r="P30" i="24" s="1"/>
  <c r="R35" i="24" s="1"/>
  <c r="N29" i="24"/>
  <c r="P29" i="24" s="1"/>
  <c r="N26" i="24"/>
  <c r="N28" i="24"/>
  <c r="P28" i="24" s="1"/>
  <c r="N27" i="24"/>
  <c r="P27" i="24" s="1"/>
  <c r="U11" i="24"/>
  <c r="Y11" i="24" s="1"/>
  <c r="AG11" i="24" s="1"/>
  <c r="T11" i="24"/>
  <c r="X11" i="24" s="1"/>
  <c r="AA11" i="24" s="1"/>
  <c r="T14" i="24"/>
  <c r="X14" i="24" s="1"/>
  <c r="AA14" i="24" s="1"/>
  <c r="U14" i="24"/>
  <c r="Y14" i="24" s="1"/>
  <c r="AG14" i="24" s="1"/>
  <c r="AD16" i="24"/>
  <c r="AB16" i="24"/>
  <c r="S2" i="24"/>
  <c r="T4" i="24"/>
  <c r="U4" i="24"/>
  <c r="T10" i="24"/>
  <c r="X10" i="24" s="1"/>
  <c r="AA10" i="24" s="1"/>
  <c r="U10" i="24"/>
  <c r="Y10" i="24" s="1"/>
  <c r="AG10" i="24" s="1"/>
  <c r="T37" i="24"/>
  <c r="AH7" i="24"/>
  <c r="T5" i="24"/>
  <c r="X5" i="24" s="1"/>
  <c r="AA5" i="24" s="1"/>
  <c r="U5" i="24"/>
  <c r="Y5" i="24" s="1"/>
  <c r="AG5" i="24" s="1"/>
  <c r="U8" i="24"/>
  <c r="Y8" i="24" s="1"/>
  <c r="AG8" i="24" s="1"/>
  <c r="T8" i="24"/>
  <c r="X8" i="24" s="1"/>
  <c r="AA8" i="24" s="1"/>
  <c r="AH9" i="24"/>
  <c r="AH6" i="24"/>
  <c r="T12" i="24"/>
  <c r="X12" i="24" s="1"/>
  <c r="AA12" i="24" s="1"/>
  <c r="U12" i="24"/>
  <c r="Y12" i="24" s="1"/>
  <c r="AG12" i="24" s="1"/>
  <c r="C24" i="24"/>
  <c r="T35" i="24"/>
  <c r="C34" i="24"/>
  <c r="U16" i="24" s="1"/>
  <c r="Y16" i="24" s="1"/>
  <c r="AG16" i="24" s="1"/>
  <c r="T30" i="24"/>
  <c r="T27" i="24"/>
  <c r="T25" i="24"/>
  <c r="T33" i="24"/>
  <c r="T28" i="24"/>
  <c r="T31" i="24"/>
  <c r="T32" i="24"/>
  <c r="T29" i="24"/>
  <c r="T26" i="24"/>
  <c r="T34" i="24"/>
  <c r="S9" i="23"/>
  <c r="U9" i="23" s="1"/>
  <c r="Y9" i="23" s="1"/>
  <c r="AG9" i="23" s="1"/>
  <c r="S14" i="23"/>
  <c r="T14" i="23" s="1"/>
  <c r="X14" i="23" s="1"/>
  <c r="AA14" i="23" s="1"/>
  <c r="S6" i="23"/>
  <c r="U6" i="23" s="1"/>
  <c r="Y6" i="23" s="1"/>
  <c r="AG6" i="23" s="1"/>
  <c r="S4" i="23"/>
  <c r="U4" i="23" s="1"/>
  <c r="S15" i="23"/>
  <c r="R33" i="23"/>
  <c r="S12" i="23"/>
  <c r="S10" i="23"/>
  <c r="S8" i="23"/>
  <c r="S11" i="23"/>
  <c r="S13" i="23"/>
  <c r="U7" i="23"/>
  <c r="Y7" i="23" s="1"/>
  <c r="AG7" i="23" s="1"/>
  <c r="T7" i="23"/>
  <c r="X7" i="23" s="1"/>
  <c r="AA7" i="23" s="1"/>
  <c r="T23" i="23"/>
  <c r="S5" i="23"/>
  <c r="AH16" i="23"/>
  <c r="AJ16" i="23"/>
  <c r="P26" i="23"/>
  <c r="S16" i="23"/>
  <c r="P25" i="23"/>
  <c r="N43" i="23"/>
  <c r="P43" i="23" s="1"/>
  <c r="N41" i="23"/>
  <c r="P41" i="23" s="1"/>
  <c r="N44" i="23"/>
  <c r="P44" i="23" s="1"/>
  <c r="N40" i="23"/>
  <c r="P40" i="23" s="1"/>
  <c r="N39" i="23"/>
  <c r="N42" i="23"/>
  <c r="P42" i="23" s="1"/>
  <c r="T23" i="10"/>
  <c r="R33" i="10"/>
  <c r="AH16" i="10"/>
  <c r="R34" i="10"/>
  <c r="AB14" i="10"/>
  <c r="U6" i="10"/>
  <c r="Y6" i="10" s="1"/>
  <c r="AG6" i="10" s="1"/>
  <c r="T6" i="10"/>
  <c r="X6" i="10" s="1"/>
  <c r="AA6" i="10" s="1"/>
  <c r="U8" i="10"/>
  <c r="Y8" i="10" s="1"/>
  <c r="AG8" i="10" s="1"/>
  <c r="T8" i="10"/>
  <c r="X8" i="10" s="1"/>
  <c r="AA8" i="10" s="1"/>
  <c r="R47" i="10"/>
  <c r="R49" i="10"/>
  <c r="R48" i="10"/>
  <c r="R46" i="10"/>
  <c r="R45" i="10"/>
  <c r="T13" i="10"/>
  <c r="X13" i="10" s="1"/>
  <c r="AA13" i="10" s="1"/>
  <c r="U13" i="10"/>
  <c r="Y13" i="10" s="1"/>
  <c r="AG13" i="10" s="1"/>
  <c r="P26" i="10"/>
  <c r="R31" i="10" s="1"/>
  <c r="T4" i="10"/>
  <c r="S2" i="10"/>
  <c r="U4" i="10"/>
  <c r="R32" i="10"/>
  <c r="U7" i="10"/>
  <c r="Y7" i="10" s="1"/>
  <c r="AG7" i="10" s="1"/>
  <c r="T7" i="10"/>
  <c r="X7" i="10" s="1"/>
  <c r="AA7" i="10" s="1"/>
  <c r="U9" i="10"/>
  <c r="Y9" i="10" s="1"/>
  <c r="AG9" i="10" s="1"/>
  <c r="T9" i="10"/>
  <c r="X9" i="10" s="1"/>
  <c r="AA9" i="10" s="1"/>
  <c r="T10" i="10"/>
  <c r="X10" i="10" s="1"/>
  <c r="AA10" i="10" s="1"/>
  <c r="U10" i="10"/>
  <c r="Y10" i="10" s="1"/>
  <c r="AG10" i="10" s="1"/>
  <c r="T11" i="10"/>
  <c r="X11" i="10" s="1"/>
  <c r="AA11" i="10" s="1"/>
  <c r="U11" i="10"/>
  <c r="Y11" i="10" s="1"/>
  <c r="AG11" i="10" s="1"/>
  <c r="T12" i="10"/>
  <c r="X12" i="10" s="1"/>
  <c r="AA12" i="10" s="1"/>
  <c r="U12" i="10"/>
  <c r="Y12" i="10" s="1"/>
  <c r="AG12" i="10" s="1"/>
  <c r="P39" i="10"/>
  <c r="R42" i="10" s="1"/>
  <c r="N37" i="10"/>
  <c r="U5" i="10"/>
  <c r="Y5" i="10" s="1"/>
  <c r="AG5" i="10" s="1"/>
  <c r="T5" i="10"/>
  <c r="X5" i="10" s="1"/>
  <c r="AA5" i="10" s="1"/>
  <c r="P25" i="10"/>
  <c r="N23" i="10"/>
  <c r="AH14" i="10"/>
  <c r="R26" i="26" l="1"/>
  <c r="AH13" i="26"/>
  <c r="R25" i="26"/>
  <c r="R30" i="26"/>
  <c r="P23" i="26"/>
  <c r="R28" i="26"/>
  <c r="R27" i="26"/>
  <c r="R29" i="26"/>
  <c r="AB6" i="26"/>
  <c r="AH5" i="26"/>
  <c r="P39" i="26"/>
  <c r="R43" i="26" s="1"/>
  <c r="N37" i="26"/>
  <c r="AH6" i="26"/>
  <c r="AB5" i="26"/>
  <c r="AB8" i="26"/>
  <c r="AH14" i="26"/>
  <c r="R47" i="26"/>
  <c r="R49" i="26"/>
  <c r="R48" i="26"/>
  <c r="R46" i="26"/>
  <c r="R45" i="26"/>
  <c r="AH8" i="26"/>
  <c r="AB7" i="26"/>
  <c r="AB12" i="26"/>
  <c r="T2" i="26"/>
  <c r="X4" i="26"/>
  <c r="AB14" i="26"/>
  <c r="AB9" i="26"/>
  <c r="AH7" i="26"/>
  <c r="AH12" i="26"/>
  <c r="U2" i="26"/>
  <c r="Y4" i="26"/>
  <c r="AB11" i="26"/>
  <c r="AH11" i="26"/>
  <c r="AH9" i="26"/>
  <c r="AB13" i="26"/>
  <c r="R31" i="23"/>
  <c r="R32" i="24"/>
  <c r="R33" i="24"/>
  <c r="R34" i="24"/>
  <c r="AH10" i="24"/>
  <c r="AB12" i="24"/>
  <c r="T23" i="24"/>
  <c r="T2" i="24"/>
  <c r="X4" i="24"/>
  <c r="AH14" i="24"/>
  <c r="AB13" i="24"/>
  <c r="N43" i="24"/>
  <c r="P43" i="24" s="1"/>
  <c r="N41" i="24"/>
  <c r="P41" i="24" s="1"/>
  <c r="N44" i="24"/>
  <c r="P44" i="24" s="1"/>
  <c r="N40" i="24"/>
  <c r="P40" i="24" s="1"/>
  <c r="N39" i="24"/>
  <c r="N42" i="24"/>
  <c r="P42" i="24" s="1"/>
  <c r="U2" i="24"/>
  <c r="Y4" i="24"/>
  <c r="AB8" i="24"/>
  <c r="AB14" i="24"/>
  <c r="N23" i="24"/>
  <c r="P25" i="24"/>
  <c r="AH8" i="24"/>
  <c r="AB11" i="24"/>
  <c r="AB5" i="24"/>
  <c r="AH16" i="24"/>
  <c r="AJ16" i="24"/>
  <c r="AH5" i="24"/>
  <c r="AH11" i="24"/>
  <c r="AH13" i="24"/>
  <c r="AH12" i="24"/>
  <c r="AB10" i="24"/>
  <c r="P26" i="24"/>
  <c r="R31" i="24" s="1"/>
  <c r="T9" i="23"/>
  <c r="X9" i="23" s="1"/>
  <c r="AA9" i="23" s="1"/>
  <c r="AB9" i="23" s="1"/>
  <c r="T4" i="23"/>
  <c r="X4" i="23" s="1"/>
  <c r="U14" i="23"/>
  <c r="Y14" i="23" s="1"/>
  <c r="AG14" i="23" s="1"/>
  <c r="AH14" i="23" s="1"/>
  <c r="T6" i="23"/>
  <c r="X6" i="23" s="1"/>
  <c r="AA6" i="23" s="1"/>
  <c r="AB6" i="23" s="1"/>
  <c r="AH9" i="23"/>
  <c r="U8" i="23"/>
  <c r="Y8" i="23" s="1"/>
  <c r="AG8" i="23" s="1"/>
  <c r="T8" i="23"/>
  <c r="X8" i="23" s="1"/>
  <c r="AA8" i="23" s="1"/>
  <c r="AH6" i="23"/>
  <c r="T5" i="23"/>
  <c r="X5" i="23" s="1"/>
  <c r="AA5" i="23" s="1"/>
  <c r="U5" i="23"/>
  <c r="Y5" i="23" s="1"/>
  <c r="AG5" i="23" s="1"/>
  <c r="U10" i="23"/>
  <c r="Y10" i="23" s="1"/>
  <c r="AG10" i="23" s="1"/>
  <c r="T10" i="23"/>
  <c r="X10" i="23" s="1"/>
  <c r="AA10" i="23" s="1"/>
  <c r="Y4" i="23"/>
  <c r="R25" i="23"/>
  <c r="R30" i="23"/>
  <c r="P23" i="23"/>
  <c r="R29" i="23"/>
  <c r="R28" i="23"/>
  <c r="R27" i="23"/>
  <c r="U12" i="23"/>
  <c r="Y12" i="23" s="1"/>
  <c r="AG12" i="23" s="1"/>
  <c r="T12" i="23"/>
  <c r="X12" i="23" s="1"/>
  <c r="AA12" i="23" s="1"/>
  <c r="AB7" i="23"/>
  <c r="P39" i="23"/>
  <c r="R40" i="23" s="1"/>
  <c r="N37" i="23"/>
  <c r="AH7" i="23"/>
  <c r="R26" i="23"/>
  <c r="AB14" i="23"/>
  <c r="U11" i="23"/>
  <c r="Y11" i="23" s="1"/>
  <c r="AG11" i="23" s="1"/>
  <c r="T11" i="23"/>
  <c r="X11" i="23" s="1"/>
  <c r="AA11" i="23" s="1"/>
  <c r="R47" i="23"/>
  <c r="R49" i="23"/>
  <c r="R48" i="23"/>
  <c r="R46" i="23"/>
  <c r="R45" i="23"/>
  <c r="S2" i="23"/>
  <c r="U13" i="23"/>
  <c r="Y13" i="23" s="1"/>
  <c r="AG13" i="23" s="1"/>
  <c r="T13" i="23"/>
  <c r="X13" i="23" s="1"/>
  <c r="AA13" i="23" s="1"/>
  <c r="R43" i="10"/>
  <c r="R40" i="10"/>
  <c r="R25" i="10"/>
  <c r="R30" i="10"/>
  <c r="P23" i="10"/>
  <c r="R29" i="10"/>
  <c r="R28" i="10"/>
  <c r="R27" i="10"/>
  <c r="AH5" i="10"/>
  <c r="AB10" i="10"/>
  <c r="T2" i="10"/>
  <c r="X4" i="10"/>
  <c r="AB6" i="10"/>
  <c r="AB11" i="10"/>
  <c r="AB5" i="10"/>
  <c r="AH6" i="10"/>
  <c r="AB9" i="10"/>
  <c r="R39" i="10"/>
  <c r="V40" i="10" s="1"/>
  <c r="P37" i="10"/>
  <c r="AH9" i="10"/>
  <c r="R44" i="10"/>
  <c r="R41" i="10"/>
  <c r="U2" i="10"/>
  <c r="Y4" i="10"/>
  <c r="AH10" i="10"/>
  <c r="AH12" i="10"/>
  <c r="AB7" i="10"/>
  <c r="R26" i="10"/>
  <c r="AB12" i="10"/>
  <c r="AH7" i="10"/>
  <c r="AH13" i="10"/>
  <c r="AB8" i="10"/>
  <c r="AH11" i="10"/>
  <c r="AB13" i="10"/>
  <c r="AH8" i="10"/>
  <c r="R44" i="26" l="1"/>
  <c r="R42" i="26"/>
  <c r="R40" i="26"/>
  <c r="R41" i="26"/>
  <c r="R23" i="26"/>
  <c r="V25" i="26"/>
  <c r="V29" i="26"/>
  <c r="V34" i="26"/>
  <c r="V31" i="26"/>
  <c r="V32" i="26"/>
  <c r="V30" i="26"/>
  <c r="V33" i="26"/>
  <c r="R39" i="26"/>
  <c r="P37" i="26"/>
  <c r="AA4" i="26"/>
  <c r="X2" i="26"/>
  <c r="V27" i="26"/>
  <c r="V26" i="26"/>
  <c r="AG4" i="26"/>
  <c r="Y2" i="26"/>
  <c r="V28" i="26"/>
  <c r="R26" i="24"/>
  <c r="P39" i="24"/>
  <c r="R41" i="24" s="1"/>
  <c r="N37" i="24"/>
  <c r="AA4" i="24"/>
  <c r="X2" i="24"/>
  <c r="R47" i="24"/>
  <c r="R49" i="24"/>
  <c r="R48" i="24"/>
  <c r="R46" i="24"/>
  <c r="R45" i="24"/>
  <c r="R25" i="24"/>
  <c r="V26" i="24" s="1"/>
  <c r="P23" i="24"/>
  <c r="R29" i="24"/>
  <c r="R28" i="24"/>
  <c r="R27" i="24"/>
  <c r="V27" i="24" s="1"/>
  <c r="R30" i="24"/>
  <c r="AG4" i="24"/>
  <c r="Y2" i="24"/>
  <c r="R42" i="23"/>
  <c r="X2" i="23"/>
  <c r="AA4" i="23"/>
  <c r="AB12" i="23"/>
  <c r="U2" i="23"/>
  <c r="AH11" i="23"/>
  <c r="AH12" i="23"/>
  <c r="Y2" i="23"/>
  <c r="AG4" i="23"/>
  <c r="AB8" i="23"/>
  <c r="AB11" i="23"/>
  <c r="R23" i="23"/>
  <c r="V25" i="23"/>
  <c r="V29" i="23"/>
  <c r="V31" i="23"/>
  <c r="V34" i="23"/>
  <c r="V30" i="23"/>
  <c r="V32" i="23"/>
  <c r="V33" i="23"/>
  <c r="V27" i="23"/>
  <c r="AB10" i="23"/>
  <c r="AH8" i="23"/>
  <c r="T2" i="23"/>
  <c r="R43" i="23"/>
  <c r="V28" i="23"/>
  <c r="AH10" i="23"/>
  <c r="AH13" i="23"/>
  <c r="V26" i="23"/>
  <c r="AH5" i="23"/>
  <c r="AB5" i="23"/>
  <c r="R39" i="23"/>
  <c r="P37" i="23"/>
  <c r="R44" i="23"/>
  <c r="AB13" i="23"/>
  <c r="R41" i="23"/>
  <c r="V26" i="10"/>
  <c r="AA26" i="10" s="1"/>
  <c r="AA39" i="10"/>
  <c r="AA40" i="10"/>
  <c r="V27" i="10"/>
  <c r="V28" i="10"/>
  <c r="V39" i="10"/>
  <c r="R37" i="10"/>
  <c r="V48" i="10"/>
  <c r="V47" i="10"/>
  <c r="V46" i="10"/>
  <c r="V43" i="10"/>
  <c r="V45" i="10"/>
  <c r="V44" i="10"/>
  <c r="AG4" i="10"/>
  <c r="Y2" i="10"/>
  <c r="V41" i="10"/>
  <c r="X2" i="10"/>
  <c r="AA4" i="10"/>
  <c r="V42" i="10"/>
  <c r="R23" i="10"/>
  <c r="V25" i="10"/>
  <c r="V29" i="10"/>
  <c r="V33" i="10"/>
  <c r="V30" i="10"/>
  <c r="V31" i="10"/>
  <c r="V34" i="10"/>
  <c r="V32" i="10"/>
  <c r="AG28" i="26" l="1"/>
  <c r="AG26" i="26"/>
  <c r="AG29" i="26"/>
  <c r="AG27" i="26"/>
  <c r="AG25" i="26"/>
  <c r="V23" i="26"/>
  <c r="V35" i="26" s="1"/>
  <c r="V22" i="26" s="1"/>
  <c r="Y25" i="26"/>
  <c r="AO31" i="26"/>
  <c r="AO29" i="26"/>
  <c r="AO28" i="26"/>
  <c r="AO27" i="26"/>
  <c r="AO30" i="26"/>
  <c r="AO26" i="26"/>
  <c r="AO25" i="26"/>
  <c r="AO32" i="26"/>
  <c r="AO33" i="26"/>
  <c r="R37" i="26"/>
  <c r="V39" i="26"/>
  <c r="V43" i="26"/>
  <c r="V44" i="26"/>
  <c r="V47" i="26"/>
  <c r="V46" i="26"/>
  <c r="V48" i="26"/>
  <c r="V45" i="26"/>
  <c r="AI29" i="26"/>
  <c r="AI28" i="26"/>
  <c r="AI27" i="26"/>
  <c r="AI26" i="26"/>
  <c r="AI25" i="26"/>
  <c r="AI30" i="26"/>
  <c r="V40" i="26"/>
  <c r="V41" i="26"/>
  <c r="V42" i="26"/>
  <c r="AM32" i="26"/>
  <c r="AM30" i="26"/>
  <c r="AM31" i="26"/>
  <c r="AM29" i="26"/>
  <c r="AM28" i="26"/>
  <c r="AM27" i="26"/>
  <c r="AM26" i="26"/>
  <c r="AM25" i="26"/>
  <c r="AA26" i="26"/>
  <c r="AA25" i="26"/>
  <c r="AK30" i="26"/>
  <c r="AK26" i="26"/>
  <c r="AK29" i="26"/>
  <c r="AK28" i="26"/>
  <c r="AK25" i="26"/>
  <c r="AK27" i="26"/>
  <c r="AK31" i="26"/>
  <c r="AB4" i="26"/>
  <c r="AD4" i="26"/>
  <c r="AC4" i="26"/>
  <c r="AE28" i="26"/>
  <c r="AE27" i="26"/>
  <c r="AE26" i="26"/>
  <c r="AE25" i="26"/>
  <c r="AJ4" i="26"/>
  <c r="AI4" i="26"/>
  <c r="AH4" i="26"/>
  <c r="AC26" i="26"/>
  <c r="AC27" i="26"/>
  <c r="AC25" i="26"/>
  <c r="AQ34" i="26"/>
  <c r="AQ30" i="26"/>
  <c r="AQ32" i="26"/>
  <c r="AQ29" i="26"/>
  <c r="AQ25" i="26"/>
  <c r="AQ27" i="26"/>
  <c r="AQ33" i="26"/>
  <c r="AQ26" i="26"/>
  <c r="AQ31" i="26"/>
  <c r="AQ28" i="26"/>
  <c r="V28" i="24"/>
  <c r="AE25" i="24" s="1"/>
  <c r="R44" i="24"/>
  <c r="R43" i="24"/>
  <c r="R42" i="24"/>
  <c r="R40" i="24"/>
  <c r="AA26" i="24"/>
  <c r="AA25" i="24"/>
  <c r="AC4" i="24"/>
  <c r="AD4" i="24"/>
  <c r="AB4" i="24"/>
  <c r="V25" i="24"/>
  <c r="R23" i="24"/>
  <c r="V32" i="24"/>
  <c r="V33" i="24"/>
  <c r="V31" i="24"/>
  <c r="V34" i="24"/>
  <c r="V29" i="24"/>
  <c r="V30" i="24"/>
  <c r="AH4" i="24"/>
  <c r="AJ4" i="24"/>
  <c r="AI4" i="24"/>
  <c r="R39" i="24"/>
  <c r="P37" i="24"/>
  <c r="AC26" i="24"/>
  <c r="AC27" i="24"/>
  <c r="AC25" i="24"/>
  <c r="V41" i="23"/>
  <c r="AC41" i="23" s="1"/>
  <c r="AE28" i="23"/>
  <c r="AE27" i="23"/>
  <c r="AE26" i="23"/>
  <c r="AE25" i="23"/>
  <c r="AA26" i="23"/>
  <c r="AA25" i="23"/>
  <c r="AC25" i="23"/>
  <c r="AC26" i="23"/>
  <c r="AC27" i="23"/>
  <c r="V23" i="23"/>
  <c r="V35" i="23" s="1"/>
  <c r="Y25" i="23"/>
  <c r="AI4" i="23"/>
  <c r="AH4" i="23"/>
  <c r="AJ11" i="23" s="1"/>
  <c r="AJ4" i="23"/>
  <c r="AO33" i="23"/>
  <c r="AO30" i="23"/>
  <c r="AO29" i="23"/>
  <c r="AO31" i="23"/>
  <c r="AO28" i="23"/>
  <c r="AO27" i="23"/>
  <c r="AO25" i="23"/>
  <c r="AO26" i="23"/>
  <c r="AO32" i="23"/>
  <c r="AM30" i="23"/>
  <c r="AM32" i="23"/>
  <c r="AM29" i="23"/>
  <c r="AM31" i="23"/>
  <c r="AM28" i="23"/>
  <c r="AM27" i="23"/>
  <c r="AM25" i="23"/>
  <c r="AM26" i="23"/>
  <c r="AI29" i="23"/>
  <c r="AI28" i="23"/>
  <c r="AI27" i="23"/>
  <c r="AI26" i="23"/>
  <c r="AI25" i="23"/>
  <c r="AI30" i="23"/>
  <c r="AQ31" i="23"/>
  <c r="AQ34" i="23"/>
  <c r="AQ30" i="23"/>
  <c r="AQ29" i="23"/>
  <c r="AQ28" i="23"/>
  <c r="AQ32" i="23"/>
  <c r="AQ27" i="23"/>
  <c r="AQ33" i="23"/>
  <c r="AQ26" i="23"/>
  <c r="AQ25" i="23"/>
  <c r="AD4" i="23"/>
  <c r="AC4" i="23"/>
  <c r="AB4" i="23"/>
  <c r="AD12" i="23" s="1"/>
  <c r="R37" i="23"/>
  <c r="V39" i="23"/>
  <c r="V45" i="23"/>
  <c r="V48" i="23"/>
  <c r="V46" i="23"/>
  <c r="V47" i="23"/>
  <c r="V43" i="23"/>
  <c r="V44" i="23"/>
  <c r="AK31" i="23"/>
  <c r="AK30" i="23"/>
  <c r="AK29" i="23"/>
  <c r="AK25" i="23"/>
  <c r="AK27" i="23"/>
  <c r="AK28" i="23"/>
  <c r="AK26" i="23"/>
  <c r="AC7" i="23"/>
  <c r="V42" i="23"/>
  <c r="AG25" i="23"/>
  <c r="AG29" i="23"/>
  <c r="AG28" i="23"/>
  <c r="AG26" i="23"/>
  <c r="AG27" i="23"/>
  <c r="V40" i="23"/>
  <c r="AA25" i="10"/>
  <c r="AA23" i="10" s="1"/>
  <c r="AO27" i="10"/>
  <c r="AO28" i="10"/>
  <c r="AO30" i="10"/>
  <c r="AO26" i="10"/>
  <c r="AO32" i="10"/>
  <c r="AO25" i="10"/>
  <c r="AO33" i="10"/>
  <c r="AO31" i="10"/>
  <c r="AO29" i="10"/>
  <c r="AM40" i="10"/>
  <c r="AM45" i="10"/>
  <c r="AM46" i="10"/>
  <c r="AM39" i="10"/>
  <c r="AM41" i="10"/>
  <c r="AM43" i="10"/>
  <c r="AM44" i="10"/>
  <c r="AM42" i="10"/>
  <c r="AG39" i="10"/>
  <c r="AG41" i="10"/>
  <c r="AG40" i="10"/>
  <c r="AG42" i="10"/>
  <c r="AG43" i="10"/>
  <c r="Y25" i="10"/>
  <c r="V23" i="10"/>
  <c r="V35" i="10" s="1"/>
  <c r="V22" i="10" s="1"/>
  <c r="AC41" i="10"/>
  <c r="AC40" i="10"/>
  <c r="AC39" i="10"/>
  <c r="AO46" i="10"/>
  <c r="AO40" i="10"/>
  <c r="AO42" i="10"/>
  <c r="AO45" i="10"/>
  <c r="AO47" i="10"/>
  <c r="AO44" i="10"/>
  <c r="AO43" i="10"/>
  <c r="AO39" i="10"/>
  <c r="AO41" i="10"/>
  <c r="AK42" i="10"/>
  <c r="AK45" i="10"/>
  <c r="AK41" i="10"/>
  <c r="AK43" i="10"/>
  <c r="AK44" i="10"/>
  <c r="AK40" i="10"/>
  <c r="AK39" i="10"/>
  <c r="AM31" i="10"/>
  <c r="AM25" i="10"/>
  <c r="AM26" i="10"/>
  <c r="AM29" i="10"/>
  <c r="AM27" i="10"/>
  <c r="AM32" i="10"/>
  <c r="AM30" i="10"/>
  <c r="AM28" i="10"/>
  <c r="AQ46" i="10"/>
  <c r="AQ45" i="10"/>
  <c r="AQ40" i="10"/>
  <c r="AQ44" i="10"/>
  <c r="AQ47" i="10"/>
  <c r="AQ48" i="10"/>
  <c r="AQ43" i="10"/>
  <c r="AQ42" i="10"/>
  <c r="AQ41" i="10"/>
  <c r="AQ39" i="10"/>
  <c r="AC27" i="10"/>
  <c r="AC26" i="10"/>
  <c r="AC25" i="10"/>
  <c r="AE40" i="10"/>
  <c r="AE41" i="10"/>
  <c r="AE39" i="10"/>
  <c r="AE42" i="10"/>
  <c r="AJ4" i="10"/>
  <c r="AI4" i="10"/>
  <c r="AH4" i="10"/>
  <c r="AC4" i="10"/>
  <c r="AB4" i="10"/>
  <c r="AD4" i="10"/>
  <c r="AQ29" i="10"/>
  <c r="AQ26" i="10"/>
  <c r="AQ27" i="10"/>
  <c r="AQ25" i="10"/>
  <c r="AQ28" i="10"/>
  <c r="AQ32" i="10"/>
  <c r="AQ34" i="10"/>
  <c r="AQ30" i="10"/>
  <c r="AQ33" i="10"/>
  <c r="AQ31" i="10"/>
  <c r="AI39" i="10"/>
  <c r="AI44" i="10"/>
  <c r="AI41" i="10"/>
  <c r="AI43" i="10"/>
  <c r="AI42" i="10"/>
  <c r="AI40" i="10"/>
  <c r="V37" i="10"/>
  <c r="V49" i="10" s="1"/>
  <c r="V36" i="10" s="1"/>
  <c r="Y39" i="10"/>
  <c r="AI27" i="10"/>
  <c r="AI30" i="10"/>
  <c r="AI28" i="10"/>
  <c r="AI25" i="10"/>
  <c r="AI26" i="10"/>
  <c r="AI29" i="10"/>
  <c r="AG27" i="10"/>
  <c r="AG26" i="10"/>
  <c r="AG28" i="10"/>
  <c r="AG29" i="10"/>
  <c r="AG25" i="10"/>
  <c r="AK28" i="10"/>
  <c r="AK26" i="10"/>
  <c r="AK30" i="10"/>
  <c r="AK25" i="10"/>
  <c r="AK31" i="10"/>
  <c r="AK27" i="10"/>
  <c r="AK29" i="10"/>
  <c r="AE27" i="10"/>
  <c r="AE28" i="10"/>
  <c r="AE26" i="10"/>
  <c r="AE25" i="10"/>
  <c r="AA37" i="10"/>
  <c r="AG23" i="26" l="1"/>
  <c r="AQ23" i="26"/>
  <c r="AA23" i="26"/>
  <c r="AM42" i="26"/>
  <c r="AM41" i="26"/>
  <c r="AM40" i="26"/>
  <c r="AM39" i="26"/>
  <c r="AM45" i="26"/>
  <c r="AM46" i="26"/>
  <c r="AM43" i="26"/>
  <c r="AM44" i="26"/>
  <c r="Y23" i="26"/>
  <c r="AI23" i="26"/>
  <c r="AO23" i="26"/>
  <c r="AS33" i="26"/>
  <c r="J33" i="26" s="1"/>
  <c r="AS29" i="26"/>
  <c r="J29" i="26" s="1"/>
  <c r="AS31" i="26"/>
  <c r="J31" i="26" s="1"/>
  <c r="AS27" i="26"/>
  <c r="J27" i="26" s="1"/>
  <c r="AS30" i="26"/>
  <c r="J30" i="26" s="1"/>
  <c r="AS28" i="26"/>
  <c r="J28" i="26" s="1"/>
  <c r="AS26" i="26"/>
  <c r="J26" i="26" s="1"/>
  <c r="AS25" i="26"/>
  <c r="AS34" i="26"/>
  <c r="J34" i="26" s="1"/>
  <c r="AS35" i="26"/>
  <c r="J35" i="26" s="1"/>
  <c r="AS32" i="26"/>
  <c r="J32" i="26" s="1"/>
  <c r="AI41" i="26"/>
  <c r="AI40" i="26"/>
  <c r="AI39" i="26"/>
  <c r="AI43" i="26"/>
  <c r="AI42" i="26"/>
  <c r="AI44" i="26"/>
  <c r="AG41" i="26"/>
  <c r="AG40" i="26"/>
  <c r="AG39" i="26"/>
  <c r="AG42" i="26"/>
  <c r="AG43" i="26"/>
  <c r="AE23" i="26"/>
  <c r="AM23" i="26"/>
  <c r="AE41" i="26"/>
  <c r="AE39" i="26"/>
  <c r="AE40" i="26"/>
  <c r="AE42" i="26"/>
  <c r="V37" i="26"/>
  <c r="V49" i="26" s="1"/>
  <c r="Y39" i="26"/>
  <c r="AH18" i="26"/>
  <c r="AI15" i="26"/>
  <c r="AI16" i="26"/>
  <c r="AI10" i="26"/>
  <c r="AJ14" i="26"/>
  <c r="AJ9" i="26"/>
  <c r="AI5" i="26"/>
  <c r="AI8" i="26"/>
  <c r="AJ7" i="26"/>
  <c r="AI9" i="26"/>
  <c r="AI13" i="26"/>
  <c r="AI7" i="26"/>
  <c r="AJ6" i="26"/>
  <c r="AI6" i="26"/>
  <c r="AJ12" i="26"/>
  <c r="AI12" i="26"/>
  <c r="AJ11" i="26"/>
  <c r="AI14" i="26"/>
  <c r="AI11" i="26"/>
  <c r="AJ8" i="26"/>
  <c r="AJ10" i="26"/>
  <c r="AJ5" i="26"/>
  <c r="AJ13" i="26"/>
  <c r="AO42" i="26"/>
  <c r="AO43" i="26"/>
  <c r="AO41" i="26"/>
  <c r="AO40" i="26"/>
  <c r="AO46" i="26"/>
  <c r="AO45" i="26"/>
  <c r="AO44" i="26"/>
  <c r="AO39" i="26"/>
  <c r="AO47" i="26"/>
  <c r="AB18" i="26"/>
  <c r="AC16" i="26"/>
  <c r="AD15" i="26"/>
  <c r="AC15" i="26"/>
  <c r="AC13" i="26"/>
  <c r="AD7" i="26"/>
  <c r="AC14" i="26"/>
  <c r="AD13" i="26"/>
  <c r="AD6" i="26"/>
  <c r="AD14" i="26"/>
  <c r="AD9" i="26"/>
  <c r="AC5" i="26"/>
  <c r="AC8" i="26"/>
  <c r="AC12" i="26"/>
  <c r="AD12" i="26"/>
  <c r="AC11" i="26"/>
  <c r="AC9" i="26"/>
  <c r="AD10" i="26"/>
  <c r="AD11" i="26"/>
  <c r="AC6" i="26"/>
  <c r="AD8" i="26"/>
  <c r="AD5" i="26"/>
  <c r="AC10" i="26"/>
  <c r="AC7" i="26"/>
  <c r="AK23" i="26"/>
  <c r="AC41" i="26"/>
  <c r="AC40" i="26"/>
  <c r="AC39" i="26"/>
  <c r="AK40" i="26"/>
  <c r="AK41" i="26"/>
  <c r="AK45" i="26"/>
  <c r="AK42" i="26"/>
  <c r="AK43" i="26"/>
  <c r="AK44" i="26"/>
  <c r="AK39" i="26"/>
  <c r="AC23" i="26"/>
  <c r="AA40" i="26"/>
  <c r="AA39" i="26"/>
  <c r="AQ42" i="26"/>
  <c r="AQ41" i="26"/>
  <c r="AQ48" i="26"/>
  <c r="AQ46" i="26"/>
  <c r="AQ40" i="26"/>
  <c r="AQ45" i="26"/>
  <c r="AQ39" i="26"/>
  <c r="AQ44" i="26"/>
  <c r="AQ47" i="26"/>
  <c r="AQ43" i="26"/>
  <c r="AE26" i="24"/>
  <c r="AE28" i="24"/>
  <c r="AE27" i="24"/>
  <c r="R37" i="24"/>
  <c r="V39" i="24"/>
  <c r="V45" i="24"/>
  <c r="V46" i="24"/>
  <c r="V44" i="24"/>
  <c r="V47" i="24"/>
  <c r="V48" i="24"/>
  <c r="V43" i="24"/>
  <c r="AK27" i="24"/>
  <c r="AK28" i="24"/>
  <c r="AK31" i="24"/>
  <c r="AK26" i="24"/>
  <c r="AK29" i="24"/>
  <c r="AK25" i="24"/>
  <c r="AK30" i="24"/>
  <c r="AO31" i="24"/>
  <c r="AO30" i="24"/>
  <c r="AO29" i="24"/>
  <c r="AO28" i="24"/>
  <c r="AO32" i="24"/>
  <c r="AO27" i="24"/>
  <c r="AO26" i="24"/>
  <c r="AO25" i="24"/>
  <c r="AO33" i="24"/>
  <c r="AB18" i="24"/>
  <c r="AC16" i="24"/>
  <c r="AD15" i="24"/>
  <c r="AD6" i="24"/>
  <c r="AD14" i="24"/>
  <c r="AD9" i="24"/>
  <c r="AD8" i="24"/>
  <c r="AD10" i="24"/>
  <c r="AD13" i="24"/>
  <c r="AD7" i="24"/>
  <c r="AC15" i="24"/>
  <c r="AC14" i="24"/>
  <c r="AD12" i="24"/>
  <c r="AC8" i="24"/>
  <c r="AC5" i="24"/>
  <c r="AC10" i="24"/>
  <c r="AD11" i="24"/>
  <c r="AC9" i="24"/>
  <c r="AC6" i="24"/>
  <c r="AD5" i="24"/>
  <c r="AC11" i="24"/>
  <c r="AC7" i="24"/>
  <c r="AC13" i="24"/>
  <c r="AC12" i="24"/>
  <c r="AM29" i="24"/>
  <c r="AM28" i="24"/>
  <c r="AM30" i="24"/>
  <c r="AM27" i="24"/>
  <c r="AM25" i="24"/>
  <c r="AM31" i="24"/>
  <c r="AM26" i="24"/>
  <c r="AM32" i="24"/>
  <c r="AC23" i="24"/>
  <c r="AH18" i="24"/>
  <c r="AI15" i="24"/>
  <c r="AI7" i="24"/>
  <c r="AI9" i="24"/>
  <c r="AI6" i="24"/>
  <c r="AJ7" i="24"/>
  <c r="AJ8" i="24"/>
  <c r="AJ9" i="24"/>
  <c r="AI8" i="24"/>
  <c r="AI12" i="24"/>
  <c r="AJ13" i="24"/>
  <c r="AI5" i="24"/>
  <c r="AI11" i="24"/>
  <c r="AI10" i="24"/>
  <c r="AJ6" i="24"/>
  <c r="AI16" i="24"/>
  <c r="AI13" i="24"/>
  <c r="AI14" i="24"/>
  <c r="AJ10" i="24"/>
  <c r="AJ14" i="24"/>
  <c r="AJ12" i="24"/>
  <c r="AJ5" i="24"/>
  <c r="AJ11" i="24"/>
  <c r="AI29" i="24"/>
  <c r="AI30" i="24"/>
  <c r="AI26" i="24"/>
  <c r="AI28" i="24"/>
  <c r="AI25" i="24"/>
  <c r="AI27" i="24"/>
  <c r="Y25" i="24"/>
  <c r="V23" i="24"/>
  <c r="V35" i="24" s="1"/>
  <c r="V22" i="24" s="1"/>
  <c r="V40" i="24"/>
  <c r="AQ30" i="24"/>
  <c r="AQ34" i="24"/>
  <c r="AQ27" i="24"/>
  <c r="AQ29" i="24"/>
  <c r="AQ28" i="24"/>
  <c r="AQ33" i="24"/>
  <c r="AQ26" i="24"/>
  <c r="AQ31" i="24"/>
  <c r="AQ25" i="24"/>
  <c r="AQ32" i="24"/>
  <c r="V41" i="24"/>
  <c r="V42" i="24"/>
  <c r="AG29" i="24"/>
  <c r="AG27" i="24"/>
  <c r="AG28" i="24"/>
  <c r="AG26" i="24"/>
  <c r="AG25" i="24"/>
  <c r="AA23" i="24"/>
  <c r="AC8" i="23"/>
  <c r="AC6" i="23"/>
  <c r="AD9" i="23"/>
  <c r="AC5" i="23"/>
  <c r="AC9" i="23"/>
  <c r="AC40" i="23"/>
  <c r="AA23" i="23"/>
  <c r="AC39" i="23"/>
  <c r="AO44" i="23"/>
  <c r="AO39" i="23"/>
  <c r="AO47" i="23"/>
  <c r="AO41" i="23"/>
  <c r="AO46" i="23"/>
  <c r="AO40" i="23"/>
  <c r="AO42" i="23"/>
  <c r="AO43" i="23"/>
  <c r="AO45" i="23"/>
  <c r="AS31" i="23"/>
  <c r="J31" i="23" s="1"/>
  <c r="AS29" i="23"/>
  <c r="J29" i="23" s="1"/>
  <c r="AS30" i="23"/>
  <c r="J30" i="23" s="1"/>
  <c r="AS28" i="23"/>
  <c r="J28" i="23" s="1"/>
  <c r="AS26" i="23"/>
  <c r="J26" i="23" s="1"/>
  <c r="AS27" i="23"/>
  <c r="J27" i="23" s="1"/>
  <c r="AS35" i="23"/>
  <c r="J35" i="23" s="1"/>
  <c r="AS34" i="23"/>
  <c r="J34" i="23" s="1"/>
  <c r="AS25" i="23"/>
  <c r="J25" i="23" s="1"/>
  <c r="AS32" i="23"/>
  <c r="J32" i="23" s="1"/>
  <c r="AS33" i="23"/>
  <c r="J33" i="23" s="1"/>
  <c r="AM43" i="23"/>
  <c r="AM44" i="23"/>
  <c r="AM40" i="23"/>
  <c r="AM42" i="23"/>
  <c r="AM41" i="23"/>
  <c r="AM45" i="23"/>
  <c r="AM39" i="23"/>
  <c r="AM46" i="23"/>
  <c r="AM23" i="23"/>
  <c r="AC12" i="23"/>
  <c r="AI23" i="23"/>
  <c r="AC23" i="23"/>
  <c r="AK23" i="23"/>
  <c r="AE40" i="23"/>
  <c r="AE42" i="23"/>
  <c r="AE41" i="23"/>
  <c r="AE39" i="23"/>
  <c r="AK45" i="23"/>
  <c r="AK41" i="23"/>
  <c r="AK43" i="23"/>
  <c r="AK44" i="23"/>
  <c r="AK42" i="23"/>
  <c r="AK40" i="23"/>
  <c r="AK39" i="23"/>
  <c r="AB18" i="23"/>
  <c r="AD15" i="23"/>
  <c r="AC16" i="23"/>
  <c r="AC15" i="23"/>
  <c r="AC14" i="23"/>
  <c r="AD14" i="23"/>
  <c r="AD7" i="23"/>
  <c r="AD6" i="23"/>
  <c r="AC13" i="23"/>
  <c r="AD11" i="23"/>
  <c r="AD5" i="23"/>
  <c r="AD13" i="23"/>
  <c r="AD8" i="23"/>
  <c r="AO23" i="23"/>
  <c r="AH18" i="23"/>
  <c r="AI15" i="23"/>
  <c r="AI16" i="23"/>
  <c r="AI14" i="23"/>
  <c r="AI7" i="23"/>
  <c r="AI9" i="23"/>
  <c r="AJ14" i="23"/>
  <c r="AI6" i="23"/>
  <c r="AI5" i="23"/>
  <c r="AJ7" i="23"/>
  <c r="AI13" i="23"/>
  <c r="AI11" i="23"/>
  <c r="AI10" i="23"/>
  <c r="AJ6" i="23"/>
  <c r="AJ5" i="23"/>
  <c r="AJ8" i="23"/>
  <c r="AI8" i="23"/>
  <c r="AI12" i="23"/>
  <c r="AJ13" i="23"/>
  <c r="AJ9" i="23"/>
  <c r="AD10" i="23"/>
  <c r="AQ44" i="23"/>
  <c r="AQ47" i="23"/>
  <c r="AQ43" i="23"/>
  <c r="AQ48" i="23"/>
  <c r="AQ42" i="23"/>
  <c r="AQ41" i="23"/>
  <c r="AQ40" i="23"/>
  <c r="AQ45" i="23"/>
  <c r="AQ46" i="23"/>
  <c r="AQ39" i="23"/>
  <c r="AA39" i="23"/>
  <c r="AA40" i="23"/>
  <c r="V37" i="23"/>
  <c r="V49" i="23" s="1"/>
  <c r="Y39" i="23"/>
  <c r="AJ12" i="23"/>
  <c r="Y23" i="23"/>
  <c r="AE23" i="23"/>
  <c r="AC10" i="23"/>
  <c r="AG23" i="23"/>
  <c r="AI43" i="23"/>
  <c r="AI42" i="23"/>
  <c r="AI44" i="23"/>
  <c r="AI41" i="23"/>
  <c r="AI40" i="23"/>
  <c r="AI39" i="23"/>
  <c r="AG42" i="23"/>
  <c r="AG43" i="23"/>
  <c r="AG41" i="23"/>
  <c r="AG40" i="23"/>
  <c r="AG39" i="23"/>
  <c r="AQ23" i="23"/>
  <c r="AC11" i="23"/>
  <c r="V22" i="23"/>
  <c r="AJ10" i="23"/>
  <c r="AE37" i="10"/>
  <c r="AC37" i="10"/>
  <c r="Y37" i="10"/>
  <c r="AQ37" i="10"/>
  <c r="AM23" i="10"/>
  <c r="AO23" i="10"/>
  <c r="AE23" i="10"/>
  <c r="AK23" i="10"/>
  <c r="AI37" i="10"/>
  <c r="AS46" i="10"/>
  <c r="J46" i="10" s="1"/>
  <c r="AS47" i="10"/>
  <c r="J47" i="10" s="1"/>
  <c r="AS45" i="10"/>
  <c r="J45" i="10" s="1"/>
  <c r="AS39" i="10"/>
  <c r="J39" i="10" s="1"/>
  <c r="AS48" i="10"/>
  <c r="J48" i="10" s="1"/>
  <c r="AS44" i="10"/>
  <c r="J44" i="10" s="1"/>
  <c r="AS49" i="10"/>
  <c r="J49" i="10" s="1"/>
  <c r="AS43" i="10"/>
  <c r="J43" i="10" s="1"/>
  <c r="AS42" i="10"/>
  <c r="J42" i="10" s="1"/>
  <c r="AS40" i="10"/>
  <c r="J40" i="10" s="1"/>
  <c r="AS41" i="10"/>
  <c r="J41" i="10" s="1"/>
  <c r="AM37" i="10"/>
  <c r="AQ23" i="10"/>
  <c r="AH18" i="10"/>
  <c r="AI15" i="10"/>
  <c r="AI16" i="10"/>
  <c r="AI14" i="10"/>
  <c r="AJ14" i="10"/>
  <c r="AI5" i="10"/>
  <c r="AJ13" i="10"/>
  <c r="AJ9" i="10"/>
  <c r="AI6" i="10"/>
  <c r="AJ10" i="10"/>
  <c r="AI13" i="10"/>
  <c r="AI7" i="10"/>
  <c r="AJ11" i="10"/>
  <c r="AI11" i="10"/>
  <c r="AI10" i="10"/>
  <c r="AJ6" i="10"/>
  <c r="AI9" i="10"/>
  <c r="AJ12" i="10"/>
  <c r="AI8" i="10"/>
  <c r="AJ7" i="10"/>
  <c r="AI12" i="10"/>
  <c r="AJ8" i="10"/>
  <c r="AJ5" i="10"/>
  <c r="Y23" i="10"/>
  <c r="AO37" i="10"/>
  <c r="AG23" i="10"/>
  <c r="AB18" i="10"/>
  <c r="AD15" i="10"/>
  <c r="AC16" i="10"/>
  <c r="AC14" i="10"/>
  <c r="AD14" i="10"/>
  <c r="AC15" i="10"/>
  <c r="AD13" i="10"/>
  <c r="AD6" i="10"/>
  <c r="AC13" i="10"/>
  <c r="AC9" i="10"/>
  <c r="AD7" i="10"/>
  <c r="AC7" i="10"/>
  <c r="AD8" i="10"/>
  <c r="AC10" i="10"/>
  <c r="AD10" i="10"/>
  <c r="AC6" i="10"/>
  <c r="AD11" i="10"/>
  <c r="AC12" i="10"/>
  <c r="AD9" i="10"/>
  <c r="AD5" i="10"/>
  <c r="AC8" i="10"/>
  <c r="AC5" i="10"/>
  <c r="AC11" i="10"/>
  <c r="AD12" i="10"/>
  <c r="AG37" i="10"/>
  <c r="AK37" i="10"/>
  <c r="AI23" i="10"/>
  <c r="AC23" i="10"/>
  <c r="AS35" i="10"/>
  <c r="J35" i="10" s="1"/>
  <c r="AS33" i="10"/>
  <c r="J33" i="10" s="1"/>
  <c r="AS29" i="10"/>
  <c r="J29" i="10" s="1"/>
  <c r="AS30" i="10"/>
  <c r="J30" i="10" s="1"/>
  <c r="AS34" i="10"/>
  <c r="J34" i="10" s="1"/>
  <c r="AS25" i="10"/>
  <c r="AS26" i="10"/>
  <c r="J26" i="10" s="1"/>
  <c r="AS27" i="10"/>
  <c r="J27" i="10" s="1"/>
  <c r="AS32" i="10"/>
  <c r="J32" i="10" s="1"/>
  <c r="AS28" i="10"/>
  <c r="J28" i="10" s="1"/>
  <c r="AS31" i="10"/>
  <c r="J31" i="10" s="1"/>
  <c r="AC37" i="26" l="1"/>
  <c r="AI18" i="26"/>
  <c r="L40" i="26" s="1"/>
  <c r="AJ18" i="26"/>
  <c r="L41" i="26" s="1"/>
  <c r="AS23" i="26"/>
  <c r="AS22" i="26" s="1"/>
  <c r="AC18" i="26"/>
  <c r="L26" i="26" s="1"/>
  <c r="AQ37" i="26"/>
  <c r="AD18" i="26"/>
  <c r="L27" i="26" s="1"/>
  <c r="AE37" i="26"/>
  <c r="AG37" i="26"/>
  <c r="L25" i="26"/>
  <c r="L39" i="26"/>
  <c r="AI37" i="26"/>
  <c r="AM37" i="26"/>
  <c r="AA37" i="26"/>
  <c r="AO37" i="26"/>
  <c r="Y37" i="26"/>
  <c r="AS42" i="26"/>
  <c r="J42" i="26" s="1"/>
  <c r="AS43" i="26"/>
  <c r="J43" i="26" s="1"/>
  <c r="AS48" i="26"/>
  <c r="J48" i="26" s="1"/>
  <c r="AS41" i="26"/>
  <c r="J41" i="26" s="1"/>
  <c r="AS40" i="26"/>
  <c r="J40" i="26" s="1"/>
  <c r="AS46" i="26"/>
  <c r="J46" i="26" s="1"/>
  <c r="AS47" i="26"/>
  <c r="J47" i="26" s="1"/>
  <c r="AS39" i="26"/>
  <c r="AS44" i="26"/>
  <c r="J44" i="26" s="1"/>
  <c r="AS49" i="26"/>
  <c r="J49" i="26" s="1"/>
  <c r="AS45" i="26"/>
  <c r="J45" i="26" s="1"/>
  <c r="V36" i="26"/>
  <c r="J25" i="26"/>
  <c r="J23" i="26" s="1"/>
  <c r="AK37" i="26"/>
  <c r="AD18" i="24"/>
  <c r="L27" i="24" s="1"/>
  <c r="AC18" i="24"/>
  <c r="L26" i="24" s="1"/>
  <c r="AE23" i="24"/>
  <c r="AJ18" i="24"/>
  <c r="L41" i="24" s="1"/>
  <c r="AI18" i="24"/>
  <c r="L40" i="24" s="1"/>
  <c r="AK23" i="24"/>
  <c r="Y23" i="24"/>
  <c r="L39" i="24"/>
  <c r="AO42" i="24"/>
  <c r="AO43" i="24"/>
  <c r="AO40" i="24"/>
  <c r="AO46" i="24"/>
  <c r="AO41" i="24"/>
  <c r="AO47" i="24"/>
  <c r="AO45" i="24"/>
  <c r="AO44" i="24"/>
  <c r="AO39" i="24"/>
  <c r="AI42" i="24"/>
  <c r="AI44" i="24"/>
  <c r="AI41" i="24"/>
  <c r="AI40" i="24"/>
  <c r="AI39" i="24"/>
  <c r="AI43" i="24"/>
  <c r="AE42" i="24"/>
  <c r="AE41" i="24"/>
  <c r="AE39" i="24"/>
  <c r="AE40" i="24"/>
  <c r="AC40" i="24"/>
  <c r="AC41" i="24"/>
  <c r="AC39" i="24"/>
  <c r="AI23" i="24"/>
  <c r="L25" i="24"/>
  <c r="AM42" i="24"/>
  <c r="AM39" i="24"/>
  <c r="AM41" i="24"/>
  <c r="AM43" i="24"/>
  <c r="AM44" i="24"/>
  <c r="AM40" i="24"/>
  <c r="AM45" i="24"/>
  <c r="AM46" i="24"/>
  <c r="AK44" i="24"/>
  <c r="AK39" i="24"/>
  <c r="AK42" i="24"/>
  <c r="AK43" i="24"/>
  <c r="AK40" i="24"/>
  <c r="AK41" i="24"/>
  <c r="AK45" i="24"/>
  <c r="AG23" i="24"/>
  <c r="AQ23" i="24"/>
  <c r="AO23" i="24"/>
  <c r="V37" i="24"/>
  <c r="V49" i="24" s="1"/>
  <c r="V36" i="24" s="1"/>
  <c r="Y39" i="24"/>
  <c r="AM23" i="24"/>
  <c r="AG42" i="24"/>
  <c r="AG43" i="24"/>
  <c r="AG41" i="24"/>
  <c r="AG40" i="24"/>
  <c r="AG39" i="24"/>
  <c r="AA39" i="24"/>
  <c r="AA40" i="24"/>
  <c r="AS31" i="24"/>
  <c r="J31" i="24" s="1"/>
  <c r="AS33" i="24"/>
  <c r="J33" i="24" s="1"/>
  <c r="AS29" i="24"/>
  <c r="J29" i="24" s="1"/>
  <c r="AS28" i="24"/>
  <c r="J28" i="24" s="1"/>
  <c r="AS27" i="24"/>
  <c r="J27" i="24" s="1"/>
  <c r="AS30" i="24"/>
  <c r="J30" i="24" s="1"/>
  <c r="AS32" i="24"/>
  <c r="J32" i="24" s="1"/>
  <c r="AS34" i="24"/>
  <c r="J34" i="24" s="1"/>
  <c r="AS35" i="24"/>
  <c r="J35" i="24" s="1"/>
  <c r="AS25" i="24"/>
  <c r="AS26" i="24"/>
  <c r="J26" i="24" s="1"/>
  <c r="AQ43" i="24"/>
  <c r="AQ40" i="24"/>
  <c r="AQ47" i="24"/>
  <c r="AQ42" i="24"/>
  <c r="AQ41" i="24"/>
  <c r="AQ48" i="24"/>
  <c r="AQ46" i="24"/>
  <c r="AQ45" i="24"/>
  <c r="AQ39" i="24"/>
  <c r="AQ44" i="24"/>
  <c r="AC18" i="23"/>
  <c r="L26" i="23" s="1"/>
  <c r="AC37" i="23"/>
  <c r="AI18" i="23"/>
  <c r="L40" i="23" s="1"/>
  <c r="AD18" i="23"/>
  <c r="L27" i="23" s="1"/>
  <c r="AJ18" i="23"/>
  <c r="L41" i="23" s="1"/>
  <c r="AE37" i="23"/>
  <c r="AI37" i="23"/>
  <c r="Y37" i="23"/>
  <c r="AS44" i="23"/>
  <c r="J44" i="23" s="1"/>
  <c r="AS49" i="23"/>
  <c r="J49" i="23" s="1"/>
  <c r="AS48" i="23"/>
  <c r="J48" i="23" s="1"/>
  <c r="AS39" i="23"/>
  <c r="J39" i="23" s="1"/>
  <c r="AS45" i="23"/>
  <c r="J45" i="23" s="1"/>
  <c r="AS42" i="23"/>
  <c r="J42" i="23" s="1"/>
  <c r="AS43" i="23"/>
  <c r="J43" i="23" s="1"/>
  <c r="AS41" i="23"/>
  <c r="J41" i="23" s="1"/>
  <c r="AS40" i="23"/>
  <c r="J40" i="23" s="1"/>
  <c r="AS47" i="23"/>
  <c r="J47" i="23" s="1"/>
  <c r="AS46" i="23"/>
  <c r="J46" i="23" s="1"/>
  <c r="J23" i="23"/>
  <c r="AG37" i="23"/>
  <c r="V36" i="23"/>
  <c r="L25" i="23"/>
  <c r="AK37" i="23"/>
  <c r="AM37" i="23"/>
  <c r="L39" i="23"/>
  <c r="AS23" i="23"/>
  <c r="AS22" i="23" s="1"/>
  <c r="AA37" i="23"/>
  <c r="AO37" i="23"/>
  <c r="AQ37" i="23"/>
  <c r="AC18" i="10"/>
  <c r="L26" i="10" s="1"/>
  <c r="AI18" i="10"/>
  <c r="L40" i="10" s="1"/>
  <c r="AJ18" i="10"/>
  <c r="L41" i="10" s="1"/>
  <c r="AD18" i="10"/>
  <c r="L27" i="10" s="1"/>
  <c r="L39" i="10"/>
  <c r="AS23" i="10"/>
  <c r="AS22" i="10" s="1"/>
  <c r="J25" i="10"/>
  <c r="J23" i="10" s="1"/>
  <c r="L25" i="10"/>
  <c r="J37" i="10"/>
  <c r="AS37" i="10"/>
  <c r="AS36" i="10" s="1"/>
  <c r="AE18" i="26" l="1"/>
  <c r="L28" i="26" s="1"/>
  <c r="H35" i="26" s="1"/>
  <c r="AK18" i="26"/>
  <c r="L42" i="26" s="1"/>
  <c r="H44" i="26" s="1"/>
  <c r="AS37" i="26"/>
  <c r="AS36" i="26" s="1"/>
  <c r="J39" i="26"/>
  <c r="J37" i="26" s="1"/>
  <c r="H26" i="26"/>
  <c r="H27" i="26"/>
  <c r="H25" i="26"/>
  <c r="AE18" i="24"/>
  <c r="L28" i="24" s="1"/>
  <c r="H30" i="24" s="1"/>
  <c r="AK18" i="24"/>
  <c r="L42" i="24" s="1"/>
  <c r="L37" i="24" s="1"/>
  <c r="AC37" i="24"/>
  <c r="AE37" i="24"/>
  <c r="Y37" i="24"/>
  <c r="AK37" i="24"/>
  <c r="AI37" i="24"/>
  <c r="AQ37" i="24"/>
  <c r="AS23" i="24"/>
  <c r="AS22" i="24" s="1"/>
  <c r="AM37" i="24"/>
  <c r="J25" i="24"/>
  <c r="J23" i="24" s="1"/>
  <c r="AA37" i="24"/>
  <c r="AO37" i="24"/>
  <c r="AG37" i="24"/>
  <c r="AS45" i="24"/>
  <c r="J45" i="24" s="1"/>
  <c r="AS42" i="24"/>
  <c r="J42" i="24" s="1"/>
  <c r="AS43" i="24"/>
  <c r="J43" i="24" s="1"/>
  <c r="AS48" i="24"/>
  <c r="J48" i="24" s="1"/>
  <c r="AS41" i="24"/>
  <c r="J41" i="24" s="1"/>
  <c r="AS40" i="24"/>
  <c r="J40" i="24" s="1"/>
  <c r="AS46" i="24"/>
  <c r="J46" i="24" s="1"/>
  <c r="AS47" i="24"/>
  <c r="J47" i="24" s="1"/>
  <c r="AS49" i="24"/>
  <c r="J49" i="24" s="1"/>
  <c r="AS39" i="24"/>
  <c r="J39" i="24" s="1"/>
  <c r="AS44" i="24"/>
  <c r="J44" i="24" s="1"/>
  <c r="AE18" i="23"/>
  <c r="L28" i="23" s="1"/>
  <c r="H35" i="23" s="1"/>
  <c r="AK18" i="23"/>
  <c r="L42" i="23" s="1"/>
  <c r="H43" i="23" s="1"/>
  <c r="J37" i="23"/>
  <c r="H41" i="23"/>
  <c r="H40" i="23"/>
  <c r="H39" i="23"/>
  <c r="AS37" i="23"/>
  <c r="AS36" i="23" s="1"/>
  <c r="H26" i="23"/>
  <c r="H27" i="23"/>
  <c r="H25" i="23"/>
  <c r="AE18" i="10"/>
  <c r="L28" i="10" s="1"/>
  <c r="L23" i="10" s="1"/>
  <c r="AK18" i="10"/>
  <c r="L42" i="10" s="1"/>
  <c r="H49" i="10" s="1"/>
  <c r="H41" i="10"/>
  <c r="H39" i="10"/>
  <c r="H40" i="10"/>
  <c r="H26" i="10"/>
  <c r="H27" i="10"/>
  <c r="H25" i="10"/>
  <c r="H43" i="26" l="1"/>
  <c r="BK24" i="26" s="1"/>
  <c r="H29" i="26"/>
  <c r="BK38" i="26" s="1"/>
  <c r="H33" i="26"/>
  <c r="BS36" i="26" s="1"/>
  <c r="H31" i="26"/>
  <c r="BS23" i="26" s="1"/>
  <c r="H32" i="26"/>
  <c r="BS29" i="26" s="1"/>
  <c r="H30" i="26"/>
  <c r="L23" i="26"/>
  <c r="H34" i="26"/>
  <c r="H28" i="26"/>
  <c r="BK32" i="26" s="1"/>
  <c r="H49" i="26"/>
  <c r="BO14" i="26" s="1"/>
  <c r="H48" i="26"/>
  <c r="BK29" i="26" s="1"/>
  <c r="H47" i="26"/>
  <c r="BK28" i="26" s="1"/>
  <c r="L37" i="26"/>
  <c r="H41" i="26"/>
  <c r="H45" i="26"/>
  <c r="H46" i="26"/>
  <c r="H42" i="26"/>
  <c r="BK25" i="26"/>
  <c r="BK17" i="26"/>
  <c r="H39" i="26"/>
  <c r="BK8" i="26"/>
  <c r="H40" i="26"/>
  <c r="H31" i="24"/>
  <c r="H29" i="24"/>
  <c r="H34" i="24"/>
  <c r="H33" i="24"/>
  <c r="L23" i="24"/>
  <c r="H32" i="24"/>
  <c r="H35" i="24"/>
  <c r="H42" i="24"/>
  <c r="H27" i="24"/>
  <c r="H26" i="24"/>
  <c r="H44" i="24"/>
  <c r="H43" i="24"/>
  <c r="H45" i="24"/>
  <c r="H41" i="24"/>
  <c r="J37" i="24"/>
  <c r="H39" i="24"/>
  <c r="BS14" i="24" s="1"/>
  <c r="H40" i="24"/>
  <c r="H48" i="24"/>
  <c r="H47" i="24"/>
  <c r="H49" i="24"/>
  <c r="AS37" i="24"/>
  <c r="AS36" i="24" s="1"/>
  <c r="H46" i="24"/>
  <c r="H25" i="24"/>
  <c r="H28" i="24"/>
  <c r="H47" i="23"/>
  <c r="L37" i="23"/>
  <c r="H44" i="23"/>
  <c r="BK17" i="23" s="1"/>
  <c r="H49" i="23"/>
  <c r="BO14" i="23" s="1"/>
  <c r="H45" i="23"/>
  <c r="BK26" i="23" s="1"/>
  <c r="H46" i="23"/>
  <c r="BK10" i="23" s="1"/>
  <c r="H48" i="23"/>
  <c r="BK21" i="23" s="1"/>
  <c r="H42" i="23"/>
  <c r="BK23" i="23" s="1"/>
  <c r="H29" i="23"/>
  <c r="H31" i="23"/>
  <c r="H28" i="23"/>
  <c r="L23" i="23"/>
  <c r="H32" i="23"/>
  <c r="BS24" i="23" s="1"/>
  <c r="H34" i="23"/>
  <c r="H30" i="23"/>
  <c r="BS16" i="23" s="1"/>
  <c r="H33" i="23"/>
  <c r="BS31" i="23" s="1"/>
  <c r="BK14" i="23"/>
  <c r="BK16" i="23"/>
  <c r="BO5" i="23"/>
  <c r="BS4" i="23"/>
  <c r="BK4" i="23"/>
  <c r="BK7" i="23"/>
  <c r="BK5" i="23"/>
  <c r="BO4" i="23"/>
  <c r="BK24" i="23"/>
  <c r="BS5" i="23"/>
  <c r="BS6" i="23"/>
  <c r="BO6" i="23"/>
  <c r="H42" i="10"/>
  <c r="BK15" i="10" s="1"/>
  <c r="H48" i="10"/>
  <c r="BK12" i="10" s="1"/>
  <c r="H47" i="10"/>
  <c r="BK20" i="10" s="1"/>
  <c r="L37" i="10"/>
  <c r="H44" i="10"/>
  <c r="BK8" i="10" s="1"/>
  <c r="H43" i="10"/>
  <c r="BK24" i="10" s="1"/>
  <c r="H45" i="10"/>
  <c r="BK26" i="10" s="1"/>
  <c r="H30" i="10"/>
  <c r="BS16" i="10" s="1"/>
  <c r="H32" i="10"/>
  <c r="H34" i="10"/>
  <c r="BS41" i="10" s="1"/>
  <c r="H29" i="10"/>
  <c r="H35" i="10"/>
  <c r="BO14" i="10" s="1"/>
  <c r="H33" i="10"/>
  <c r="H31" i="10"/>
  <c r="BK49" i="10" s="1"/>
  <c r="H28" i="10"/>
  <c r="BS9" i="10" s="1"/>
  <c r="H46" i="10"/>
  <c r="BS6" i="10"/>
  <c r="BS5" i="10"/>
  <c r="BK30" i="10"/>
  <c r="BO6" i="10"/>
  <c r="BK14" i="10"/>
  <c r="BS4" i="10"/>
  <c r="BO5" i="10"/>
  <c r="BK22" i="10"/>
  <c r="BK13" i="10"/>
  <c r="BO4" i="10"/>
  <c r="BK4" i="10"/>
  <c r="BK5" i="10"/>
  <c r="BS19" i="26" l="1"/>
  <c r="BS18" i="26"/>
  <c r="BK7" i="26"/>
  <c r="BK16" i="26"/>
  <c r="BK12" i="26"/>
  <c r="BK21" i="26"/>
  <c r="BK13" i="26"/>
  <c r="BK52" i="26"/>
  <c r="BS41" i="26"/>
  <c r="BS20" i="26"/>
  <c r="BK20" i="26"/>
  <c r="BS22" i="26"/>
  <c r="BK11" i="26"/>
  <c r="BS31" i="26"/>
  <c r="BK55" i="26"/>
  <c r="BS28" i="26"/>
  <c r="BO13" i="26"/>
  <c r="BS44" i="26"/>
  <c r="BK51" i="26"/>
  <c r="BO9" i="26"/>
  <c r="BO12" i="26"/>
  <c r="BK31" i="26"/>
  <c r="BK37" i="26"/>
  <c r="BS47" i="26"/>
  <c r="BS35" i="26"/>
  <c r="BS43" i="26"/>
  <c r="BS34" i="26"/>
  <c r="H23" i="26"/>
  <c r="BK57" i="26"/>
  <c r="BK48" i="26"/>
  <c r="BK47" i="26"/>
  <c r="BK39" i="26"/>
  <c r="BS9" i="26"/>
  <c r="BS12" i="26"/>
  <c r="BO8" i="26"/>
  <c r="BK36" i="26"/>
  <c r="BK35" i="26"/>
  <c r="BK34" i="26"/>
  <c r="BK42" i="26"/>
  <c r="BK5" i="26"/>
  <c r="BK54" i="26"/>
  <c r="BK9" i="26"/>
  <c r="BK44" i="26"/>
  <c r="BS37" i="26"/>
  <c r="BS30" i="26"/>
  <c r="BK22" i="26"/>
  <c r="BK30" i="26"/>
  <c r="BS33" i="26"/>
  <c r="BS45" i="26"/>
  <c r="BK26" i="26"/>
  <c r="BS26" i="26"/>
  <c r="BK53" i="26"/>
  <c r="BK59" i="26"/>
  <c r="BK58" i="26"/>
  <c r="BO6" i="26"/>
  <c r="BK41" i="26"/>
  <c r="BK56" i="26"/>
  <c r="BK43" i="26"/>
  <c r="BK18" i="26"/>
  <c r="BO10" i="26"/>
  <c r="BK33" i="26"/>
  <c r="BS16" i="26"/>
  <c r="BK49" i="26"/>
  <c r="BS42" i="26"/>
  <c r="BK14" i="26"/>
  <c r="BK46" i="26"/>
  <c r="BO4" i="26"/>
  <c r="BK50" i="26"/>
  <c r="BS6" i="26"/>
  <c r="BS46" i="26"/>
  <c r="BS15" i="26"/>
  <c r="BK27" i="26"/>
  <c r="BS25" i="26"/>
  <c r="BK19" i="26"/>
  <c r="BK40" i="26"/>
  <c r="BK10" i="26"/>
  <c r="BS24" i="26"/>
  <c r="BS5" i="26"/>
  <c r="BS4" i="26"/>
  <c r="BO5" i="26"/>
  <c r="BK6" i="26"/>
  <c r="BS39" i="26"/>
  <c r="BS38" i="26"/>
  <c r="BO11" i="26"/>
  <c r="BK45" i="26"/>
  <c r="BS21" i="26"/>
  <c r="BS27" i="26"/>
  <c r="BS14" i="26"/>
  <c r="BS17" i="26"/>
  <c r="BS8" i="26"/>
  <c r="BS11" i="26"/>
  <c r="BS40" i="26"/>
  <c r="BO7" i="26"/>
  <c r="BS13" i="26"/>
  <c r="BK4" i="26"/>
  <c r="H37" i="26"/>
  <c r="BS7" i="26"/>
  <c r="BS10" i="26"/>
  <c r="BK15" i="26"/>
  <c r="BK23" i="26"/>
  <c r="BS32" i="26"/>
  <c r="BO11" i="24"/>
  <c r="BK9" i="23"/>
  <c r="BS35" i="24"/>
  <c r="BS18" i="24"/>
  <c r="BS44" i="24"/>
  <c r="BS42" i="24"/>
  <c r="BO9" i="24"/>
  <c r="BK39" i="24"/>
  <c r="BS25" i="24"/>
  <c r="BK38" i="24"/>
  <c r="BS34" i="24"/>
  <c r="BS23" i="24"/>
  <c r="BK56" i="24"/>
  <c r="BS20" i="24"/>
  <c r="BK20" i="24"/>
  <c r="BS36" i="24"/>
  <c r="BK42" i="24"/>
  <c r="BS19" i="24"/>
  <c r="BK15" i="24"/>
  <c r="BS17" i="24"/>
  <c r="BS13" i="24"/>
  <c r="BS27" i="24"/>
  <c r="BS21" i="24"/>
  <c r="BS28" i="24"/>
  <c r="BS29" i="24"/>
  <c r="BS26" i="24"/>
  <c r="BS11" i="24"/>
  <c r="BO8" i="24"/>
  <c r="BO10" i="24"/>
  <c r="BS22" i="24"/>
  <c r="BS12" i="24"/>
  <c r="BK50" i="24"/>
  <c r="BK48" i="24"/>
  <c r="BK43" i="24"/>
  <c r="BK44" i="24"/>
  <c r="BK52" i="24"/>
  <c r="BS4" i="24"/>
  <c r="BK40" i="24"/>
  <c r="BK45" i="24"/>
  <c r="BO5" i="24"/>
  <c r="BS43" i="24"/>
  <c r="BS30" i="24"/>
  <c r="BS15" i="24"/>
  <c r="BK49" i="24"/>
  <c r="BK14" i="24"/>
  <c r="BK17" i="24"/>
  <c r="BK27" i="24"/>
  <c r="BS5" i="24"/>
  <c r="BS10" i="24"/>
  <c r="BK55" i="24"/>
  <c r="BK25" i="24"/>
  <c r="BK18" i="24"/>
  <c r="BK23" i="24"/>
  <c r="BO6" i="24"/>
  <c r="BS24" i="24"/>
  <c r="BS6" i="24"/>
  <c r="BK16" i="24"/>
  <c r="BK41" i="24"/>
  <c r="BK19" i="24"/>
  <c r="BK26" i="24"/>
  <c r="BK24" i="24"/>
  <c r="BK46" i="24"/>
  <c r="BK9" i="24"/>
  <c r="BK8" i="24"/>
  <c r="BK7" i="24"/>
  <c r="BK11" i="24"/>
  <c r="BK4" i="24"/>
  <c r="H23" i="24"/>
  <c r="BK10" i="24"/>
  <c r="BK5" i="24"/>
  <c r="BO4" i="24"/>
  <c r="BK13" i="24"/>
  <c r="BK12" i="24"/>
  <c r="BK6" i="24"/>
  <c r="BK58" i="24"/>
  <c r="BK59" i="24"/>
  <c r="BK32" i="24"/>
  <c r="BK31" i="24"/>
  <c r="BK35" i="24"/>
  <c r="BK33" i="24"/>
  <c r="BK37" i="24"/>
  <c r="BK36" i="24"/>
  <c r="BK34" i="24"/>
  <c r="BO7" i="24"/>
  <c r="BS9" i="24"/>
  <c r="BS8" i="24"/>
  <c r="BS7" i="24"/>
  <c r="BO14" i="24"/>
  <c r="BO12" i="24"/>
  <c r="BS47" i="24"/>
  <c r="BK51" i="24"/>
  <c r="BK28" i="24"/>
  <c r="BK22" i="24"/>
  <c r="BK57" i="24"/>
  <c r="BO13" i="24"/>
  <c r="BS41" i="24"/>
  <c r="BS33" i="24"/>
  <c r="BS16" i="24"/>
  <c r="BK47" i="24"/>
  <c r="BK29" i="24"/>
  <c r="BS32" i="24"/>
  <c r="BS40" i="24"/>
  <c r="BS37" i="24"/>
  <c r="BS45" i="24"/>
  <c r="BK54" i="24"/>
  <c r="BS46" i="24"/>
  <c r="BS38" i="24"/>
  <c r="BK53" i="24"/>
  <c r="BK30" i="24"/>
  <c r="BK21" i="24"/>
  <c r="H37" i="24"/>
  <c r="BS31" i="24"/>
  <c r="BS39" i="24"/>
  <c r="BS46" i="23"/>
  <c r="BK13" i="23"/>
  <c r="BK33" i="23"/>
  <c r="BK30" i="23"/>
  <c r="BK22" i="23"/>
  <c r="BK29" i="23"/>
  <c r="BK18" i="23"/>
  <c r="BK25" i="23"/>
  <c r="BS8" i="23"/>
  <c r="BK8" i="23"/>
  <c r="BK12" i="23"/>
  <c r="BS9" i="23"/>
  <c r="BK19" i="23"/>
  <c r="BK36" i="23"/>
  <c r="BK27" i="23"/>
  <c r="BK31" i="23"/>
  <c r="BO10" i="23"/>
  <c r="BK6" i="23"/>
  <c r="BK39" i="23"/>
  <c r="BK35" i="23"/>
  <c r="BO7" i="23"/>
  <c r="BK28" i="23"/>
  <c r="BK34" i="23"/>
  <c r="BK11" i="23"/>
  <c r="BK20" i="23"/>
  <c r="BK15" i="23"/>
  <c r="H37" i="23"/>
  <c r="BS25" i="23"/>
  <c r="BK32" i="23"/>
  <c r="BS7" i="23"/>
  <c r="BK37" i="23"/>
  <c r="BK48" i="23"/>
  <c r="BK47" i="23"/>
  <c r="BK44" i="23"/>
  <c r="BS17" i="23"/>
  <c r="BS15" i="23"/>
  <c r="BK45" i="23"/>
  <c r="BS14" i="23"/>
  <c r="BS18" i="23"/>
  <c r="BO9" i="23"/>
  <c r="BK57" i="23"/>
  <c r="BK46" i="23"/>
  <c r="BK38" i="23"/>
  <c r="BS13" i="23"/>
  <c r="BO8" i="23"/>
  <c r="BS11" i="23"/>
  <c r="BO12" i="23"/>
  <c r="BS32" i="23"/>
  <c r="BS26" i="23"/>
  <c r="BS10" i="23"/>
  <c r="BS36" i="23"/>
  <c r="BK56" i="23"/>
  <c r="BK55" i="23"/>
  <c r="BS34" i="23"/>
  <c r="BK58" i="23"/>
  <c r="BK51" i="23"/>
  <c r="BS45" i="23"/>
  <c r="BS27" i="23"/>
  <c r="BS42" i="23"/>
  <c r="BK49" i="23"/>
  <c r="BK41" i="23"/>
  <c r="BS28" i="23"/>
  <c r="BS41" i="23"/>
  <c r="BS47" i="23"/>
  <c r="BS19" i="23"/>
  <c r="BS23" i="23"/>
  <c r="BS29" i="23"/>
  <c r="H23" i="23"/>
  <c r="BO13" i="23"/>
  <c r="BS20" i="23"/>
  <c r="BS44" i="23"/>
  <c r="BK42" i="23"/>
  <c r="BK50" i="23"/>
  <c r="BS35" i="23"/>
  <c r="BS12" i="23"/>
  <c r="BK52" i="23"/>
  <c r="BK40" i="23"/>
  <c r="BS40" i="23"/>
  <c r="BS22" i="23"/>
  <c r="BS37" i="23"/>
  <c r="BK43" i="23"/>
  <c r="BS30" i="23"/>
  <c r="BO11" i="23"/>
  <c r="BK54" i="23"/>
  <c r="BK53" i="23"/>
  <c r="BS39" i="23"/>
  <c r="BK59" i="23"/>
  <c r="BS43" i="23"/>
  <c r="BS21" i="23"/>
  <c r="BS33" i="23"/>
  <c r="BS38" i="23"/>
  <c r="BS27" i="10"/>
  <c r="BK25" i="10"/>
  <c r="BK23" i="10"/>
  <c r="BK6" i="10"/>
  <c r="BS13" i="10"/>
  <c r="BK41" i="10"/>
  <c r="BK29" i="10"/>
  <c r="BK11" i="10"/>
  <c r="BK28" i="10"/>
  <c r="BK21" i="10"/>
  <c r="BO12" i="10"/>
  <c r="BS11" i="10"/>
  <c r="BK42" i="10"/>
  <c r="BS47" i="10"/>
  <c r="BK38" i="10"/>
  <c r="BO13" i="10"/>
  <c r="BK17" i="10"/>
  <c r="BK7" i="10"/>
  <c r="BK16" i="10"/>
  <c r="BK18" i="10"/>
  <c r="BK59" i="10"/>
  <c r="BS40" i="10"/>
  <c r="BS43" i="10"/>
  <c r="BK9" i="10"/>
  <c r="BK36" i="10"/>
  <c r="BS12" i="10"/>
  <c r="BS21" i="10"/>
  <c r="BS28" i="10"/>
  <c r="BK39" i="10"/>
  <c r="BK43" i="10"/>
  <c r="BS45" i="10"/>
  <c r="H23" i="10"/>
  <c r="BS10" i="10"/>
  <c r="BS42" i="10"/>
  <c r="BS33" i="10"/>
  <c r="BO8" i="10"/>
  <c r="BS44" i="10"/>
  <c r="BS39" i="10"/>
  <c r="BS19" i="10"/>
  <c r="BS18" i="10"/>
  <c r="BK46" i="10"/>
  <c r="BS31" i="10"/>
  <c r="BS29" i="10"/>
  <c r="BK32" i="10"/>
  <c r="BK57" i="10"/>
  <c r="BK35" i="10"/>
  <c r="BK51" i="10"/>
  <c r="BS25" i="10"/>
  <c r="BS15" i="10"/>
  <c r="BK33" i="10"/>
  <c r="BS22" i="10"/>
  <c r="BK56" i="10"/>
  <c r="BO9" i="10"/>
  <c r="BS17" i="10"/>
  <c r="BS37" i="10"/>
  <c r="BS8" i="10"/>
  <c r="BK37" i="10"/>
  <c r="BO10" i="10"/>
  <c r="BS30" i="10"/>
  <c r="BS14" i="10"/>
  <c r="BO7" i="10"/>
  <c r="BK52" i="10"/>
  <c r="BS23" i="10"/>
  <c r="BS26" i="10"/>
  <c r="BK54" i="10"/>
  <c r="BK44" i="10"/>
  <c r="BS35" i="10"/>
  <c r="BS34" i="10"/>
  <c r="BS20" i="10"/>
  <c r="BK55" i="10"/>
  <c r="BK58" i="10"/>
  <c r="BS7" i="10"/>
  <c r="BK53" i="10"/>
  <c r="BS24" i="10"/>
  <c r="BK48" i="10"/>
  <c r="BK47" i="10"/>
  <c r="BS32" i="10"/>
  <c r="BK31" i="10"/>
  <c r="BS38" i="10"/>
  <c r="BS36" i="10"/>
  <c r="BK19" i="10"/>
  <c r="BK34" i="10"/>
  <c r="BK50" i="10"/>
  <c r="BK27" i="10"/>
  <c r="H37" i="10"/>
  <c r="BO11" i="10"/>
  <c r="BK40" i="10"/>
  <c r="BK45" i="10"/>
  <c r="BK10" i="10"/>
  <c r="BS46" i="10"/>
  <c r="B36" i="26" l="1"/>
  <c r="B38" i="26"/>
  <c r="B37" i="26"/>
  <c r="B38" i="24"/>
  <c r="B37" i="24"/>
  <c r="B36" i="24"/>
  <c r="B37" i="23"/>
  <c r="B36" i="23"/>
  <c r="B38" i="23"/>
  <c r="B38" i="10"/>
  <c r="B37" i="10"/>
  <c r="B36" i="10"/>
  <c r="N1" i="2" l="1"/>
  <c r="N4" i="2" s="1"/>
  <c r="P1" i="2"/>
  <c r="Q1" i="2"/>
  <c r="D3" i="2"/>
  <c r="P4" i="2"/>
  <c r="Q4" i="2"/>
  <c r="V4" i="2"/>
  <c r="W4" i="2"/>
  <c r="N5" i="2"/>
  <c r="P5" i="2"/>
  <c r="R5" i="2" s="1"/>
  <c r="Q5" i="2"/>
  <c r="V5" i="2"/>
  <c r="W5" i="2"/>
  <c r="BQ5" i="2"/>
  <c r="N6" i="2"/>
  <c r="P6" i="2"/>
  <c r="R6" i="2" s="1"/>
  <c r="Q6" i="2"/>
  <c r="V6" i="2"/>
  <c r="W6" i="2"/>
  <c r="BM6" i="2"/>
  <c r="BQ9" i="2" s="1"/>
  <c r="BQ12" i="2" s="1"/>
  <c r="BQ6" i="2"/>
  <c r="N7" i="2"/>
  <c r="P7" i="2"/>
  <c r="R7" i="2" s="1"/>
  <c r="Q7" i="2"/>
  <c r="V7" i="2"/>
  <c r="W7" i="2"/>
  <c r="BQ7" i="2"/>
  <c r="N8" i="2"/>
  <c r="P8" i="2"/>
  <c r="R8" i="2" s="1"/>
  <c r="Q8" i="2"/>
  <c r="V8" i="2"/>
  <c r="W8" i="2"/>
  <c r="BQ8" i="2"/>
  <c r="N9" i="2"/>
  <c r="P9" i="2"/>
  <c r="R9" i="2" s="1"/>
  <c r="Q9" i="2"/>
  <c r="V9" i="2"/>
  <c r="W9" i="2"/>
  <c r="N10" i="2"/>
  <c r="R10" i="2"/>
  <c r="V10" i="2"/>
  <c r="W10" i="2"/>
  <c r="BQ10" i="2"/>
  <c r="N11" i="2"/>
  <c r="P11" i="2"/>
  <c r="V11" i="2" s="1"/>
  <c r="Q11" i="2"/>
  <c r="BQ11" i="2"/>
  <c r="N12" i="2"/>
  <c r="P12" i="2"/>
  <c r="R12" i="2" s="1"/>
  <c r="Q12" i="2"/>
  <c r="V12" i="2"/>
  <c r="W12" i="2"/>
  <c r="N13" i="2"/>
  <c r="P13" i="2"/>
  <c r="Q13" i="2"/>
  <c r="N14" i="2"/>
  <c r="P14" i="2"/>
  <c r="R14" i="2" s="1"/>
  <c r="Q14" i="2"/>
  <c r="V14" i="2"/>
  <c r="W14" i="2"/>
  <c r="BQ14" i="2"/>
  <c r="N15" i="2"/>
  <c r="P15" i="2"/>
  <c r="Q15" i="2"/>
  <c r="U15" i="2" s="1"/>
  <c r="Y15" i="2" s="1"/>
  <c r="AG15" i="2" s="1"/>
  <c r="V15" i="2"/>
  <c r="W15" i="2"/>
  <c r="BQ15" i="2"/>
  <c r="BQ19" i="2" s="1"/>
  <c r="BQ25" i="2" s="1"/>
  <c r="BQ32" i="2" s="1"/>
  <c r="BQ40" i="2" s="1"/>
  <c r="P16" i="2"/>
  <c r="Q16" i="2"/>
  <c r="R16" i="2"/>
  <c r="V16" i="2"/>
  <c r="W16" i="2"/>
  <c r="BQ16" i="2"/>
  <c r="BQ20" i="2" s="1"/>
  <c r="BQ26" i="2" s="1"/>
  <c r="B20" i="2"/>
  <c r="B21" i="2" s="1"/>
  <c r="B22" i="2"/>
  <c r="BI23" i="2"/>
  <c r="BM7" i="2" s="1"/>
  <c r="BQ13" i="2" s="1"/>
  <c r="BQ17" i="2" s="1"/>
  <c r="BQ21" i="2" s="1"/>
  <c r="BQ27" i="2" s="1"/>
  <c r="BQ34" i="2" s="1"/>
  <c r="BQ42" i="2" s="1"/>
  <c r="BI24" i="2"/>
  <c r="BQ24" i="2"/>
  <c r="BQ31" i="2" s="1"/>
  <c r="BQ39" i="2" s="1"/>
  <c r="BM14" i="2" s="1"/>
  <c r="B25" i="2"/>
  <c r="C25" i="2"/>
  <c r="D25" i="2"/>
  <c r="E25" i="2"/>
  <c r="BC25" i="2"/>
  <c r="BI25" i="2"/>
  <c r="B26" i="2"/>
  <c r="B31" i="2" s="1"/>
  <c r="W25" i="2" s="1"/>
  <c r="C26" i="2"/>
  <c r="D26" i="2"/>
  <c r="D27" i="2" s="1"/>
  <c r="E26" i="2"/>
  <c r="E27" i="2" s="1"/>
  <c r="BC26" i="2"/>
  <c r="BD26" i="2"/>
  <c r="BE26" i="2"/>
  <c r="BF26" i="2"/>
  <c r="BI26" i="2"/>
  <c r="BI33" i="2" s="1"/>
  <c r="BI39" i="2" s="1"/>
  <c r="BI44" i="2" s="1"/>
  <c r="BM10" i="2" s="1"/>
  <c r="BQ30" i="2" s="1"/>
  <c r="BQ37" i="2" s="1"/>
  <c r="BQ45" i="2" s="1"/>
  <c r="B27" i="2"/>
  <c r="C27" i="2"/>
  <c r="BC27" i="2"/>
  <c r="BD27" i="2"/>
  <c r="BE27" i="2"/>
  <c r="BF27" i="2"/>
  <c r="BI27" i="2"/>
  <c r="BC28" i="2"/>
  <c r="BD28" i="2"/>
  <c r="BE28" i="2"/>
  <c r="BF28" i="2"/>
  <c r="BI28" i="2"/>
  <c r="B29" i="2"/>
  <c r="C29" i="2"/>
  <c r="BC29" i="2"/>
  <c r="BD29" i="2"/>
  <c r="BE29" i="2"/>
  <c r="BF29" i="2"/>
  <c r="BI29" i="2"/>
  <c r="B30" i="2"/>
  <c r="C30" i="2"/>
  <c r="D30" i="2"/>
  <c r="E30" i="2"/>
  <c r="BD30" i="2"/>
  <c r="BE30" i="2"/>
  <c r="BF30" i="2"/>
  <c r="BI30" i="2"/>
  <c r="BE31" i="2"/>
  <c r="BF31" i="2"/>
  <c r="BI31" i="2"/>
  <c r="BM8" i="2" s="1"/>
  <c r="BQ18" i="2" s="1"/>
  <c r="BQ22" i="2" s="1"/>
  <c r="BQ28" i="2" s="1"/>
  <c r="BQ35" i="2" s="1"/>
  <c r="BQ43" i="2" s="1"/>
  <c r="B32" i="2"/>
  <c r="C32" i="2"/>
  <c r="BF32" i="2"/>
  <c r="BI32" i="2"/>
  <c r="BI38" i="2" s="1"/>
  <c r="BM9" i="2" s="1"/>
  <c r="BQ23" i="2" s="1"/>
  <c r="BQ29" i="2" s="1"/>
  <c r="BQ36" i="2" s="1"/>
  <c r="BQ44" i="2" s="1"/>
  <c r="B33" i="2"/>
  <c r="C33" i="2"/>
  <c r="BF33" i="2"/>
  <c r="BQ33" i="2"/>
  <c r="BF34" i="2"/>
  <c r="BI34" i="2"/>
  <c r="BI35" i="2"/>
  <c r="BI41" i="2" s="1"/>
  <c r="BI36" i="2"/>
  <c r="BI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C39" i="2"/>
  <c r="BC40" i="2"/>
  <c r="BD40" i="2"/>
  <c r="BE40" i="2"/>
  <c r="BF40" i="2"/>
  <c r="BI40" i="2"/>
  <c r="BC41" i="2"/>
  <c r="BD41" i="2"/>
  <c r="BE41" i="2"/>
  <c r="BF41" i="2"/>
  <c r="BQ41" i="2"/>
  <c r="BC42" i="2"/>
  <c r="BD42" i="2"/>
  <c r="BE42" i="2"/>
  <c r="BF42" i="2" s="1"/>
  <c r="BI42" i="2"/>
  <c r="BC43" i="2"/>
  <c r="BD43" i="2"/>
  <c r="BE43" i="2"/>
  <c r="BI43" i="2"/>
  <c r="BD44" i="2"/>
  <c r="BE44" i="2"/>
  <c r="BF44" i="2"/>
  <c r="BE45" i="2"/>
  <c r="BF46" i="2" s="1"/>
  <c r="BF45" i="2"/>
  <c r="BI45" i="2"/>
  <c r="BI46" i="2"/>
  <c r="BF47" i="2"/>
  <c r="BI47" i="2"/>
  <c r="BI52" i="2" s="1"/>
  <c r="BI55" i="2" s="1"/>
  <c r="BI57" i="2" s="1"/>
  <c r="BM13" i="2" s="1"/>
  <c r="BF48" i="2"/>
  <c r="BI48" i="2"/>
  <c r="BI49" i="2"/>
  <c r="BI50" i="2"/>
  <c r="BM11" i="2" s="1"/>
  <c r="BQ38" i="2" s="1"/>
  <c r="BQ46" i="2" s="1"/>
  <c r="BI51" i="2"/>
  <c r="BI53" i="2"/>
  <c r="BI56" i="2" s="1"/>
  <c r="BI58" i="2" s="1"/>
  <c r="BI59" i="2" s="1"/>
  <c r="BI54" i="2"/>
  <c r="BM12" i="2" s="1"/>
  <c r="BQ47" i="2" s="1"/>
  <c r="R13" i="2" l="1"/>
  <c r="AJ15" i="2"/>
  <c r="AH15" i="2"/>
  <c r="R4" i="2"/>
  <c r="C31" i="2"/>
  <c r="W39" i="2" s="1"/>
  <c r="E23" i="2"/>
  <c r="D23" i="2"/>
  <c r="C22" i="2"/>
  <c r="G13" i="2"/>
  <c r="R11" i="2"/>
  <c r="BF43" i="2"/>
  <c r="R15" i="2"/>
  <c r="T15" i="2"/>
  <c r="X15" i="2" s="1"/>
  <c r="AA15" i="2" s="1"/>
  <c r="N2" i="2"/>
  <c r="W11" i="2"/>
  <c r="S16" i="2" l="1"/>
  <c r="S14" i="2"/>
  <c r="B23" i="2"/>
  <c r="G14" i="2"/>
  <c r="R2" i="2"/>
  <c r="S5" i="2" s="1"/>
  <c r="AB15" i="2"/>
  <c r="S11" i="2"/>
  <c r="S8" i="2"/>
  <c r="S4" i="2" l="1"/>
  <c r="T5" i="2"/>
  <c r="X5" i="2" s="1"/>
  <c r="AA5" i="2" s="1"/>
  <c r="U5" i="2"/>
  <c r="Y5" i="2" s="1"/>
  <c r="AG5" i="2" s="1"/>
  <c r="T11" i="2"/>
  <c r="X11" i="2" s="1"/>
  <c r="AA11" i="2" s="1"/>
  <c r="U11" i="2"/>
  <c r="Y11" i="2" s="1"/>
  <c r="AG11" i="2" s="1"/>
  <c r="B34" i="2"/>
  <c r="T16" i="2" s="1"/>
  <c r="X16" i="2" s="1"/>
  <c r="AA16" i="2" s="1"/>
  <c r="B24" i="2"/>
  <c r="T41" i="2"/>
  <c r="T48" i="2"/>
  <c r="T45" i="2"/>
  <c r="T49" i="2"/>
  <c r="T42" i="2"/>
  <c r="T47" i="2"/>
  <c r="T46" i="2"/>
  <c r="T44" i="2"/>
  <c r="C23" i="2"/>
  <c r="T40" i="2"/>
  <c r="T43" i="2"/>
  <c r="T39" i="2"/>
  <c r="U8" i="2"/>
  <c r="Y8" i="2" s="1"/>
  <c r="AG8" i="2" s="1"/>
  <c r="T8" i="2"/>
  <c r="X8" i="2" s="1"/>
  <c r="AA8" i="2" s="1"/>
  <c r="T4" i="2"/>
  <c r="U4" i="2"/>
  <c r="S12" i="2"/>
  <c r="S13" i="2"/>
  <c r="S6" i="2"/>
  <c r="S9" i="2"/>
  <c r="S10" i="2"/>
  <c r="S7" i="2"/>
  <c r="T14" i="2"/>
  <c r="X14" i="2" s="1"/>
  <c r="AA14" i="2" s="1"/>
  <c r="U14" i="2"/>
  <c r="Y14" i="2" s="1"/>
  <c r="AG14" i="2" s="1"/>
  <c r="S15" i="2"/>
  <c r="S2" i="2" l="1"/>
  <c r="AB14" i="2"/>
  <c r="C34" i="2"/>
  <c r="U16" i="2" s="1"/>
  <c r="Y16" i="2" s="1"/>
  <c r="AG16" i="2" s="1"/>
  <c r="T35" i="2"/>
  <c r="T27" i="2"/>
  <c r="T32" i="2"/>
  <c r="T28" i="2"/>
  <c r="T31" i="2"/>
  <c r="C24" i="2"/>
  <c r="T26" i="2"/>
  <c r="T33" i="2"/>
  <c r="T34" i="2"/>
  <c r="T29" i="2"/>
  <c r="T30" i="2"/>
  <c r="T25" i="2"/>
  <c r="X4" i="2"/>
  <c r="AD16" i="2"/>
  <c r="AB16" i="2"/>
  <c r="AH14" i="2"/>
  <c r="N27" i="2"/>
  <c r="P27" i="2" s="1"/>
  <c r="N26" i="2"/>
  <c r="N29" i="2"/>
  <c r="P29" i="2" s="1"/>
  <c r="N28" i="2"/>
  <c r="P28" i="2" s="1"/>
  <c r="N30" i="2"/>
  <c r="P30" i="2" s="1"/>
  <c r="R35" i="2" s="1"/>
  <c r="N25" i="2"/>
  <c r="T10" i="2"/>
  <c r="X10" i="2" s="1"/>
  <c r="AA10" i="2" s="1"/>
  <c r="U10" i="2"/>
  <c r="Y10" i="2" s="1"/>
  <c r="AG10" i="2" s="1"/>
  <c r="AB8" i="2"/>
  <c r="AH11" i="2"/>
  <c r="U7" i="2"/>
  <c r="Y7" i="2" s="1"/>
  <c r="AG7" i="2" s="1"/>
  <c r="T7" i="2"/>
  <c r="X7" i="2" s="1"/>
  <c r="AA7" i="2" s="1"/>
  <c r="U9" i="2"/>
  <c r="Y9" i="2" s="1"/>
  <c r="AG9" i="2" s="1"/>
  <c r="T9" i="2"/>
  <c r="X9" i="2" s="1"/>
  <c r="AA9" i="2" s="1"/>
  <c r="AH8" i="2"/>
  <c r="AB11" i="2"/>
  <c r="Y4" i="2"/>
  <c r="U6" i="2"/>
  <c r="Y6" i="2" s="1"/>
  <c r="AG6" i="2" s="1"/>
  <c r="T6" i="2"/>
  <c r="X6" i="2" s="1"/>
  <c r="AA6" i="2" s="1"/>
  <c r="T37" i="2"/>
  <c r="AH5" i="2"/>
  <c r="T12" i="2"/>
  <c r="X12" i="2" s="1"/>
  <c r="AA12" i="2" s="1"/>
  <c r="U12" i="2"/>
  <c r="Y12" i="2" s="1"/>
  <c r="AG12" i="2" s="1"/>
  <c r="U13" i="2"/>
  <c r="Y13" i="2" s="1"/>
  <c r="AG13" i="2" s="1"/>
  <c r="T13" i="2"/>
  <c r="X13" i="2" s="1"/>
  <c r="AA13" i="2" s="1"/>
  <c r="AB5" i="2"/>
  <c r="T23" i="2" l="1"/>
  <c r="AB13" i="2"/>
  <c r="R33" i="2"/>
  <c r="AB6" i="2"/>
  <c r="AH12" i="2"/>
  <c r="AH6" i="2"/>
  <c r="AB9" i="2"/>
  <c r="P26" i="2"/>
  <c r="R31" i="2" s="1"/>
  <c r="AB12" i="2"/>
  <c r="U2" i="2"/>
  <c r="AH9" i="2"/>
  <c r="R32" i="2"/>
  <c r="AH16" i="2"/>
  <c r="AJ16" i="2"/>
  <c r="R34" i="2"/>
  <c r="Y2" i="2"/>
  <c r="AG4" i="2"/>
  <c r="AB7" i="2"/>
  <c r="AH10" i="2"/>
  <c r="X2" i="2"/>
  <c r="AA4" i="2"/>
  <c r="AH7" i="2"/>
  <c r="AB10" i="2"/>
  <c r="T2" i="2"/>
  <c r="N41" i="2"/>
  <c r="P41" i="2" s="1"/>
  <c r="N42" i="2"/>
  <c r="P42" i="2" s="1"/>
  <c r="N39" i="2"/>
  <c r="N40" i="2"/>
  <c r="P40" i="2" s="1"/>
  <c r="N44" i="2"/>
  <c r="P44" i="2" s="1"/>
  <c r="N43" i="2"/>
  <c r="P43" i="2" s="1"/>
  <c r="AH13" i="2"/>
  <c r="N23" i="2"/>
  <c r="P25" i="2"/>
  <c r="AD4" i="2" l="1"/>
  <c r="AB4" i="2"/>
  <c r="R45" i="2"/>
  <c r="R48" i="2"/>
  <c r="R49" i="2"/>
  <c r="R47" i="2"/>
  <c r="R46" i="2"/>
  <c r="AC9" i="2"/>
  <c r="R25" i="2"/>
  <c r="R27" i="2"/>
  <c r="P23" i="2"/>
  <c r="R28" i="2"/>
  <c r="R30" i="2"/>
  <c r="R29" i="2"/>
  <c r="AD5" i="2"/>
  <c r="R26" i="2"/>
  <c r="V26" i="2" s="1"/>
  <c r="AC4" i="2"/>
  <c r="AC6" i="2"/>
  <c r="AC8" i="2"/>
  <c r="AC5" i="2"/>
  <c r="N37" i="2"/>
  <c r="P39" i="2"/>
  <c r="R43" i="2" s="1"/>
  <c r="AH4" i="2"/>
  <c r="AI4" i="2"/>
  <c r="AJ4" i="2"/>
  <c r="AC11" i="2"/>
  <c r="V27" i="2" l="1"/>
  <c r="AH18" i="2"/>
  <c r="AI15" i="2"/>
  <c r="AJ14" i="2"/>
  <c r="AI11" i="2"/>
  <c r="AI5" i="2"/>
  <c r="AI14" i="2"/>
  <c r="AJ8" i="2"/>
  <c r="AI8" i="2"/>
  <c r="AJ11" i="2"/>
  <c r="AJ6" i="2"/>
  <c r="AI13" i="2"/>
  <c r="AI12" i="2"/>
  <c r="AI7" i="2"/>
  <c r="AJ13" i="2"/>
  <c r="AI10" i="2"/>
  <c r="AI16" i="2"/>
  <c r="AI9" i="2"/>
  <c r="AI6" i="2"/>
  <c r="AJ12" i="2"/>
  <c r="AJ10" i="2"/>
  <c r="AJ9" i="2"/>
  <c r="AJ7" i="2"/>
  <c r="R41" i="2"/>
  <c r="V25" i="2"/>
  <c r="R23" i="2"/>
  <c r="V32" i="2"/>
  <c r="V33" i="2"/>
  <c r="V29" i="2"/>
  <c r="V34" i="2"/>
  <c r="V31" i="2"/>
  <c r="V30" i="2"/>
  <c r="R42" i="2"/>
  <c r="AB18" i="2"/>
  <c r="AD14" i="2"/>
  <c r="AC16" i="2"/>
  <c r="AD15" i="2"/>
  <c r="AC13" i="2"/>
  <c r="AD10" i="2"/>
  <c r="AD12" i="2"/>
  <c r="AC15" i="2"/>
  <c r="AD6" i="2"/>
  <c r="AD9" i="2"/>
  <c r="AD7" i="2"/>
  <c r="AD13" i="2"/>
  <c r="AD8" i="2"/>
  <c r="AD11" i="2"/>
  <c r="AC10" i="2"/>
  <c r="AC14" i="2"/>
  <c r="AA26" i="2"/>
  <c r="AA25" i="2"/>
  <c r="R40" i="2"/>
  <c r="V40" i="2" s="1"/>
  <c r="R44" i="2"/>
  <c r="R39" i="2"/>
  <c r="P37" i="2"/>
  <c r="V28" i="2"/>
  <c r="AJ5" i="2"/>
  <c r="AC12" i="2"/>
  <c r="AC7" i="2"/>
  <c r="AI18" i="2" l="1"/>
  <c r="L40" i="2" s="1"/>
  <c r="AJ18" i="2"/>
  <c r="L41" i="2" s="1"/>
  <c r="AC18" i="2"/>
  <c r="L26" i="2" s="1"/>
  <c r="AD18" i="2"/>
  <c r="L27" i="2" s="1"/>
  <c r="AA23" i="2"/>
  <c r="AE18" i="2"/>
  <c r="L28" i="2" s="1"/>
  <c r="L25" i="2"/>
  <c r="AM28" i="2"/>
  <c r="AM32" i="2"/>
  <c r="AM29" i="2"/>
  <c r="AM26" i="2"/>
  <c r="AM25" i="2"/>
  <c r="AM30" i="2"/>
  <c r="AM31" i="2"/>
  <c r="AM27" i="2"/>
  <c r="AA39" i="2"/>
  <c r="AA40" i="2"/>
  <c r="AE25" i="2"/>
  <c r="AE26" i="2"/>
  <c r="AE27" i="2"/>
  <c r="AE28" i="2"/>
  <c r="V42" i="2"/>
  <c r="AK18" i="2"/>
  <c r="L42" i="2" s="1"/>
  <c r="L39" i="2"/>
  <c r="AI28" i="2"/>
  <c r="AI29" i="2"/>
  <c r="AI26" i="2"/>
  <c r="AI30" i="2"/>
  <c r="AI25" i="2"/>
  <c r="AI27" i="2"/>
  <c r="V23" i="2"/>
  <c r="V35" i="2" s="1"/>
  <c r="Y25" i="2"/>
  <c r="AC27" i="2"/>
  <c r="AC25" i="2"/>
  <c r="AC23" i="2" s="1"/>
  <c r="AC26" i="2"/>
  <c r="AO31" i="2"/>
  <c r="AO26" i="2"/>
  <c r="AO27" i="2"/>
  <c r="AO28" i="2"/>
  <c r="AO33" i="2"/>
  <c r="AO30" i="2"/>
  <c r="AO32" i="2"/>
  <c r="AO29" i="2"/>
  <c r="AO25" i="2"/>
  <c r="R37" i="2"/>
  <c r="V39" i="2"/>
  <c r="V48" i="2"/>
  <c r="V44" i="2"/>
  <c r="V45" i="2"/>
  <c r="V43" i="2"/>
  <c r="V46" i="2"/>
  <c r="V47" i="2"/>
  <c r="AK30" i="2"/>
  <c r="AK28" i="2"/>
  <c r="AK27" i="2"/>
  <c r="AK29" i="2"/>
  <c r="AK31" i="2"/>
  <c r="AK25" i="2"/>
  <c r="AK26" i="2"/>
  <c r="V41" i="2"/>
  <c r="AG25" i="2"/>
  <c r="AG27" i="2"/>
  <c r="AG28" i="2"/>
  <c r="AG26" i="2"/>
  <c r="AG29" i="2"/>
  <c r="AQ30" i="2"/>
  <c r="AQ25" i="2"/>
  <c r="AQ32" i="2"/>
  <c r="AQ34" i="2"/>
  <c r="AQ27" i="2"/>
  <c r="AQ31" i="2"/>
  <c r="AQ26" i="2"/>
  <c r="AQ33" i="2"/>
  <c r="AQ29" i="2"/>
  <c r="AQ28" i="2"/>
  <c r="AG39" i="2" l="1"/>
  <c r="AG43" i="2"/>
  <c r="AG41" i="2"/>
  <c r="AG40" i="2"/>
  <c r="AG42" i="2"/>
  <c r="AM23" i="2"/>
  <c r="AK43" i="2"/>
  <c r="AK39" i="2"/>
  <c r="AK42" i="2"/>
  <c r="AK45" i="2"/>
  <c r="AK44" i="2"/>
  <c r="AK41" i="2"/>
  <c r="AK40" i="2"/>
  <c r="J27" i="2"/>
  <c r="H27" i="2" s="1"/>
  <c r="AE23" i="2"/>
  <c r="AI41" i="2"/>
  <c r="AI42" i="2"/>
  <c r="AI40" i="2"/>
  <c r="AI44" i="2"/>
  <c r="AI43" i="2"/>
  <c r="AI39" i="2"/>
  <c r="AS30" i="2"/>
  <c r="AS27" i="2"/>
  <c r="AS34" i="2"/>
  <c r="AS32" i="2"/>
  <c r="AS31" i="2"/>
  <c r="J31" i="2" s="1"/>
  <c r="AS33" i="2"/>
  <c r="AS35" i="2"/>
  <c r="J35" i="2" s="1"/>
  <c r="AS25" i="2"/>
  <c r="AS26" i="2"/>
  <c r="J26" i="2" s="1"/>
  <c r="H26" i="2" s="1"/>
  <c r="AS28" i="2"/>
  <c r="AS29" i="2"/>
  <c r="J29" i="2" s="1"/>
  <c r="H29" i="2" s="1"/>
  <c r="L37" i="2"/>
  <c r="J34" i="2"/>
  <c r="AG23" i="2"/>
  <c r="Y39" i="2"/>
  <c r="V37" i="2"/>
  <c r="V49" i="2" s="1"/>
  <c r="V22" i="2"/>
  <c r="AA37" i="2"/>
  <c r="AQ47" i="2"/>
  <c r="AQ48" i="2"/>
  <c r="AQ44" i="2"/>
  <c r="AQ42" i="2"/>
  <c r="AQ41" i="2"/>
  <c r="AQ40" i="2"/>
  <c r="AQ39" i="2"/>
  <c r="AQ43" i="2"/>
  <c r="AQ45" i="2"/>
  <c r="AQ46" i="2"/>
  <c r="J32" i="2"/>
  <c r="AC39" i="2"/>
  <c r="AC41" i="2"/>
  <c r="AC40" i="2"/>
  <c r="AO45" i="2"/>
  <c r="AO40" i="2"/>
  <c r="AO41" i="2"/>
  <c r="AO47" i="2"/>
  <c r="AO46" i="2"/>
  <c r="AO39" i="2"/>
  <c r="AO43" i="2"/>
  <c r="AO44" i="2"/>
  <c r="AO42" i="2"/>
  <c r="AE40" i="2"/>
  <c r="AE41" i="2"/>
  <c r="AE39" i="2"/>
  <c r="AE42" i="2"/>
  <c r="L23" i="2"/>
  <c r="J33" i="2"/>
  <c r="Y23" i="2"/>
  <c r="J25" i="2"/>
  <c r="AQ23" i="2"/>
  <c r="AO23" i="2"/>
  <c r="AI23" i="2"/>
  <c r="J28" i="2"/>
  <c r="AK23" i="2"/>
  <c r="AM46" i="2"/>
  <c r="AM39" i="2"/>
  <c r="AM42" i="2"/>
  <c r="AM43" i="2"/>
  <c r="AM45" i="2"/>
  <c r="AM41" i="2"/>
  <c r="AM40" i="2"/>
  <c r="AM44" i="2"/>
  <c r="J30" i="2"/>
  <c r="H31" i="2" l="1"/>
  <c r="AM37" i="2"/>
  <c r="J23" i="2"/>
  <c r="AE37" i="2"/>
  <c r="J47" i="2"/>
  <c r="H34" i="2"/>
  <c r="AS23" i="2"/>
  <c r="AI37" i="2"/>
  <c r="H32" i="2"/>
  <c r="H33" i="2"/>
  <c r="H30" i="2"/>
  <c r="H28" i="2"/>
  <c r="AQ37" i="2"/>
  <c r="AS46" i="2"/>
  <c r="AS48" i="2"/>
  <c r="J48" i="2" s="1"/>
  <c r="H48" i="2" s="1"/>
  <c r="AS44" i="2"/>
  <c r="J44" i="2" s="1"/>
  <c r="H44" i="2" s="1"/>
  <c r="AS41" i="2"/>
  <c r="J41" i="2" s="1"/>
  <c r="H41" i="2" s="1"/>
  <c r="AS43" i="2"/>
  <c r="J43" i="2" s="1"/>
  <c r="H43" i="2" s="1"/>
  <c r="AS40" i="2"/>
  <c r="J40" i="2" s="1"/>
  <c r="H40" i="2" s="1"/>
  <c r="BS6" i="2" s="1"/>
  <c r="AS49" i="2"/>
  <c r="J49" i="2" s="1"/>
  <c r="AS45" i="2"/>
  <c r="J45" i="2" s="1"/>
  <c r="AS47" i="2"/>
  <c r="AS42" i="2"/>
  <c r="AS39" i="2"/>
  <c r="AG37" i="2"/>
  <c r="AS22" i="2"/>
  <c r="H35" i="2"/>
  <c r="H25" i="2"/>
  <c r="Y37" i="2"/>
  <c r="J39" i="2"/>
  <c r="AK37" i="2"/>
  <c r="J42" i="2"/>
  <c r="J46" i="2"/>
  <c r="AO37" i="2"/>
  <c r="AC37" i="2"/>
  <c r="V36" i="2"/>
  <c r="BK38" i="2" l="1"/>
  <c r="BK25" i="2"/>
  <c r="BK17" i="2"/>
  <c r="H45" i="2"/>
  <c r="BO8" i="2"/>
  <c r="BK24" i="2"/>
  <c r="BK16" i="2"/>
  <c r="BK29" i="2"/>
  <c r="BK42" i="2"/>
  <c r="BK21" i="2"/>
  <c r="BO6" i="2"/>
  <c r="BS12" i="2"/>
  <c r="BK14" i="2"/>
  <c r="BO13" i="2"/>
  <c r="BS44" i="2"/>
  <c r="BS39" i="2"/>
  <c r="BS43" i="2"/>
  <c r="BS40" i="2"/>
  <c r="BS41" i="2"/>
  <c r="H46" i="2"/>
  <c r="BK45" i="2" s="1"/>
  <c r="BK34" i="2"/>
  <c r="BK33" i="2"/>
  <c r="BK35" i="2"/>
  <c r="BK31" i="2"/>
  <c r="BS8" i="2"/>
  <c r="BS9" i="2"/>
  <c r="BK32" i="2"/>
  <c r="BK36" i="2"/>
  <c r="H47" i="2"/>
  <c r="BK11" i="2" s="1"/>
  <c r="AS37" i="2"/>
  <c r="AS36" i="2" s="1"/>
  <c r="BS11" i="2"/>
  <c r="H42" i="2"/>
  <c r="BS16" i="2"/>
  <c r="BS15" i="2"/>
  <c r="BS18" i="2"/>
  <c r="BK44" i="2"/>
  <c r="BK47" i="2"/>
  <c r="BO9" i="2"/>
  <c r="BK46" i="2"/>
  <c r="BO5" i="2"/>
  <c r="J37" i="2"/>
  <c r="H39" i="2"/>
  <c r="BS24" i="2" s="1"/>
  <c r="BS31" i="2"/>
  <c r="BS32" i="2"/>
  <c r="BS36" i="2"/>
  <c r="BS37" i="2"/>
  <c r="BS33" i="2"/>
  <c r="BS35" i="2"/>
  <c r="BS34" i="2"/>
  <c r="BK57" i="2"/>
  <c r="BO11" i="2"/>
  <c r="BS26" i="2"/>
  <c r="BS25" i="2"/>
  <c r="BS30" i="2"/>
  <c r="BS28" i="2"/>
  <c r="BK55" i="2"/>
  <c r="BS29" i="2"/>
  <c r="BS22" i="2"/>
  <c r="BO10" i="2"/>
  <c r="BS23" i="2"/>
  <c r="BK52" i="2"/>
  <c r="BS19" i="2"/>
  <c r="BK49" i="2"/>
  <c r="BS20" i="2"/>
  <c r="BK10" i="2"/>
  <c r="BK12" i="2"/>
  <c r="BK7" i="2"/>
  <c r="BK8" i="2"/>
  <c r="BK9" i="2"/>
  <c r="BK5" i="2"/>
  <c r="BK4" i="2"/>
  <c r="H23" i="2"/>
  <c r="H49" i="2"/>
  <c r="BK53" i="2" s="1"/>
  <c r="BK54" i="2" l="1"/>
  <c r="BK50" i="2"/>
  <c r="BS46" i="2"/>
  <c r="BS38" i="2"/>
  <c r="BK15" i="2"/>
  <c r="BS13" i="2"/>
  <c r="BK23" i="2"/>
  <c r="BO12" i="2"/>
  <c r="BS47" i="2"/>
  <c r="BK30" i="2"/>
  <c r="BK22" i="2"/>
  <c r="BK43" i="2"/>
  <c r="H37" i="2"/>
  <c r="BS10" i="2"/>
  <c r="BS5" i="2"/>
  <c r="BS4" i="2"/>
  <c r="BO4" i="2"/>
  <c r="BK56" i="2"/>
  <c r="BK58" i="2"/>
  <c r="BO7" i="2"/>
  <c r="BK59" i="2"/>
  <c r="BK39" i="2"/>
  <c r="BK18" i="2"/>
  <c r="BK26" i="2"/>
  <c r="BK28" i="2"/>
  <c r="BK41" i="2"/>
  <c r="BK20" i="2"/>
  <c r="BK51" i="2"/>
  <c r="BS17" i="2"/>
  <c r="BK37" i="2"/>
  <c r="BS7" i="2"/>
  <c r="BK6" i="2"/>
  <c r="BK13" i="2"/>
  <c r="BS21" i="2"/>
  <c r="BK48" i="2"/>
  <c r="BS42" i="2"/>
  <c r="BS27" i="2"/>
  <c r="BO14" i="2"/>
  <c r="BS14" i="2"/>
  <c r="BK19" i="2"/>
  <c r="BK27" i="2"/>
  <c r="BK40" i="2"/>
  <c r="BS45" i="2"/>
  <c r="B37" i="2" l="1"/>
  <c r="B36" i="2"/>
  <c r="B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3329D3A-1802-4780-9C46-84B2741B3E6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11BEAAB-648B-46BA-8C04-D0B88D263EF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55B64FE9-5C46-4E59-802B-C533AC4EA2C5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B9A5916D-380E-4BE3-B70E-7C92226B25C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ACB0562B-7D5B-4356-B6A1-0E6F3809AA6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913F649-DE11-4B2B-98E1-21F912228287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D60218E-9C8C-4091-B58B-05846F0C280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A776C2E-7656-417C-B580-9F2D3BF56D3F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7E66C22C-D43B-440E-9E51-14B243B806E2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9C37AC4A-85DD-4BA5-9C85-141EC3E4F86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7B9F7463-7EF6-4FD9-8997-584D61E155E0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9FF7E1E-C89F-4D79-92CD-B13F5106DC9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0FCC815-FAA7-4199-99FE-73C14DEE2B0A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B3366C3-8247-49C3-9B79-6E08C721A82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D4F89FA-85D1-4A77-B151-F07F2400DD0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CFB8A003-CCB2-4063-960E-DE485CDDD1A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44601BF-EE9B-4617-BA30-75D6E6DEA85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4EFDAF18-4EE0-47B6-A181-B520A2D071C4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BB059E3-C498-4885-AB1F-DBAC3E78FFC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8D9DA82-301C-493A-9ED1-9D4B416EA5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D60D197B-1F11-4221-9F07-1D46F2CA25E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AD88C888-7CB7-4E68-B086-D7C4902987E5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46C7C6C-FDBE-477E-A1D1-E370202BC75B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51FBBEA6-22A8-4757-8244-5B4D13FBA16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E108810-FB2B-433D-8E33-3F398B4C2A6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F8815-9463-4EAF-9541-F2967A762DE0}" keepAlive="1" name="Consulta - players_1_8_2022, 10 00 33" description="Conexión a la consulta 'players_1_8_2022, 10 00 33' en el libro." type="5" refreshedVersion="8" background="1" saveData="1">
    <dbPr connection="Provider=Microsoft.Mashup.OleDb.1;Data Source=$Workbook$;Location=&quot;players_1_8_2022, 10 00 33&quot;;Extended Properties=&quot;&quot;" command="SELECT * FROM [players_1_8_2022, 10 00 33]"/>
  </connection>
  <connection id="2" xr16:uid="{B144561E-7DAB-478C-893A-6AB0E2DFB66E}" keepAlive="1" name="Consulta - players_1_8_2022, 10 08 04" description="Conexión a la consulta 'players_1_8_2022, 10 08 04' en el libro." type="5" refreshedVersion="8" background="1" saveData="1">
    <dbPr connection="Provider=Microsoft.Mashup.OleDb.1;Data Source=$Workbook$;Location=&quot;players_1_8_2022, 10 08 04&quot;;Extended Properties=&quot;&quot;" command="SELECT * FROM [players_1_8_2022, 10 08 04]"/>
  </connection>
  <connection id="3" xr16:uid="{F90315A2-9B33-4597-BD46-7DAB1BE5A042}" keepAlive="1" name="Consulta - players_29_7_2022, 16 34 44" description="Conexión a la consulta 'players_29_7_2022, 16 34 44' en el libro." type="5" refreshedVersion="8" background="1" saveData="1">
    <dbPr connection="Provider=Microsoft.Mashup.OleDb.1;Data Source=$Workbook$;Location=&quot;players_29_7_2022, 16 34 44&quot;;Extended Properties=&quot;&quot;" command="SELECT * FROM [players_29_7_2022, 16 34 44]"/>
  </connection>
  <connection id="4" xr16:uid="{A3787B32-C432-4E38-9F66-910B33AFB987}" keepAlive="1" name="Consulta - players_29_7_2022, 17 38 32" description="Conexión a la consulta 'players_29_7_2022, 17 38 32' en el libro." type="5" refreshedVersion="8" background="1" saveData="1">
    <dbPr connection="Provider=Microsoft.Mashup.OleDb.1;Data Source=$Workbook$;Location=&quot;players_29_7_2022, 17 38 32&quot;;Extended Properties=&quot;&quot;" command="SELECT * FROM [players_29_7_2022, 17 38 32]"/>
  </connection>
  <connection id="5" xr16:uid="{86C9541A-5FD9-4C1E-8C97-120EED1A8B22}" keepAlive="1" name="Consulta - players_29_7_2022, 17 49 51" description="Conexión a la consulta 'players_29_7_2022, 17 49 51' en el libro." type="5" refreshedVersion="8" background="1" saveData="1">
    <dbPr connection="Provider=Microsoft.Mashup.OleDb.1;Data Source=$Workbook$;Location=&quot;players_29_7_2022, 17 49 51&quot;;Extended Properties=&quot;&quot;" command="SELECT * FROM [players_29_7_2022, 17 49 51]"/>
  </connection>
  <connection id="6" xr16:uid="{F661ADBA-0FBF-4BF6-8666-C18939FCB550}" keepAlive="1" name="Consulta - players_29_7_2022, 17 55 47" description="Conexión a la consulta 'players_29_7_2022, 17 55 47' en el libro." type="5" refreshedVersion="8" background="1" saveData="1">
    <dbPr connection="Provider=Microsoft.Mashup.OleDb.1;Data Source=$Workbook$;Location=&quot;players_29_7_2022, 17 55 47&quot;;Extended Properties=&quot;&quot;" command="SELECT * FROM [players_29_7_2022, 17 55 47]"/>
  </connection>
  <connection id="7" xr16:uid="{87248A52-271F-4D70-A6E9-B3488BFA5018}" keepAlive="1" name="Consulta - players_29_7_2022, 18 02 31" description="Conexión a la consulta 'players_29_7_2022, 18 02 31' en el libro." type="5" refreshedVersion="8" background="1" saveData="1">
    <dbPr connection="Provider=Microsoft.Mashup.OleDb.1;Data Source=$Workbook$;Location=&quot;players_29_7_2022, 18 02 31&quot;;Extended Properties=&quot;&quot;" command="SELECT * FROM [players_29_7_2022, 18 02 31]"/>
  </connection>
  <connection id="8" xr16:uid="{8DB02D75-BDA2-47A3-9B43-6B8DCE814712}" keepAlive="1" name="Consulta - players_5_8_2022, 10 27 02" description="Conexión a la consulta 'players_5_8_2022, 10 27 02' en el libro." type="5" refreshedVersion="8" background="1" saveData="1">
    <dbPr connection="Provider=Microsoft.Mashup.OleDb.1;Data Source=$Workbook$;Location=&quot;players_5_8_2022, 10 27 02&quot;;Extended Properties=&quot;&quot;" command="SELECT * FROM [players_5_8_2022, 10 27 02]"/>
  </connection>
  <connection id="9" xr16:uid="{C6B8966A-AF80-4A5F-B53E-885FB55CC625}" keepAlive="1" name="Consulta - players_8_8_2022, 11 49 37" description="Conexión a la consulta 'players_8_8_2022, 11 49 37' en el libro." type="5" refreshedVersion="0" background="1">
    <dbPr connection="Provider=Microsoft.Mashup.OleDb.1;Data Source=$Workbook$;Location=&quot;players_8_8_2022, 11 49 37&quot;;Extended Properties=&quot;&quot;" command="SELECT * FROM [players_8_8_2022, 11 49 37]"/>
  </connection>
</connections>
</file>

<file path=xl/sharedStrings.xml><?xml version="1.0" encoding="utf-8"?>
<sst xmlns="http://schemas.openxmlformats.org/spreadsheetml/2006/main" count="2753" uniqueCount="484">
  <si>
    <t>2º</t>
  </si>
  <si>
    <t>-DEF</t>
  </si>
  <si>
    <t>-</t>
  </si>
  <si>
    <t>RAP</t>
  </si>
  <si>
    <t>Sol</t>
  </si>
  <si>
    <t>1º+2º</t>
  </si>
  <si>
    <t>-DEF-ANO</t>
  </si>
  <si>
    <t>Lluvia</t>
  </si>
  <si>
    <t>-ANO-RES</t>
  </si>
  <si>
    <t xml:space="preserve">POT </t>
  </si>
  <si>
    <t>+DF+JG+AN</t>
  </si>
  <si>
    <t>+</t>
  </si>
  <si>
    <t>+JUG+ANO</t>
  </si>
  <si>
    <t>TEC</t>
  </si>
  <si>
    <t>-JUG-ANO</t>
  </si>
  <si>
    <t>Tiempo</t>
  </si>
  <si>
    <t>Hab</t>
  </si>
  <si>
    <t>+/-</t>
  </si>
  <si>
    <t>Esp</t>
  </si>
  <si>
    <t>Clima</t>
  </si>
  <si>
    <t>LOCAL</t>
  </si>
  <si>
    <t>VISITANT</t>
  </si>
  <si>
    <t>EMPATE</t>
  </si>
  <si>
    <t>Ocasiones Total Gol</t>
  </si>
  <si>
    <t>Probabilidad de CA</t>
  </si>
  <si>
    <t>Probabilidad de TL</t>
  </si>
  <si>
    <t>Efectividad</t>
  </si>
  <si>
    <t>Tiro Lejano</t>
  </si>
  <si>
    <t>at-bp-i</t>
  </si>
  <si>
    <t>at-bp-d</t>
  </si>
  <si>
    <t>at-izquierda</t>
  </si>
  <si>
    <t>at-derecha</t>
  </si>
  <si>
    <t>at-central</t>
  </si>
  <si>
    <t>p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</si>
  <si>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</si>
  <si>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</si>
  <si>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</si>
  <si>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</si>
  <si>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</si>
  <si>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</si>
  <si>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</si>
  <si>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</si>
  <si>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</si>
  <si>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</si>
  <si>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G0</t>
  </si>
  <si>
    <t>E(x)</t>
  </si>
  <si>
    <t>P</t>
  </si>
  <si>
    <t>Total</t>
  </si>
  <si>
    <t>OcaCA</t>
  </si>
  <si>
    <t>TotalN</t>
  </si>
  <si>
    <t>O_CA</t>
  </si>
  <si>
    <t>OcaS</t>
  </si>
  <si>
    <t>EE(x)</t>
  </si>
  <si>
    <t>p(x)</t>
  </si>
  <si>
    <t>GT</t>
  </si>
  <si>
    <t>G</t>
  </si>
  <si>
    <t>Visitante</t>
  </si>
  <si>
    <t>Local</t>
  </si>
  <si>
    <t>Posesión Real</t>
  </si>
  <si>
    <t>Ocasiones Gol</t>
  </si>
  <si>
    <t>Posesión HT</t>
  </si>
  <si>
    <t>Ocasiones Compartidas</t>
  </si>
  <si>
    <t>Oca Destruidas Pression</t>
  </si>
  <si>
    <t>All</t>
  </si>
  <si>
    <t>Nivel Tactica</t>
  </si>
  <si>
    <t>E+D</t>
  </si>
  <si>
    <t>Normal</t>
  </si>
  <si>
    <t>Tactica</t>
  </si>
  <si>
    <t>Del POT</t>
  </si>
  <si>
    <t>Del</t>
  </si>
  <si>
    <t xml:space="preserve">Nivel medio HabPri </t>
  </si>
  <si>
    <t>TEC vs CAB</t>
  </si>
  <si>
    <t>Experiencia Equipo</t>
  </si>
  <si>
    <t>Lat+ANO</t>
  </si>
  <si>
    <t>Pos2</t>
  </si>
  <si>
    <t>Faltas indirectas At</t>
  </si>
  <si>
    <t>Lat+CAB</t>
  </si>
  <si>
    <t>Pos1</t>
  </si>
  <si>
    <t>Faltas indirectas Def</t>
  </si>
  <si>
    <t>IMP Propia</t>
  </si>
  <si>
    <t>Ataque izquierdo</t>
  </si>
  <si>
    <t>Corner + CAB</t>
  </si>
  <si>
    <t>Ataque central</t>
  </si>
  <si>
    <t>Corner + Ano</t>
  </si>
  <si>
    <t>pos</t>
  </si>
  <si>
    <t>Ataque derecho</t>
  </si>
  <si>
    <t>RAP+Pase</t>
  </si>
  <si>
    <t>No</t>
  </si>
  <si>
    <t>Defensa izquierda</t>
  </si>
  <si>
    <t>RAP+Ano</t>
  </si>
  <si>
    <t>Defensa central</t>
  </si>
  <si>
    <t>IMP Fallo</t>
  </si>
  <si>
    <t>Defensa derecha</t>
  </si>
  <si>
    <t>IMP</t>
  </si>
  <si>
    <t>CAB</t>
  </si>
  <si>
    <t>Mediocampo</t>
  </si>
  <si>
    <t>IMP+Ano</t>
  </si>
  <si>
    <t>FORMACION</t>
  </si>
  <si>
    <t>IMP+Pase</t>
  </si>
  <si>
    <t>VIS</t>
  </si>
  <si>
    <t>LOC</t>
  </si>
  <si>
    <t>g2</t>
  </si>
  <si>
    <t>g1</t>
  </si>
  <si>
    <t>pConv2</t>
  </si>
  <si>
    <t>pConv1</t>
  </si>
  <si>
    <t>a2</t>
  </si>
  <si>
    <t>a1</t>
  </si>
  <si>
    <t>pOK</t>
  </si>
  <si>
    <t>pbase</t>
  </si>
  <si>
    <t>Slots2</t>
  </si>
  <si>
    <t>Slots1</t>
  </si>
  <si>
    <t>Descripcion</t>
  </si>
  <si>
    <t>Slots</t>
  </si>
  <si>
    <t>Evento</t>
  </si>
  <si>
    <t>p(2)</t>
  </si>
  <si>
    <t>p(1)</t>
  </si>
  <si>
    <t>p(0)</t>
  </si>
  <si>
    <t>pVis</t>
  </si>
  <si>
    <t>pLoc</t>
  </si>
  <si>
    <t>NEU</t>
  </si>
  <si>
    <t>Obiwan</t>
  </si>
  <si>
    <t>Vader</t>
  </si>
  <si>
    <t>III.12</t>
  </si>
  <si>
    <t>Desde</t>
  </si>
  <si>
    <t>Region</t>
  </si>
  <si>
    <t>MejorLiga</t>
  </si>
  <si>
    <t>Compres</t>
  </si>
  <si>
    <t>Vendes</t>
  </si>
  <si>
    <t>Trans</t>
  </si>
  <si>
    <t>TSI</t>
  </si>
  <si>
    <t>Sueldos</t>
  </si>
  <si>
    <t>POT</t>
  </si>
  <si>
    <t>Tot</t>
  </si>
  <si>
    <t>Entrenador</t>
  </si>
  <si>
    <t>Tacticas</t>
  </si>
  <si>
    <t>III (4)</t>
  </si>
  <si>
    <t>Catalunya</t>
  </si>
  <si>
    <t>Club Atlético Gaditano</t>
  </si>
  <si>
    <t>Andalucia</t>
  </si>
  <si>
    <t>TL</t>
  </si>
  <si>
    <t>III (2)</t>
  </si>
  <si>
    <t>V@der SC</t>
  </si>
  <si>
    <t>Pamboli</t>
  </si>
  <si>
    <t>II (1)</t>
  </si>
  <si>
    <t>Fecha Actualizacion</t>
  </si>
  <si>
    <t>Edad</t>
  </si>
  <si>
    <t>DC</t>
  </si>
  <si>
    <t>MC</t>
  </si>
  <si>
    <t>DEL</t>
  </si>
  <si>
    <t>Nacionalidad</t>
  </si>
  <si>
    <t>Dorsal</t>
  </si>
  <si>
    <t>Nombre</t>
  </si>
  <si>
    <t>ID del jugador</t>
  </si>
  <si>
    <t>Especialidad</t>
  </si>
  <si>
    <t>Bonificación por club de origen</t>
  </si>
  <si>
    <t>Lesiones</t>
  </si>
  <si>
    <t>Amonestaciones</t>
  </si>
  <si>
    <t>En la lista de transferencias</t>
  </si>
  <si>
    <t>Días</t>
  </si>
  <si>
    <t>Salario</t>
  </si>
  <si>
    <t>Semanas en el club</t>
  </si>
  <si>
    <t>Experiencia</t>
  </si>
  <si>
    <t>Liderazgo</t>
  </si>
  <si>
    <t>Fidelidad</t>
  </si>
  <si>
    <t>Forma</t>
  </si>
  <si>
    <t>Resistencia</t>
  </si>
  <si>
    <t>Fecha último partido</t>
  </si>
  <si>
    <t>Rendimiento último partido</t>
  </si>
  <si>
    <t>Demarcación último partido</t>
  </si>
  <si>
    <t>Comoras</t>
  </si>
  <si>
    <t>John Oluoch</t>
  </si>
  <si>
    <t>Imprevisible</t>
  </si>
  <si>
    <t/>
  </si>
  <si>
    <t>POR</t>
  </si>
  <si>
    <t>España</t>
  </si>
  <si>
    <t>Iker Bidagille</t>
  </si>
  <si>
    <t>Potente</t>
  </si>
  <si>
    <t>LI</t>
  </si>
  <si>
    <t>Hungría</t>
  </si>
  <si>
    <t>Zoltán Tarlós</t>
  </si>
  <si>
    <t>Rápido</t>
  </si>
  <si>
    <t>ED</t>
  </si>
  <si>
    <t>José David Pastor</t>
  </si>
  <si>
    <t>Cabeceador</t>
  </si>
  <si>
    <t>Chile</t>
  </si>
  <si>
    <t>Alvaro Melo</t>
  </si>
  <si>
    <t>Alemania</t>
  </si>
  <si>
    <t>Nils Steinbeißer</t>
  </si>
  <si>
    <t>Liechtenstein</t>
  </si>
  <si>
    <t>Gert Mayer</t>
  </si>
  <si>
    <t>Polonia</t>
  </si>
  <si>
    <t>Bartosz Bucior</t>
  </si>
  <si>
    <t>Hanning Fietze</t>
  </si>
  <si>
    <t>Mozambique</t>
  </si>
  <si>
    <t>António Eurico Gonçalves Fonseca</t>
  </si>
  <si>
    <t>Bulgaria</t>
  </si>
  <si>
    <t>Sadri Ziyat</t>
  </si>
  <si>
    <t>Taiwán</t>
  </si>
  <si>
    <t>楊 (Yang) 海博 (Haibo)</t>
  </si>
  <si>
    <t>Italia</t>
  </si>
  <si>
    <t>Eligio Giorgetta</t>
  </si>
  <si>
    <t>EI</t>
  </si>
  <si>
    <t>Portugal</t>
  </si>
  <si>
    <t>Alexandrino Sola de Sá Pato</t>
  </si>
  <si>
    <t>Grecia</t>
  </si>
  <si>
    <t>Lakis Meletiou</t>
  </si>
  <si>
    <t>Mário Dionísio Mega</t>
  </si>
  <si>
    <t>LD</t>
  </si>
  <si>
    <t>Israel</t>
  </si>
  <si>
    <t>Nehorai Dollberg</t>
  </si>
  <si>
    <t>Francia</t>
  </si>
  <si>
    <t>Guillaume Mondésir</t>
  </si>
  <si>
    <t>Panamá</t>
  </si>
  <si>
    <t>Samuel Mendoza</t>
  </si>
  <si>
    <t>Félix Idígoras</t>
  </si>
  <si>
    <t>Rafael Hinojosa</t>
  </si>
  <si>
    <t>Alberto Ciaurriz</t>
  </si>
  <si>
    <t>Jug IMP</t>
  </si>
  <si>
    <t>TSIi</t>
  </si>
  <si>
    <t>Sueldoi</t>
  </si>
  <si>
    <t>Formai</t>
  </si>
  <si>
    <t>Resi</t>
  </si>
  <si>
    <t>Xpi</t>
  </si>
  <si>
    <t>Edadi</t>
  </si>
  <si>
    <t>Importante</t>
  </si>
  <si>
    <t>Semana</t>
  </si>
  <si>
    <t>Suma de TSI</t>
  </si>
  <si>
    <t>Suma de Salario</t>
  </si>
  <si>
    <t>Etiquetas de fila</t>
  </si>
  <si>
    <t>Total general</t>
  </si>
  <si>
    <t>Promedio de Forma</t>
  </si>
  <si>
    <t>Promedio de Experiencia</t>
  </si>
  <si>
    <t>Promedio de Resistencia</t>
  </si>
  <si>
    <t>Cuenta de Nombre</t>
  </si>
  <si>
    <t>Promedio de Edad</t>
  </si>
  <si>
    <t>Promedio de Días</t>
  </si>
  <si>
    <t>30(47)</t>
  </si>
  <si>
    <t>Potencial</t>
  </si>
  <si>
    <t>352 (451-253)</t>
  </si>
  <si>
    <t>Etiquetas de columna</t>
  </si>
  <si>
    <t>POS</t>
  </si>
  <si>
    <t>EXT</t>
  </si>
  <si>
    <t>INN</t>
  </si>
  <si>
    <t>DEF</t>
  </si>
  <si>
    <t>LAT</t>
  </si>
  <si>
    <t>VADER</t>
  </si>
  <si>
    <t>CA</t>
  </si>
  <si>
    <t>352 Medio</t>
  </si>
  <si>
    <t>III (8)</t>
  </si>
  <si>
    <t>32(81)</t>
  </si>
  <si>
    <t>Excelent - Neutro - Acep</t>
  </si>
  <si>
    <t>532/352</t>
  </si>
  <si>
    <t>Serbia</t>
  </si>
  <si>
    <t>Nemanja Vidaković</t>
  </si>
  <si>
    <t>Caetano Ousa</t>
  </si>
  <si>
    <t>Felipe García</t>
  </si>
  <si>
    <t>Volodymyr Reznichenko</t>
  </si>
  <si>
    <t>Nihat Paksu</t>
  </si>
  <si>
    <t>Bosnia y Herzegovina</t>
  </si>
  <si>
    <t>Relja Bogunović</t>
  </si>
  <si>
    <t>Iskander Baris</t>
  </si>
  <si>
    <t>Eslovenia</t>
  </si>
  <si>
    <t>Oto Rejc</t>
  </si>
  <si>
    <t>Brasil</t>
  </si>
  <si>
    <t>Jeanzinho Pequeno</t>
  </si>
  <si>
    <t>Azerbaiyán</t>
  </si>
  <si>
    <t>Fuad Acalov</t>
  </si>
  <si>
    <t>Paulo Achinger</t>
  </si>
  <si>
    <t>Suiza</t>
  </si>
  <si>
    <t>Ludger Vonach</t>
  </si>
  <si>
    <t>Irán</t>
  </si>
  <si>
    <t>Gnel Saginyan</t>
  </si>
  <si>
    <t>Paskoal Oñaberri</t>
  </si>
  <si>
    <t>Crispin Deans</t>
  </si>
  <si>
    <t>Alexander Dzhurov</t>
  </si>
  <si>
    <t>Honduras</t>
  </si>
  <si>
    <t>Francisco Miguel Andrea</t>
  </si>
  <si>
    <t>Josep Maria Altarriba</t>
  </si>
  <si>
    <t>Marcus Oldershausen</t>
  </si>
  <si>
    <t>Xavi Artiga</t>
  </si>
  <si>
    <t>Žan Luka Škrbina</t>
  </si>
  <si>
    <t>31(66)</t>
  </si>
  <si>
    <t>Bueno - Neu - Acep</t>
  </si>
  <si>
    <t>Bueno - Def - Bueno</t>
  </si>
  <si>
    <t>Habasit</t>
  </si>
  <si>
    <t>III (1)</t>
  </si>
  <si>
    <t>Rupert Penke</t>
  </si>
  <si>
    <t>Rumanía</t>
  </si>
  <si>
    <t>Cătălin Şandor</t>
  </si>
  <si>
    <t>Juan Pablo Pan Álvarez</t>
  </si>
  <si>
    <t>Antonio Llorente</t>
  </si>
  <si>
    <t>Rövşən Mehdiyev</t>
  </si>
  <si>
    <t>Argentina</t>
  </si>
  <si>
    <t>Federico Abitante</t>
  </si>
  <si>
    <t>Alessio Mastantuoni</t>
  </si>
  <si>
    <t>David Venet</t>
  </si>
  <si>
    <t>Dominik Pigulski</t>
  </si>
  <si>
    <t>Franciszek Gaweł</t>
  </si>
  <si>
    <t>Gregor Meissner</t>
  </si>
  <si>
    <t>Letonia</t>
  </si>
  <si>
    <t>Gudmunds Romanovskis</t>
  </si>
  <si>
    <t>Arabia Saudí</t>
  </si>
  <si>
    <t>Hamdi Hamed Al-Samy</t>
  </si>
  <si>
    <t>Henryk Osipowicz</t>
  </si>
  <si>
    <t>Holanda</t>
  </si>
  <si>
    <t>Mart Gerdez</t>
  </si>
  <si>
    <t>República Checa</t>
  </si>
  <si>
    <t>Pavel Ministr</t>
  </si>
  <si>
    <t>Rafael Molleja</t>
  </si>
  <si>
    <t>Islandia</t>
  </si>
  <si>
    <t>Valdimar Egilsson</t>
  </si>
  <si>
    <t>Vicente del Jarama</t>
  </si>
  <si>
    <t>29(43)</t>
  </si>
  <si>
    <t>Bueno - Def - Insuf</t>
  </si>
  <si>
    <t>Las Ánimas</t>
  </si>
  <si>
    <t>Valencia</t>
  </si>
  <si>
    <t>Javier Manuel Vázquez</t>
  </si>
  <si>
    <t>Pablo Berástegui</t>
  </si>
  <si>
    <t>Juan Raúl González Bárcena</t>
  </si>
  <si>
    <t>Lauro Barandela</t>
  </si>
  <si>
    <t>Jorge Durandio</t>
  </si>
  <si>
    <t>Alejandro del Pino García</t>
  </si>
  <si>
    <t>Andrea Mazziotta</t>
  </si>
  <si>
    <t>Daniel Labayen Aranzabe</t>
  </si>
  <si>
    <t>Eilo Enderika</t>
  </si>
  <si>
    <t>Fortunat Kauth</t>
  </si>
  <si>
    <t>Gonzalo Porcuna</t>
  </si>
  <si>
    <t>Gonzalo Vázquez</t>
  </si>
  <si>
    <t>Hugo Figueras</t>
  </si>
  <si>
    <t>James Ancelot</t>
  </si>
  <si>
    <t>Joaquín Olazábal Solís</t>
  </si>
  <si>
    <t>José Porcel</t>
  </si>
  <si>
    <t>Juan Jesús de Oro</t>
  </si>
  <si>
    <t>Liviu Bran</t>
  </si>
  <si>
    <t>Marcial Briz</t>
  </si>
  <si>
    <t>Maximiliano Veber</t>
  </si>
  <si>
    <t>Raúl Galquio</t>
  </si>
  <si>
    <t>Salvador Monllau</t>
  </si>
  <si>
    <t>Tomás Triana</t>
  </si>
  <si>
    <t>Víctor Vasa</t>
  </si>
  <si>
    <t>Xesc Ferriols</t>
  </si>
  <si>
    <t>31(47)</t>
  </si>
  <si>
    <t>Excelente - Neu - Insuf</t>
  </si>
  <si>
    <t>253/352</t>
  </si>
  <si>
    <t>La Barrilla</t>
  </si>
  <si>
    <t>Ariel Szramkowski</t>
  </si>
  <si>
    <t>Aurelio Bochini</t>
  </si>
  <si>
    <t>Técnico</t>
  </si>
  <si>
    <t>Bélgica</t>
  </si>
  <si>
    <t>Cecil Debackere</t>
  </si>
  <si>
    <t>Cristi Răducă</t>
  </si>
  <si>
    <t>Gerard Xiol</t>
  </si>
  <si>
    <t>Grégory Sénéchal</t>
  </si>
  <si>
    <t>Jaume Vilatobà</t>
  </si>
  <si>
    <t>Joaquín Vuelta</t>
  </si>
  <si>
    <t>José Alaminos</t>
  </si>
  <si>
    <t>José Ramón Espés</t>
  </si>
  <si>
    <t>Juan Alarcón</t>
  </si>
  <si>
    <t>Juan Mayor</t>
  </si>
  <si>
    <t>Juan Ochotorena</t>
  </si>
  <si>
    <t>Jurrie Wezeman</t>
  </si>
  <si>
    <t>Kenneth Ooms</t>
  </si>
  <si>
    <t>Jamaica</t>
  </si>
  <si>
    <t>Leon Dowe</t>
  </si>
  <si>
    <t>Marc Santander</t>
  </si>
  <si>
    <t>Marcos Serbia</t>
  </si>
  <si>
    <t>Piotr Stawirej</t>
  </si>
  <si>
    <t>Pol Jover</t>
  </si>
  <si>
    <t>Raúl Eduardo Sisalli</t>
  </si>
  <si>
    <t>Robin Jupa</t>
  </si>
  <si>
    <t>Ulf Kelberger</t>
  </si>
  <si>
    <t>Valentín Vuelta</t>
  </si>
  <si>
    <t>Japón</t>
  </si>
  <si>
    <t>賢士 (Kenji) 岩崎 (Iwasaki)</t>
  </si>
  <si>
    <t>31(55)</t>
  </si>
  <si>
    <t>Excelente - Neu - Debil</t>
  </si>
  <si>
    <t>Galicia</t>
  </si>
  <si>
    <t>III (9)</t>
  </si>
  <si>
    <t>Stefano Blotto</t>
  </si>
  <si>
    <t>Angola</t>
  </si>
  <si>
    <t>Fernando Nogueira</t>
  </si>
  <si>
    <t>El Salvador</t>
  </si>
  <si>
    <t>Filiberto Poleo</t>
  </si>
  <si>
    <t>Ucrania</t>
  </si>
  <si>
    <t>Mstyslav Mikhailenko</t>
  </si>
  <si>
    <t>Palestina</t>
  </si>
  <si>
    <t>Saad Kawood</t>
  </si>
  <si>
    <t>Costa de Marfil</t>
  </si>
  <si>
    <t>Gaoussou Gali</t>
  </si>
  <si>
    <t>Perú</t>
  </si>
  <si>
    <t>Fabián Olveira</t>
  </si>
  <si>
    <t>Uzbekistán</t>
  </si>
  <si>
    <t>Abduqahor Dadajonov</t>
  </si>
  <si>
    <t>Dinamarca</t>
  </si>
  <si>
    <t>Walther Kaae</t>
  </si>
  <si>
    <t>Narciso Matos</t>
  </si>
  <si>
    <t>Artemio Seccarecci</t>
  </si>
  <si>
    <t>Dariusz Druszcz</t>
  </si>
  <si>
    <t>Alberto Macedo</t>
  </si>
  <si>
    <t>Suecia</t>
  </si>
  <si>
    <t>Stig Alexandersson</t>
  </si>
  <si>
    <t>Edwin Roche</t>
  </si>
  <si>
    <t>Rafał Wolter</t>
  </si>
  <si>
    <t>Naeim Ansarifard</t>
  </si>
  <si>
    <t>Niels Schwimmbeck</t>
  </si>
  <si>
    <t>Pedro Ruiz de Viana</t>
  </si>
  <si>
    <t>David Alberti</t>
  </si>
  <si>
    <t>Diego Camasobras</t>
  </si>
  <si>
    <t>Dragoş Căprescu</t>
  </si>
  <si>
    <t>Abdeladle Quernin</t>
  </si>
  <si>
    <t>Mundial Rodríguez</t>
  </si>
  <si>
    <t>Àlex Font</t>
  </si>
  <si>
    <t>Bernat Novich</t>
  </si>
  <si>
    <t>Carlos Abenoza</t>
  </si>
  <si>
    <t>Chahid Fryadi</t>
  </si>
  <si>
    <t>Cibrán do Cubo</t>
  </si>
  <si>
    <t>Daniel Osorio</t>
  </si>
  <si>
    <t>Emiliano Molina Blanco</t>
  </si>
  <si>
    <t>José Horachita</t>
  </si>
  <si>
    <t>Luis Vicente Fernández</t>
  </si>
  <si>
    <t>Marcos Galleguillos</t>
  </si>
  <si>
    <t>Mauricio Calasanz</t>
  </si>
  <si>
    <t>Mauro Fuenlabrada</t>
  </si>
  <si>
    <t>Samuel Arias</t>
  </si>
  <si>
    <t>Paso que arraso</t>
  </si>
  <si>
    <t>Madrid</t>
  </si>
  <si>
    <t>Mariano Maldonado Chacón</t>
  </si>
  <si>
    <t>Federico Bada</t>
  </si>
  <si>
    <t>Jochen Brinker</t>
  </si>
  <si>
    <t>José Enrique Agud</t>
  </si>
  <si>
    <t>Ignacio Botos</t>
  </si>
  <si>
    <t>Xinés Ousinde</t>
  </si>
  <si>
    <t>Jorge Miguel Silanes</t>
  </si>
  <si>
    <t>Lucio Abbruscato</t>
  </si>
  <si>
    <t>Rolando Quintero</t>
  </si>
  <si>
    <t>Antonio 'La bala' Folgado</t>
  </si>
  <si>
    <t>Gianluca Linzalone</t>
  </si>
  <si>
    <t>Licínio Melo Correia</t>
  </si>
  <si>
    <t>Gonzalo Maestre Zapata</t>
  </si>
  <si>
    <t>Josep Vicenç Masamunt</t>
  </si>
  <si>
    <t>Maciej Lejk</t>
  </si>
  <si>
    <t>Natalio Urcola</t>
  </si>
  <si>
    <t>Àngel Pol</t>
  </si>
  <si>
    <t>Finlandia</t>
  </si>
  <si>
    <t>Otto Turula</t>
  </si>
  <si>
    <t>Pascal Heberlein</t>
  </si>
  <si>
    <t>30(48)</t>
  </si>
  <si>
    <t>Spartak de Santiago</t>
  </si>
  <si>
    <t>13 JUG/PAS/ANO</t>
  </si>
  <si>
    <t>Comentario</t>
  </si>
  <si>
    <t>Jornada</t>
  </si>
  <si>
    <t>Partido</t>
  </si>
  <si>
    <t>Tactica Local</t>
  </si>
  <si>
    <t>Tactica Visitante</t>
  </si>
  <si>
    <t xml:space="preserve">Lo que espero </t>
  </si>
  <si>
    <t>Lo que paso</t>
  </si>
  <si>
    <t>Resultado</t>
  </si>
  <si>
    <t>3-1</t>
  </si>
  <si>
    <t>343 Normal</t>
  </si>
  <si>
    <t>Fuertes At/Def Laterales con medio entre Brillante y Magnifico. Con Brillante se podia jugar 352 con opciones igualadas. Con Magnifico mejor CA pero siempre a 50/50. Salgo CA por si acaso</t>
  </si>
  <si>
    <t>Sale 343 en lugar de 352. Y medio Brillante alto. Justo limite CA/352. El evento cae de su lado y algo de mala suerte en las conversiones. Partido para empate que pierdo</t>
  </si>
  <si>
    <t>532 CA</t>
  </si>
  <si>
    <t>EXT/INN</t>
  </si>
  <si>
    <t xml:space="preserve">EXT </t>
  </si>
  <si>
    <t>INN(CEN)</t>
  </si>
  <si>
    <t>EXT/LAT</t>
  </si>
  <si>
    <t>DEL/INN</t>
  </si>
  <si>
    <t xml:space="preserve">DEL </t>
  </si>
  <si>
    <t>Suma de Forma</t>
  </si>
  <si>
    <t>Spartak</t>
  </si>
  <si>
    <t>Racing Zaragozano</t>
  </si>
  <si>
    <t>550 TL</t>
  </si>
  <si>
    <t>(+1,25)</t>
  </si>
  <si>
    <t>Vs previsto</t>
  </si>
  <si>
    <t>ok</t>
  </si>
  <si>
    <t>(+3,5)</t>
  </si>
  <si>
    <t>VADER - Spartak de Santiago</t>
  </si>
  <si>
    <t>Pamboli - VADER</t>
  </si>
  <si>
    <t>2-0</t>
  </si>
  <si>
    <t>352 Normal</t>
  </si>
  <si>
    <t>Equipo Compenado con Magnifico pelado mediocampo. En casa salir 352 sale bastante mejor que a la CA. 65/35 para mi</t>
  </si>
  <si>
    <t xml:space="preserve">MedioCampo como esperado. Saca un banda mucho mas fuerte de lo esperado pero las opciones no cambian mucho. </t>
  </si>
  <si>
    <t>DEF/INN</t>
  </si>
  <si>
    <t>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</si>
</sst>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.00\ _€_-;\-* #,##0.00\ _€_-;_-* &quot;-&quot;??\ _€_-;_-@_-"/>
    <numFmt numFmtId="166" formatCode="_-* #,##0.000\ _€_-;\-* #,##0.000\ _€_-;_-* &quot;-&quot;??\ _€_-;_-@_-"/>
    <numFmt numFmtId="167" formatCode="0.000"/>
    <numFmt numFmtId="168" formatCode="0.0000"/>
    <numFmt numFmtId="169" formatCode="m/d/yyyy"/>
    <numFmt numFmtId="170" formatCode="_-* #,##0\ &quot;€&quot;_-;\-* #,##0\ &quot;€&quot;_-;_-* &quot;-&quot;??\ &quot;€&quot;_-;_-@_-"/>
    <numFmt numFmtId="171" formatCode="_-* #,##0_-;\-* #,##0_-;_-* &quot;-&quot;??_-;_-@_-"/>
    <numFmt numFmtId="172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4BD9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3"/>
    <xf numFmtId="164" fontId="3" fillId="0" borderId="0" xfId="3" applyNumberFormat="1"/>
    <xf numFmtId="0" fontId="4" fillId="2" borderId="1" xfId="3" applyFont="1" applyFill="1" applyBorder="1" applyAlignment="1">
      <alignment horizontal="left" vertical="top" wrapText="1"/>
    </xf>
    <xf numFmtId="0" fontId="3" fillId="0" borderId="0" xfId="3" applyAlignment="1">
      <alignment horizontal="center"/>
    </xf>
    <xf numFmtId="0" fontId="5" fillId="0" borderId="0" xfId="3" applyFont="1" applyAlignment="1">
      <alignment horizontal="center"/>
    </xf>
    <xf numFmtId="9" fontId="3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164" fontId="0" fillId="0" borderId="0" xfId="4" applyNumberFormat="1" applyFont="1"/>
    <xf numFmtId="165" fontId="0" fillId="0" borderId="2" xfId="5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164" fontId="0" fillId="0" borderId="2" xfId="4" applyNumberFormat="1" applyFont="1" applyBorder="1" applyAlignment="1">
      <alignment horizontal="center"/>
    </xf>
    <xf numFmtId="164" fontId="0" fillId="0" borderId="3" xfId="4" applyNumberFormat="1" applyFont="1" applyBorder="1" applyAlignment="1">
      <alignment horizontal="center"/>
    </xf>
    <xf numFmtId="164" fontId="5" fillId="0" borderId="4" xfId="4" applyNumberFormat="1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166" fontId="0" fillId="0" borderId="6" xfId="5" applyNumberFormat="1" applyFont="1" applyBorder="1" applyAlignment="1">
      <alignment horizontal="center"/>
    </xf>
    <xf numFmtId="0" fontId="3" fillId="0" borderId="2" xfId="3" applyBorder="1" applyAlignment="1">
      <alignment horizontal="center"/>
    </xf>
    <xf numFmtId="0" fontId="3" fillId="0" borderId="3" xfId="3" applyBorder="1" applyAlignment="1">
      <alignment horizontal="center"/>
    </xf>
    <xf numFmtId="0" fontId="5" fillId="0" borderId="7" xfId="3" applyFont="1" applyBorder="1" applyAlignment="1">
      <alignment horizontal="center"/>
    </xf>
    <xf numFmtId="164" fontId="6" fillId="0" borderId="4" xfId="4" applyNumberFormat="1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4" fillId="3" borderId="1" xfId="3" applyFont="1" applyFill="1" applyBorder="1" applyAlignment="1">
      <alignment horizontal="left" vertical="top" wrapText="1"/>
    </xf>
    <xf numFmtId="0" fontId="5" fillId="0" borderId="0" xfId="3" applyFont="1"/>
    <xf numFmtId="164" fontId="5" fillId="0" borderId="8" xfId="4" applyNumberFormat="1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164" fontId="6" fillId="0" borderId="8" xfId="4" applyNumberFormat="1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49" fontId="4" fillId="3" borderId="1" xfId="3" applyNumberFormat="1" applyFont="1" applyFill="1" applyBorder="1" applyAlignment="1">
      <alignment horizontal="left" vertical="top" wrapText="1"/>
    </xf>
    <xf numFmtId="1" fontId="5" fillId="0" borderId="0" xfId="3" applyNumberFormat="1" applyFont="1"/>
    <xf numFmtId="0" fontId="4" fillId="4" borderId="1" xfId="3" applyFont="1" applyFill="1" applyBorder="1" applyAlignment="1">
      <alignment horizontal="left" vertical="top" wrapText="1"/>
    </xf>
    <xf numFmtId="0" fontId="4" fillId="5" borderId="1" xfId="3" applyFont="1" applyFill="1" applyBorder="1" applyAlignment="1">
      <alignment horizontal="left" vertical="top" wrapText="1"/>
    </xf>
    <xf numFmtId="166" fontId="0" fillId="0" borderId="2" xfId="5" applyNumberFormat="1" applyFont="1" applyBorder="1" applyAlignment="1">
      <alignment horizontal="center"/>
    </xf>
    <xf numFmtId="164" fontId="5" fillId="6" borderId="3" xfId="4" applyNumberFormat="1" applyFont="1" applyFill="1" applyBorder="1" applyAlignment="1">
      <alignment horizontal="center"/>
    </xf>
    <xf numFmtId="164" fontId="5" fillId="0" borderId="10" xfId="4" applyNumberFormat="1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164" fontId="6" fillId="0" borderId="13" xfId="4" applyNumberFormat="1" applyFont="1" applyBorder="1" applyAlignment="1">
      <alignment horizontal="center"/>
    </xf>
    <xf numFmtId="0" fontId="6" fillId="0" borderId="14" xfId="3" applyFont="1" applyBorder="1" applyAlignment="1">
      <alignment horizontal="center"/>
    </xf>
    <xf numFmtId="0" fontId="5" fillId="7" borderId="2" xfId="3" applyFont="1" applyFill="1" applyBorder="1" applyAlignment="1">
      <alignment horizontal="center"/>
    </xf>
    <xf numFmtId="0" fontId="5" fillId="7" borderId="3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  <xf numFmtId="0" fontId="5" fillId="7" borderId="14" xfId="3" applyFont="1" applyFill="1" applyBorder="1" applyAlignment="1">
      <alignment horizontal="center"/>
    </xf>
    <xf numFmtId="0" fontId="5" fillId="7" borderId="6" xfId="3" applyFont="1" applyFill="1" applyBorder="1" applyAlignment="1">
      <alignment horizontal="center"/>
    </xf>
    <xf numFmtId="0" fontId="5" fillId="7" borderId="15" xfId="3" applyFont="1" applyFill="1" applyBorder="1" applyAlignment="1">
      <alignment horizontal="center"/>
    </xf>
    <xf numFmtId="0" fontId="5" fillId="7" borderId="16" xfId="3" applyFont="1" applyFill="1" applyBorder="1" applyAlignment="1">
      <alignment horizontal="center"/>
    </xf>
    <xf numFmtId="0" fontId="5" fillId="7" borderId="17" xfId="3" applyFont="1" applyFill="1" applyBorder="1" applyAlignment="1">
      <alignment horizontal="center"/>
    </xf>
    <xf numFmtId="0" fontId="5" fillId="7" borderId="18" xfId="3" applyFont="1" applyFill="1" applyBorder="1" applyAlignment="1">
      <alignment horizontal="center"/>
    </xf>
    <xf numFmtId="164" fontId="7" fillId="0" borderId="0" xfId="3" applyNumberFormat="1" applyFont="1"/>
    <xf numFmtId="0" fontId="3" fillId="8" borderId="0" xfId="3" applyFill="1" applyAlignment="1">
      <alignment horizontal="right"/>
    </xf>
    <xf numFmtId="165" fontId="0" fillId="0" borderId="0" xfId="5" applyFont="1"/>
    <xf numFmtId="165" fontId="3" fillId="0" borderId="0" xfId="3" applyNumberFormat="1"/>
    <xf numFmtId="166" fontId="0" fillId="0" borderId="0" xfId="5" applyNumberFormat="1" applyFont="1"/>
    <xf numFmtId="165" fontId="3" fillId="0" borderId="0" xfId="3" applyNumberFormat="1" applyAlignment="1">
      <alignment horizontal="center"/>
    </xf>
    <xf numFmtId="165" fontId="0" fillId="0" borderId="0" xfId="5" applyFont="1" applyAlignment="1">
      <alignment horizontal="center"/>
    </xf>
    <xf numFmtId="0" fontId="3" fillId="9" borderId="0" xfId="3" applyFill="1" applyAlignment="1">
      <alignment horizontal="right"/>
    </xf>
    <xf numFmtId="166" fontId="3" fillId="0" borderId="0" xfId="3" applyNumberFormat="1"/>
    <xf numFmtId="0" fontId="3" fillId="0" borderId="0" xfId="3" applyAlignment="1">
      <alignment horizontal="right"/>
    </xf>
    <xf numFmtId="0" fontId="3" fillId="10" borderId="0" xfId="3" applyFill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164" fontId="8" fillId="0" borderId="8" xfId="4" applyNumberFormat="1" applyFont="1" applyBorder="1" applyAlignment="1">
      <alignment horizontal="center"/>
    </xf>
    <xf numFmtId="0" fontId="8" fillId="0" borderId="9" xfId="3" applyFont="1" applyBorder="1" applyAlignment="1">
      <alignment horizontal="center"/>
    </xf>
    <xf numFmtId="167" fontId="5" fillId="9" borderId="2" xfId="3" applyNumberFormat="1" applyFont="1" applyFill="1" applyBorder="1"/>
    <xf numFmtId="167" fontId="5" fillId="8" borderId="2" xfId="3" applyNumberFormat="1" applyFont="1" applyFill="1" applyBorder="1"/>
    <xf numFmtId="0" fontId="5" fillId="0" borderId="2" xfId="3" applyFont="1" applyBorder="1" applyAlignment="1">
      <alignment horizontal="right"/>
    </xf>
    <xf numFmtId="166" fontId="0" fillId="6" borderId="2" xfId="5" applyNumberFormat="1" applyFont="1" applyFill="1" applyBorder="1"/>
    <xf numFmtId="0" fontId="5" fillId="0" borderId="2" xfId="3" applyFont="1" applyBorder="1" applyAlignment="1">
      <alignment horizontal="right" wrapText="1"/>
    </xf>
    <xf numFmtId="164" fontId="5" fillId="9" borderId="2" xfId="4" applyNumberFormat="1" applyFont="1" applyFill="1" applyBorder="1"/>
    <xf numFmtId="164" fontId="5" fillId="8" borderId="2" xfId="4" applyNumberFormat="1" applyFont="1" applyFill="1" applyBorder="1"/>
    <xf numFmtId="0" fontId="5" fillId="11" borderId="2" xfId="3" applyFont="1" applyFill="1" applyBorder="1" applyAlignment="1">
      <alignment horizontal="right" wrapText="1"/>
    </xf>
    <xf numFmtId="9" fontId="6" fillId="6" borderId="2" xfId="4" applyFont="1" applyFill="1" applyBorder="1"/>
    <xf numFmtId="9" fontId="8" fillId="6" borderId="2" xfId="4" applyFont="1" applyFill="1" applyBorder="1"/>
    <xf numFmtId="9" fontId="0" fillId="9" borderId="2" xfId="4" applyFont="1" applyFill="1" applyBorder="1"/>
    <xf numFmtId="9" fontId="0" fillId="8" borderId="2" xfId="4" applyFont="1" applyFill="1" applyBorder="1"/>
    <xf numFmtId="164" fontId="8" fillId="0" borderId="13" xfId="4" applyNumberFormat="1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9" fontId="0" fillId="8" borderId="19" xfId="4" applyFont="1" applyFill="1" applyBorder="1"/>
    <xf numFmtId="0" fontId="5" fillId="8" borderId="2" xfId="3" applyFont="1" applyFill="1" applyBorder="1" applyAlignment="1">
      <alignment horizontal="center"/>
    </xf>
    <xf numFmtId="0" fontId="5" fillId="8" borderId="3" xfId="3" applyFont="1" applyFill="1" applyBorder="1" applyAlignment="1">
      <alignment horizontal="center"/>
    </xf>
    <xf numFmtId="0" fontId="5" fillId="8" borderId="13" xfId="3" applyFont="1" applyFill="1" applyBorder="1" applyAlignment="1">
      <alignment horizontal="center"/>
    </xf>
    <xf numFmtId="0" fontId="5" fillId="8" borderId="14" xfId="3" applyFont="1" applyFill="1" applyBorder="1" applyAlignment="1">
      <alignment horizontal="center"/>
    </xf>
    <xf numFmtId="0" fontId="5" fillId="8" borderId="6" xfId="3" applyFont="1" applyFill="1" applyBorder="1" applyAlignment="1">
      <alignment horizontal="center"/>
    </xf>
    <xf numFmtId="0" fontId="5" fillId="8" borderId="15" xfId="3" applyFont="1" applyFill="1" applyBorder="1" applyAlignment="1">
      <alignment horizontal="center"/>
    </xf>
    <xf numFmtId="0" fontId="5" fillId="8" borderId="17" xfId="3" applyFont="1" applyFill="1" applyBorder="1" applyAlignment="1">
      <alignment horizontal="center"/>
    </xf>
    <xf numFmtId="0" fontId="5" fillId="8" borderId="18" xfId="3" applyFont="1" applyFill="1" applyBorder="1" applyAlignment="1">
      <alignment horizontal="center"/>
    </xf>
    <xf numFmtId="9" fontId="5" fillId="9" borderId="19" xfId="4" applyFont="1" applyFill="1" applyBorder="1"/>
    <xf numFmtId="9" fontId="5" fillId="8" borderId="2" xfId="4" applyFont="1" applyFill="1" applyBorder="1"/>
    <xf numFmtId="166" fontId="3" fillId="0" borderId="0" xfId="3" applyNumberFormat="1" applyAlignment="1">
      <alignment horizontal="right"/>
    </xf>
    <xf numFmtId="49" fontId="3" fillId="0" borderId="0" xfId="3" applyNumberFormat="1"/>
    <xf numFmtId="2" fontId="3" fillId="0" borderId="0" xfId="3" applyNumberFormat="1"/>
    <xf numFmtId="0" fontId="3" fillId="11" borderId="19" xfId="3" applyFill="1" applyBorder="1" applyAlignment="1">
      <alignment horizontal="right"/>
    </xf>
    <xf numFmtId="0" fontId="5" fillId="11" borderId="19" xfId="3" applyFont="1" applyFill="1" applyBorder="1" applyAlignment="1">
      <alignment horizontal="right"/>
    </xf>
    <xf numFmtId="164" fontId="5" fillId="0" borderId="0" xfId="4" applyNumberFormat="1" applyFont="1" applyFill="1" applyBorder="1"/>
    <xf numFmtId="164" fontId="6" fillId="0" borderId="0" xfId="4" applyNumberFormat="1" applyFont="1" applyFill="1" applyBorder="1"/>
    <xf numFmtId="164" fontId="8" fillId="0" borderId="0" xfId="4" applyNumberFormat="1" applyFont="1" applyFill="1" applyBorder="1"/>
    <xf numFmtId="167" fontId="3" fillId="0" borderId="0" xfId="3" applyNumberFormat="1"/>
    <xf numFmtId="168" fontId="3" fillId="0" borderId="0" xfId="3" applyNumberFormat="1" applyAlignment="1">
      <alignment horizontal="center"/>
    </xf>
    <xf numFmtId="167" fontId="3" fillId="0" borderId="0" xfId="3" applyNumberFormat="1" applyAlignment="1">
      <alignment horizontal="center"/>
    </xf>
    <xf numFmtId="167" fontId="5" fillId="0" borderId="0" xfId="3" applyNumberFormat="1" applyFont="1" applyAlignment="1">
      <alignment horizontal="center"/>
    </xf>
    <xf numFmtId="168" fontId="3" fillId="0" borderId="0" xfId="3" applyNumberFormat="1"/>
    <xf numFmtId="164" fontId="0" fillId="0" borderId="0" xfId="4" applyNumberFormat="1" applyFont="1" applyFill="1" applyBorder="1" applyAlignment="1">
      <alignment horizontal="center"/>
    </xf>
    <xf numFmtId="167" fontId="6" fillId="0" borderId="0" xfId="3" applyNumberFormat="1" applyFont="1" applyAlignment="1">
      <alignment horizontal="center"/>
    </xf>
    <xf numFmtId="49" fontId="3" fillId="0" borderId="0" xfId="3" applyNumberFormat="1" applyAlignment="1">
      <alignment horizontal="center"/>
    </xf>
    <xf numFmtId="168" fontId="8" fillId="0" borderId="0" xfId="3" applyNumberFormat="1" applyFont="1" applyAlignment="1">
      <alignment horizontal="center"/>
    </xf>
    <xf numFmtId="167" fontId="8" fillId="0" borderId="0" xfId="5" applyNumberFormat="1" applyFont="1" applyFill="1" applyBorder="1" applyAlignment="1">
      <alignment horizontal="center"/>
    </xf>
    <xf numFmtId="167" fontId="8" fillId="0" borderId="0" xfId="3" applyNumberFormat="1" applyFont="1" applyAlignment="1">
      <alignment horizontal="center"/>
    </xf>
    <xf numFmtId="164" fontId="5" fillId="0" borderId="2" xfId="4" applyNumberFormat="1" applyFont="1" applyBorder="1"/>
    <xf numFmtId="164" fontId="6" fillId="0" borderId="2" xfId="4" applyNumberFormat="1" applyFont="1" applyBorder="1"/>
    <xf numFmtId="164" fontId="8" fillId="0" borderId="2" xfId="4" applyNumberFormat="1" applyFont="1" applyBorder="1"/>
    <xf numFmtId="164" fontId="0" fillId="0" borderId="0" xfId="4" applyNumberFormat="1" applyFont="1" applyBorder="1" applyAlignment="1">
      <alignment horizontal="center" vertical="center" wrapText="1"/>
    </xf>
    <xf numFmtId="0" fontId="3" fillId="0" borderId="0" xfId="3" applyAlignment="1">
      <alignment horizontal="center" vertical="center" wrapText="1"/>
    </xf>
    <xf numFmtId="2" fontId="9" fillId="12" borderId="0" xfId="3" applyNumberFormat="1" applyFont="1" applyFill="1" applyAlignment="1">
      <alignment horizontal="center"/>
    </xf>
    <xf numFmtId="2" fontId="10" fillId="12" borderId="0" xfId="3" applyNumberFormat="1" applyFont="1" applyFill="1" applyAlignment="1">
      <alignment horizontal="center"/>
    </xf>
    <xf numFmtId="0" fontId="9" fillId="6" borderId="2" xfId="3" applyFont="1" applyFill="1" applyBorder="1" applyAlignment="1">
      <alignment horizontal="right"/>
    </xf>
    <xf numFmtId="0" fontId="10" fillId="6" borderId="2" xfId="3" applyFont="1" applyFill="1" applyBorder="1" applyAlignment="1">
      <alignment horizontal="right"/>
    </xf>
    <xf numFmtId="0" fontId="5" fillId="11" borderId="2" xfId="3" applyFont="1" applyFill="1" applyBorder="1" applyAlignment="1">
      <alignment horizontal="right"/>
    </xf>
    <xf numFmtId="2" fontId="9" fillId="0" borderId="0" xfId="3" applyNumberFormat="1" applyFont="1" applyAlignment="1">
      <alignment horizontal="center"/>
    </xf>
    <xf numFmtId="164" fontId="9" fillId="0" borderId="0" xfId="4" applyNumberFormat="1" applyFont="1" applyFill="1" applyBorder="1" applyAlignment="1">
      <alignment horizontal="center"/>
    </xf>
    <xf numFmtId="2" fontId="10" fillId="0" borderId="0" xfId="3" applyNumberFormat="1" applyFont="1"/>
    <xf numFmtId="164" fontId="10" fillId="0" borderId="0" xfId="4" applyNumberFormat="1" applyFont="1" applyFill="1" applyBorder="1" applyAlignment="1">
      <alignment horizontal="center"/>
    </xf>
    <xf numFmtId="164" fontId="11" fillId="0" borderId="0" xfId="4" applyNumberFormat="1" applyFont="1" applyBorder="1" applyAlignment="1">
      <alignment horizontal="center"/>
    </xf>
    <xf numFmtId="164" fontId="12" fillId="0" borderId="0" xfId="4" applyNumberFormat="1" applyFont="1" applyBorder="1" applyAlignment="1">
      <alignment horizontal="center"/>
    </xf>
    <xf numFmtId="2" fontId="10" fillId="0" borderId="0" xfId="3" applyNumberFormat="1" applyFont="1" applyAlignment="1">
      <alignment horizontal="center"/>
    </xf>
    <xf numFmtId="164" fontId="9" fillId="0" borderId="0" xfId="4" applyNumberFormat="1" applyFont="1" applyBorder="1" applyAlignment="1">
      <alignment horizontal="center"/>
    </xf>
    <xf numFmtId="164" fontId="10" fillId="0" borderId="0" xfId="4" applyNumberFormat="1" applyFont="1" applyBorder="1" applyAlignment="1">
      <alignment horizontal="center"/>
    </xf>
    <xf numFmtId="0" fontId="9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167" fontId="3" fillId="0" borderId="0" xfId="3" applyNumberFormat="1" applyAlignment="1">
      <alignment horizontal="center" vertical="center" wrapText="1"/>
    </xf>
    <xf numFmtId="2" fontId="6" fillId="0" borderId="2" xfId="3" applyNumberFormat="1" applyFont="1" applyBorder="1" applyAlignment="1">
      <alignment wrapText="1"/>
    </xf>
    <xf numFmtId="2" fontId="8" fillId="0" borderId="2" xfId="3" applyNumberFormat="1" applyFont="1" applyBorder="1" applyAlignment="1">
      <alignment wrapText="1"/>
    </xf>
    <xf numFmtId="2" fontId="6" fillId="6" borderId="2" xfId="3" applyNumberFormat="1" applyFont="1" applyFill="1" applyBorder="1" applyAlignment="1">
      <alignment wrapText="1"/>
    </xf>
    <xf numFmtId="2" fontId="8" fillId="6" borderId="2" xfId="3" applyNumberFormat="1" applyFont="1" applyFill="1" applyBorder="1" applyAlignment="1">
      <alignment wrapText="1"/>
    </xf>
    <xf numFmtId="9" fontId="9" fillId="0" borderId="0" xfId="3" applyNumberFormat="1" applyFont="1" applyAlignment="1">
      <alignment horizontal="center"/>
    </xf>
    <xf numFmtId="2" fontId="6" fillId="6" borderId="2" xfId="3" applyNumberFormat="1" applyFont="1" applyFill="1" applyBorder="1"/>
    <xf numFmtId="2" fontId="8" fillId="6" borderId="2" xfId="3" applyNumberFormat="1" applyFont="1" applyFill="1" applyBorder="1"/>
    <xf numFmtId="0" fontId="13" fillId="8" borderId="2" xfId="3" applyFont="1" applyFill="1" applyBorder="1" applyAlignment="1">
      <alignment horizontal="right"/>
    </xf>
    <xf numFmtId="9" fontId="10" fillId="0" borderId="0" xfId="3" applyNumberFormat="1" applyFont="1" applyAlignment="1">
      <alignment horizontal="center"/>
    </xf>
    <xf numFmtId="0" fontId="13" fillId="7" borderId="2" xfId="3" applyFont="1" applyFill="1" applyBorder="1" applyAlignment="1">
      <alignment horizontal="right"/>
    </xf>
    <xf numFmtId="0" fontId="9" fillId="0" borderId="0" xfId="3" applyFont="1" applyAlignment="1">
      <alignment horizontal="center"/>
    </xf>
    <xf numFmtId="0" fontId="9" fillId="12" borderId="0" xfId="3" applyFont="1" applyFill="1" applyAlignment="1">
      <alignment horizontal="center"/>
    </xf>
    <xf numFmtId="0" fontId="13" fillId="4" borderId="2" xfId="3" applyFont="1" applyFill="1" applyBorder="1" applyAlignment="1">
      <alignment horizontal="right"/>
    </xf>
    <xf numFmtId="0" fontId="10" fillId="0" borderId="0" xfId="3" applyFont="1" applyAlignment="1">
      <alignment horizontal="center"/>
    </xf>
    <xf numFmtId="0" fontId="10" fillId="12" borderId="0" xfId="3" applyFont="1" applyFill="1" applyAlignment="1">
      <alignment horizontal="center"/>
    </xf>
    <xf numFmtId="0" fontId="13" fillId="13" borderId="2" xfId="3" applyFont="1" applyFill="1" applyBorder="1" applyAlignment="1">
      <alignment horizontal="right"/>
    </xf>
    <xf numFmtId="0" fontId="14" fillId="0" borderId="2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9" borderId="2" xfId="3" applyFont="1" applyFill="1" applyBorder="1" applyAlignment="1">
      <alignment horizontal="center"/>
    </xf>
    <xf numFmtId="0" fontId="8" fillId="8" borderId="2" xfId="3" applyFont="1" applyFill="1" applyBorder="1" applyAlignment="1">
      <alignment horizontal="center"/>
    </xf>
    <xf numFmtId="0" fontId="7" fillId="0" borderId="20" xfId="3" applyFont="1" applyBorder="1" applyAlignment="1">
      <alignment horizontal="right"/>
    </xf>
    <xf numFmtId="0" fontId="15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 wrapText="1"/>
    </xf>
    <xf numFmtId="0" fontId="18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5" fillId="0" borderId="0" xfId="3" applyFont="1" applyAlignment="1">
      <alignment horizontal="right"/>
    </xf>
    <xf numFmtId="0" fontId="8" fillId="0" borderId="0" xfId="3" applyFont="1" applyAlignment="1">
      <alignment horizontal="center"/>
    </xf>
    <xf numFmtId="165" fontId="11" fillId="0" borderId="0" xfId="5" applyFont="1" applyAlignment="1">
      <alignment horizontal="center"/>
    </xf>
    <xf numFmtId="165" fontId="12" fillId="0" borderId="0" xfId="5" applyFont="1" applyAlignment="1">
      <alignment horizontal="center"/>
    </xf>
    <xf numFmtId="2" fontId="3" fillId="0" borderId="0" xfId="3" applyNumberFormat="1" applyAlignment="1">
      <alignment horizontal="center"/>
    </xf>
    <xf numFmtId="164" fontId="0" fillId="0" borderId="0" xfId="4" applyNumberFormat="1" applyFont="1" applyFill="1" applyBorder="1"/>
    <xf numFmtId="0" fontId="19" fillId="0" borderId="0" xfId="3" applyFont="1" applyAlignment="1">
      <alignment horizontal="center"/>
    </xf>
    <xf numFmtId="0" fontId="5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171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9" fillId="16" borderId="0" xfId="3" applyFont="1" applyFill="1" applyAlignment="1">
      <alignment horizontal="center"/>
    </xf>
    <xf numFmtId="0" fontId="3" fillId="16" borderId="0" xfId="3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1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14" borderId="21" xfId="3" applyFill="1" applyBorder="1" applyAlignment="1">
      <alignment horizontal="center"/>
    </xf>
  </cellXfs>
  <cellStyles count="6">
    <cellStyle name="Millares" xfId="1" builtinId="3"/>
    <cellStyle name="Millares 2" xfId="5" xr:uid="{2F272434-ED96-4C39-B29D-3191258261EE}"/>
    <cellStyle name="Moneda" xfId="2" builtinId="4"/>
    <cellStyle name="Normal" xfId="0" builtinId="0"/>
    <cellStyle name="Normal 2" xfId="3" xr:uid="{B3B311AF-46BE-4236-8E27-408EB71AF0E7}"/>
    <cellStyle name="Porcentaje 2" xfId="4" xr:uid="{39536680-3720-4FBD-B10D-A5463E1D1C5C}"/>
  </cellStyles>
  <dxfs count="12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numFmt numFmtId="172" formatCode="0.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0.0"/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0.15032339872587089</c:v>
                </c:pt>
                <c:pt idx="1">
                  <c:v>0.30470345278520006</c:v>
                </c:pt>
                <c:pt idx="2">
                  <c:v>0.2842702538671803</c:v>
                </c:pt>
                <c:pt idx="3">
                  <c:v>0.1649114003492643</c:v>
                </c:pt>
                <c:pt idx="4">
                  <c:v>6.7890949516746527E-2</c:v>
                </c:pt>
                <c:pt idx="5">
                  <c:v>2.1349701356867933E-2</c:v>
                </c:pt>
                <c:pt idx="6">
                  <c:v>5.3149843528814394E-3</c:v>
                </c:pt>
                <c:pt idx="7">
                  <c:v>1.0522749961918785E-3</c:v>
                </c:pt>
                <c:pt idx="8">
                  <c:v>1.6278854723537919E-4</c:v>
                </c:pt>
                <c:pt idx="9">
                  <c:v>1.9075690675715208E-5</c:v>
                </c:pt>
                <c:pt idx="10">
                  <c:v>1.6224133987675806E-6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5-4B2F-8C3F-99DDE9B52B39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6.4842796228607013E-3</c:v>
                </c:pt>
                <c:pt idx="1">
                  <c:v>4.0193078919869105E-2</c:v>
                </c:pt>
                <c:pt idx="2">
                  <c:v>0.11460220752813041</c:v>
                </c:pt>
                <c:pt idx="3">
                  <c:v>0.19896024336639459</c:v>
                </c:pt>
                <c:pt idx="4">
                  <c:v>0.23456829398544174</c:v>
                </c:pt>
                <c:pt idx="5">
                  <c:v>0.19824280573192227</c:v>
                </c:pt>
                <c:pt idx="6">
                  <c:v>0.12350932661159988</c:v>
                </c:pt>
                <c:pt idx="7">
                  <c:v>5.7408808110797953E-2</c:v>
                </c:pt>
                <c:pt idx="8">
                  <c:v>1.9900012005855634E-2</c:v>
                </c:pt>
                <c:pt idx="9">
                  <c:v>5.0792744817017002E-3</c:v>
                </c:pt>
                <c:pt idx="10">
                  <c:v>9.278375908715182E-4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5-4B2F-8C3F-99DDE9B5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'J1-Pamboli-VADER'!$G$25:$G$35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'J1-Pamboli-VADER'!$H$25:$H$35</c:f>
              <c:numCache>
                <c:formatCode>0.0%</c:formatCode>
                <c:ptCount val="11"/>
                <c:pt idx="0">
                  <c:v>4.2178591719282267E-2</c:v>
                </c:pt>
                <c:pt idx="1">
                  <c:v>0.15236531512503418</c:v>
                </c:pt>
                <c:pt idx="2">
                  <c:v>0.25234353680575622</c:v>
                </c:pt>
                <c:pt idx="3">
                  <c:v>0.25381684592224402</c:v>
                </c:pt>
                <c:pt idx="4">
                  <c:v>0.17317836445564908</c:v>
                </c:pt>
                <c:pt idx="5">
                  <c:v>8.4817923378771087E-2</c:v>
                </c:pt>
                <c:pt idx="6">
                  <c:v>3.0789783081653456E-2</c:v>
                </c:pt>
                <c:pt idx="7">
                  <c:v>8.4359501812414223E-3</c:v>
                </c:pt>
                <c:pt idx="8">
                  <c:v>1.7590607564065314E-3</c:v>
                </c:pt>
                <c:pt idx="9">
                  <c:v>2.7869007575271405E-4</c:v>
                </c:pt>
                <c:pt idx="10">
                  <c:v>3.2992351773851312E-5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2-4FE6-A4AF-A081E7682B2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'J1-Pamboli-VADER'!$G$25:$G$35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'J1-Pamboli-VADER'!$H$39:$H$49</c:f>
              <c:numCache>
                <c:formatCode>0.0%</c:formatCode>
                <c:ptCount val="11"/>
                <c:pt idx="0">
                  <c:v>0.10550489969264396</c:v>
                </c:pt>
                <c:pt idx="1">
                  <c:v>0.24981883223705151</c:v>
                </c:pt>
                <c:pt idx="2">
                  <c:v>0.26998703901233012</c:v>
                </c:pt>
                <c:pt idx="3">
                  <c:v>0.19426311111257025</c:v>
                </c:pt>
                <c:pt idx="4">
                  <c:v>0.10933563532265919</c:v>
                </c:pt>
                <c:pt idx="5">
                  <c:v>4.9083959964534407E-2</c:v>
                </c:pt>
                <c:pt idx="6">
                  <c:v>1.6840288078148014E-2</c:v>
                </c:pt>
                <c:pt idx="7">
                  <c:v>4.264187571615622E-3</c:v>
                </c:pt>
                <c:pt idx="8">
                  <c:v>7.8580212630425183E-4</c:v>
                </c:pt>
                <c:pt idx="9">
                  <c:v>1.0521139190122686E-4</c:v>
                </c:pt>
                <c:pt idx="10">
                  <c:v>1.0267294397118122E-5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2-4FE6-A4AF-A081E768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'J2-VADER-Spartak'!$G$25:$G$35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'J2-VADER-Spartak'!$H$25:$H$35</c:f>
              <c:numCache>
                <c:formatCode>0.0%</c:formatCode>
                <c:ptCount val="11"/>
                <c:pt idx="0">
                  <c:v>1.8422993347980206E-2</c:v>
                </c:pt>
                <c:pt idx="1">
                  <c:v>8.6180511358814951E-2</c:v>
                </c:pt>
                <c:pt idx="2">
                  <c:v>0.1848054837171941</c:v>
                </c:pt>
                <c:pt idx="3">
                  <c:v>0.24166674510034522</c:v>
                </c:pt>
                <c:pt idx="4">
                  <c:v>0.21660674634873142</c:v>
                </c:pt>
                <c:pt idx="5">
                  <c:v>0.14204723745804837</c:v>
                </c:pt>
                <c:pt idx="6">
                  <c:v>7.1101615995634943E-2</c:v>
                </c:pt>
                <c:pt idx="7">
                  <c:v>2.7911692934820025E-2</c:v>
                </c:pt>
                <c:pt idx="8">
                  <c:v>8.6866123071668803E-3</c:v>
                </c:pt>
                <c:pt idx="9">
                  <c:v>2.1217880441171564E-3</c:v>
                </c:pt>
                <c:pt idx="10">
                  <c:v>3.9266262290807321E-4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1-4A95-96CF-869F293CFA8C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'J2-VADER-Spartak'!$G$25:$G$35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'J2-VADER-Spartak'!$H$39:$H$49</c:f>
              <c:numCache>
                <c:formatCode>0.0%</c:formatCode>
                <c:ptCount val="11"/>
                <c:pt idx="0">
                  <c:v>9.0464031549678234E-2</c:v>
                </c:pt>
                <c:pt idx="1">
                  <c:v>0.23632035409750859</c:v>
                </c:pt>
                <c:pt idx="2">
                  <c:v>0.28407736064651889</c:v>
                </c:pt>
                <c:pt idx="3">
                  <c:v>0.21225328620854339</c:v>
                </c:pt>
                <c:pt idx="4">
                  <c:v>0.11242946184631103</c:v>
                </c:pt>
                <c:pt idx="5">
                  <c:v>4.5419011723550645E-2</c:v>
                </c:pt>
                <c:pt idx="6">
                  <c:v>1.4502698276076569E-2</c:v>
                </c:pt>
                <c:pt idx="7">
                  <c:v>3.680359386456806E-3</c:v>
                </c:pt>
                <c:pt idx="8">
                  <c:v>7.3035151499031305E-4</c:v>
                </c:pt>
                <c:pt idx="9">
                  <c:v>1.1004267151324513E-4</c:v>
                </c:pt>
                <c:pt idx="10">
                  <c:v>1.2086781455492214E-5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1-4A95-96CF-869F293CF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'J3-Hasabit-VADER'!$G$25:$G$35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'J3-Hasabit-VADER'!$H$25:$H$35</c:f>
              <c:numCache>
                <c:formatCode>0.0%</c:formatCode>
                <c:ptCount val="11"/>
                <c:pt idx="0">
                  <c:v>6.9062193234141256E-2</c:v>
                </c:pt>
                <c:pt idx="1">
                  <c:v>0.20537084692626217</c:v>
                </c:pt>
                <c:pt idx="2">
                  <c:v>0.28124960838186253</c:v>
                </c:pt>
                <c:pt idx="3">
                  <c:v>0.23493562215671734</c:v>
                </c:pt>
                <c:pt idx="4">
                  <c:v>0.13361755569007472</c:v>
                </c:pt>
                <c:pt idx="5">
                  <c:v>5.4675788638571532E-2</c:v>
                </c:pt>
                <c:pt idx="6">
                  <c:v>1.6576281863066603E-2</c:v>
                </c:pt>
                <c:pt idx="7">
                  <c:v>3.7747367452049918E-3</c:v>
                </c:pt>
                <c:pt idx="8">
                  <c:v>6.4671663175589313E-4</c:v>
                </c:pt>
                <c:pt idx="9">
                  <c:v>8.2505343614290813E-5</c:v>
                </c:pt>
                <c:pt idx="10">
                  <c:v>7.6375546925614091E-6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9B2-9097-52D0E87F7AE8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'J3-Hasabit-VADER'!$G$25:$G$35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'J3-Hasabit-VADER'!$H$39:$H$49</c:f>
              <c:numCache>
                <c:formatCode>0.0%</c:formatCode>
                <c:ptCount val="11"/>
                <c:pt idx="0">
                  <c:v>0.1583301078187829</c:v>
                </c:pt>
                <c:pt idx="1">
                  <c:v>0.282354378564455</c:v>
                </c:pt>
                <c:pt idx="2">
                  <c:v>0.2273362457480399</c:v>
                </c:pt>
                <c:pt idx="3">
                  <c:v>0.18137414240447722</c:v>
                </c:pt>
                <c:pt idx="4">
                  <c:v>0.10327495265812375</c:v>
                </c:pt>
                <c:pt idx="5">
                  <c:v>3.7062637647899903E-2</c:v>
                </c:pt>
                <c:pt idx="6">
                  <c:v>8.7007585886519478E-3</c:v>
                </c:pt>
                <c:pt idx="7">
                  <c:v>1.396267582937595E-3</c:v>
                </c:pt>
                <c:pt idx="8">
                  <c:v>1.5724882770943284E-4</c:v>
                </c:pt>
                <c:pt idx="9">
                  <c:v>1.253262299404252E-5</c:v>
                </c:pt>
                <c:pt idx="10">
                  <c:v>7.0028827825226349E-7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9B2-9097-52D0E87F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'C2-Racing-VADER'!$G$25:$G$35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'C2-Racing-VADER'!$H$25:$H$35</c:f>
              <c:numCache>
                <c:formatCode>0.0%</c:formatCode>
                <c:ptCount val="11"/>
                <c:pt idx="0">
                  <c:v>0.5181026773958548</c:v>
                </c:pt>
                <c:pt idx="1">
                  <c:v>0.34837403417187685</c:v>
                </c:pt>
                <c:pt idx="2">
                  <c:v>0.10518557995405131</c:v>
                </c:pt>
                <c:pt idx="3">
                  <c:v>2.3820223216389606E-2</c:v>
                </c:pt>
                <c:pt idx="4">
                  <c:v>4.0067134238858043E-3</c:v>
                </c:pt>
                <c:pt idx="5">
                  <c:v>4.7017417670280946E-4</c:v>
                </c:pt>
                <c:pt idx="6">
                  <c:v>3.8304608930502516E-5</c:v>
                </c:pt>
                <c:pt idx="7">
                  <c:v>2.2001729245986123E-6</c:v>
                </c:pt>
                <c:pt idx="8">
                  <c:v>9.0182755616458078E-8</c:v>
                </c:pt>
                <c:pt idx="9">
                  <c:v>2.6412937641390772E-9</c:v>
                </c:pt>
                <c:pt idx="10">
                  <c:v>5.4558857173235572E-11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609-95C1-ECAEA7011B93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'C2-Racing-VADER'!$G$25:$G$35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'C2-Racing-VADER'!$H$39:$H$49</c:f>
              <c:numCache>
                <c:formatCode>0.0%</c:formatCode>
                <c:ptCount val="11"/>
                <c:pt idx="0">
                  <c:v>1.0776939910362181E-2</c:v>
                </c:pt>
                <c:pt idx="1">
                  <c:v>5.9464079921582612E-2</c:v>
                </c:pt>
                <c:pt idx="2">
                  <c:v>0.14953463443767942</c:v>
                </c:pt>
                <c:pt idx="3">
                  <c:v>0.22698519366079098</c:v>
                </c:pt>
                <c:pt idx="4">
                  <c:v>0.23250834154752761</c:v>
                </c:pt>
                <c:pt idx="5">
                  <c:v>0.17062124478035498</c:v>
                </c:pt>
                <c:pt idx="6">
                  <c:v>9.3315466167600017E-2</c:v>
                </c:pt>
                <c:pt idx="7">
                  <c:v>3.9284387728986403E-2</c:v>
                </c:pt>
                <c:pt idx="8">
                  <c:v>1.3102372254739258E-2</c:v>
                </c:pt>
                <c:pt idx="9">
                  <c:v>3.5225589157011966E-3</c:v>
                </c:pt>
                <c:pt idx="10">
                  <c:v>7.5243482578516536E-4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9-4609-95C1-ECAEA701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7FEC7-017A-4BC2-BE9C-C3AF3580D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3078A-E279-4CEE-9172-91DC40FE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DF0C89-8406-4189-A8A9-03B2EBDAE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F95904-874D-4AF9-82E4-D6C987298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20E17-C73B-4F02-9A8F-0834A459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1.697401620368" createdVersion="8" refreshedVersion="8" minRefreshableVersion="3" recordCount="24" xr:uid="{3779C644-6715-4AA6-8A37-02D79A3DDBF3}">
  <cacheSource type="worksheet">
    <worksheetSource ref="F1:AD1048576" sheet="Pamboli"/>
  </cacheSource>
  <cacheFields count="25">
    <cacheField name="Nacionalidad" numFmtId="0">
      <sharedItems containsBlank="1"/>
    </cacheField>
    <cacheField name="Dorsal" numFmtId="0">
      <sharedItems containsString="0" containsBlank="1" containsNumber="1" containsInteger="1" minValue="1" maxValue="29"/>
    </cacheField>
    <cacheField name="Nombre" numFmtId="0">
      <sharedItems containsBlank="1"/>
    </cacheField>
    <cacheField name="ID del jugador" numFmtId="0">
      <sharedItems containsString="0" containsBlank="1" containsNumber="1" containsInteger="1" minValue="429275176" maxValue="470220234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Potente"/>
        <s v="Imprevisible"/>
        <s v="Cabeceador"/>
        <s v="Rápido"/>
        <s v="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/>
    </cacheField>
    <cacheField name="Amonestaciones" numFmtId="0">
      <sharedItems containsString="0" containsBlank="1" containsNumber="1" containsInteger="1" minValue="1" maxValue="1"/>
    </cacheField>
    <cacheField name="En la lista de transferencias" numFmtId="0">
      <sharedItems containsString="0" containsBlank="1" containsNumber="1" containsInteger="1" minValue="1" maxValue="1"/>
    </cacheField>
    <cacheField name="Edad" numFmtId="0">
      <sharedItems containsString="0" containsBlank="1" containsNumber="1" containsInteger="1" minValue="18" maxValue="34" count="10">
        <n v="29"/>
        <n v="30"/>
        <n v="31"/>
        <n v="19"/>
        <n v="34"/>
        <n v="20"/>
        <n v="18"/>
        <n v="24"/>
        <n v="32"/>
        <m/>
      </sharedItems>
    </cacheField>
    <cacheField name="Días" numFmtId="0">
      <sharedItems containsString="0" containsBlank="1" containsNumber="1" containsInteger="1" minValue="0" maxValue="111" count="23">
        <n v="47"/>
        <n v="94"/>
        <n v="7"/>
        <n v="51"/>
        <n v="46"/>
        <n v="23"/>
        <n v="43"/>
        <n v="92"/>
        <n v="104"/>
        <n v="73"/>
        <n v="25"/>
        <n v="17"/>
        <n v="36"/>
        <n v="0"/>
        <n v="82"/>
        <n v="10"/>
        <n v="1"/>
        <n v="29"/>
        <n v="91"/>
        <n v="111"/>
        <n v="2"/>
        <n v="100"/>
        <m/>
      </sharedItems>
    </cacheField>
    <cacheField name="TSI" numFmtId="0">
      <sharedItems containsString="0" containsBlank="1" containsNumber="1" containsInteger="1" minValue="550" maxValue="273460"/>
    </cacheField>
    <cacheField name="Salario" numFmtId="0">
      <sharedItems containsString="0" containsBlank="1" containsNumber="1" containsInteger="1" minValue="310" maxValue="52764"/>
    </cacheField>
    <cacheField name="Semanas en el club" numFmtId="0">
      <sharedItems containsString="0" containsBlank="1" containsNumber="1" containsInteger="1" minValue="2" maxValue="212"/>
    </cacheField>
    <cacheField name="Experiencia" numFmtId="0">
      <sharedItems containsString="0" containsBlank="1" containsNumber="1" containsInteger="1" minValue="1" maxValue="11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5" maxValue="20"/>
    </cacheField>
    <cacheField name="Forma" numFmtId="0">
      <sharedItems containsString="0" containsBlank="1" containsNumber="1" containsInteger="1" minValue="4" maxValue="8"/>
    </cacheField>
    <cacheField name="Resistencia" numFmtId="0">
      <sharedItems containsString="0" containsBlank="1" containsNumber="1" containsInteger="1" minValue="6" maxValue="8"/>
    </cacheField>
    <cacheField name="Fecha último partido" numFmtId="0">
      <sharedItems containsNonDate="0" containsDate="1" containsString="0" containsBlank="1" minDate="2022-07-23T00:00:00" maxDate="2022-07-28T00:00:00"/>
    </cacheField>
    <cacheField name="Rendimiento último partido" numFmtId="0">
      <sharedItems containsString="0" containsBlank="1" containsNumber="1" minValue="0" maxValue="10.5"/>
    </cacheField>
    <cacheField name="Demarcación último partido" numFmtId="0">
      <sharedItems containsBlank="1" count="9">
        <s v="MC"/>
        <s v="POR"/>
        <s v="DEL"/>
        <s v="ED"/>
        <s v="LI"/>
        <s v="DC"/>
        <s v="EI"/>
        <s v="LD"/>
        <m/>
      </sharedItems>
    </cacheField>
    <cacheField name="Importante" numFmtId="0">
      <sharedItems containsString="0" containsBlank="1" containsNumber="1" containsInteger="1" minValue="0" maxValue="1" count="3">
        <n v="1"/>
        <n v="0"/>
        <m/>
      </sharedItems>
    </cacheField>
    <cacheField name="Semana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1.738978356479" createdVersion="8" refreshedVersion="8" minRefreshableVersion="3" recordCount="23" xr:uid="{C0D81962-628D-4E6E-96B2-3EBE815DE25D}">
  <cacheSource type="worksheet">
    <worksheetSource ref="F5:AE1048576" sheet="Club Atlético Gaditano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36"/>
    </cacheField>
    <cacheField name="Nombre" numFmtId="0">
      <sharedItems containsBlank="1"/>
    </cacheField>
    <cacheField name="ID del jugador" numFmtId="0">
      <sharedItems containsString="0" containsBlank="1" containsNumber="1" containsInteger="1" minValue="407065238" maxValue="470798539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Cabeceador"/>
        <s v="Potente"/>
        <s v="Imprevisible"/>
        <s v="Rápido"/>
        <s v="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String="0" containsBlank="1" containsNumber="1" containsInteger="1" minValue="1" maxValue="2"/>
    </cacheField>
    <cacheField name="Amonestaciones" numFmtId="0">
      <sharedItems containsBlank="1"/>
    </cacheField>
    <cacheField name="En la lista de transferencias" numFmtId="0">
      <sharedItems containsString="0" containsBlank="1" containsNumber="1" containsInteger="1" minValue="1" maxValue="1"/>
    </cacheField>
    <cacheField name="Edad" numFmtId="0">
      <sharedItems containsString="0" containsBlank="1" containsNumber="1" containsInteger="1" minValue="17" maxValue="43"/>
    </cacheField>
    <cacheField name="Días" numFmtId="0">
      <sharedItems containsString="0" containsBlank="1" containsNumber="1" containsInteger="1" minValue="0" maxValue="110"/>
    </cacheField>
    <cacheField name="TSI" numFmtId="0">
      <sharedItems containsString="0" containsBlank="1" containsNumber="1" containsInteger="1" minValue="0" maxValue="132260"/>
    </cacheField>
    <cacheField name="Salario" numFmtId="0">
      <sharedItems containsString="0" containsBlank="1" containsNumber="1" containsInteger="1" minValue="260" maxValue="39336"/>
    </cacheField>
    <cacheField name="Semanas en el club" numFmtId="0">
      <sharedItems containsString="0" containsBlank="1" containsNumber="1" containsInteger="1" minValue="1" maxValue="292"/>
    </cacheField>
    <cacheField name="Experiencia" numFmtId="0">
      <sharedItems containsString="0" containsBlank="1" containsNumber="1" containsInteger="1" minValue="1" maxValue="14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20" maxValue="20"/>
    </cacheField>
    <cacheField name="Forma" numFmtId="0">
      <sharedItems containsString="0" containsBlank="1" containsNumber="1" containsInteger="1" minValue="3" maxValue="8"/>
    </cacheField>
    <cacheField name="Resistencia" numFmtId="0">
      <sharedItems containsString="0" containsBlank="1" containsNumber="1" containsInteger="1" minValue="2" maxValue="8"/>
    </cacheField>
    <cacheField name="Fecha último partido" numFmtId="0">
      <sharedItems containsNonDate="0" containsDate="1" containsString="0" containsBlank="1" minDate="2015-04-27T00:00:00" maxDate="2022-07-28T00:00:00"/>
    </cacheField>
    <cacheField name="Rendimiento último partido" numFmtId="0">
      <sharedItems containsString="0" containsBlank="1" containsNumber="1" minValue="3.5" maxValue="6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1" maxValue="1" count="2">
        <n v="1"/>
        <m/>
      </sharedItems>
    </cacheField>
    <cacheField name="Semana" numFmtId="0">
      <sharedItems containsString="0" containsBlank="1" containsNumber="1" containsInteger="1" minValue="1" maxValue="1" count="2">
        <n v="1"/>
        <m/>
      </sharedItems>
    </cacheField>
    <cacheField name="P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1.748242245369" createdVersion="8" refreshedVersion="8" minRefreshableVersion="3" recordCount="27" xr:uid="{2CE9F558-DAAA-4D56-810D-8ACBEEE10DBA}">
  <cacheSource type="worksheet">
    <worksheetSource ref="A1:Z1048576" sheet="Las Animas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6"/>
    </cacheField>
    <cacheField name="Nombre" numFmtId="0">
      <sharedItems containsBlank="1"/>
    </cacheField>
    <cacheField name="ID del jugador" numFmtId="0">
      <sharedItems containsString="0" containsBlank="1" containsNumber="1" containsInteger="1" minValue="334269782" maxValue="470786338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Potente"/>
        <s v="Cabeceador"/>
        <s v="Imprevisible"/>
        <s v="Rápido"/>
        <s v="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String="0" containsBlank="1" containsNumber="1" containsInteger="1" minValue="1" maxValue="1"/>
    </cacheField>
    <cacheField name="Amonestaciones" numFmtId="0">
      <sharedItems containsString="0" containsBlank="1" containsNumber="1" containsInteger="1" minValue="3" maxValue="3"/>
    </cacheField>
    <cacheField name="En la lista de transferencias" numFmtId="0">
      <sharedItems containsBlank="1"/>
    </cacheField>
    <cacheField name="Edad" numFmtId="0">
      <sharedItems containsString="0" containsBlank="1" containsNumber="1" containsInteger="1" minValue="17" maxValue="52"/>
    </cacheField>
    <cacheField name="Días" numFmtId="0">
      <sharedItems containsString="0" containsBlank="1" containsNumber="1" containsInteger="1" minValue="2" maxValue="107"/>
    </cacheField>
    <cacheField name="TSI" numFmtId="0">
      <sharedItems containsString="0" containsBlank="1" containsNumber="1" containsInteger="1" minValue="0" maxValue="256700"/>
    </cacheField>
    <cacheField name="Salario" numFmtId="0">
      <sharedItems containsString="0" containsBlank="1" containsNumber="1" containsInteger="1" minValue="300" maxValue="37752"/>
    </cacheField>
    <cacheField name="Semanas en el club" numFmtId="0">
      <sharedItems containsString="0" containsBlank="1" containsNumber="1" containsInteger="1" minValue="1" maxValue="293"/>
    </cacheField>
    <cacheField name="Experiencia" numFmtId="0">
      <sharedItems containsString="0" containsBlank="1" containsNumber="1" containsInteger="1" minValue="2" maxValue="15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13" maxValue="20"/>
    </cacheField>
    <cacheField name="Forma" numFmtId="0">
      <sharedItems containsString="0" containsBlank="1" containsNumber="1" containsInteger="1" minValue="2" maxValue="8"/>
    </cacheField>
    <cacheField name="Resistencia" numFmtId="0">
      <sharedItems containsString="0" containsBlank="1" containsNumber="1" containsInteger="1" minValue="2" maxValue="9"/>
    </cacheField>
    <cacheField name="Fecha último partido" numFmtId="0">
      <sharedItems containsNonDate="0" containsDate="1" containsString="0" containsBlank="1" minDate="2018-10-24T00:00:00" maxDate="2022-07-28T00:00:00"/>
    </cacheField>
    <cacheField name="Rendimiento último partido" numFmtId="0">
      <sharedItems containsString="0" containsBlank="1" containsNumber="1" containsInteger="1" minValue="1" maxValue="10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1" maxValue="1" count="2">
        <n v="1"/>
        <m/>
      </sharedItems>
    </cacheField>
    <cacheField name="Semana" numFmtId="0">
      <sharedItems containsString="0" containsBlank="1" containsNumber="1" containsInteger="1" minValue="1" maxValue="1" count="2">
        <n v="1"/>
        <m/>
      </sharedItems>
    </cacheField>
    <cacheField name="P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1.753013541667" createdVersion="8" refreshedVersion="8" minRefreshableVersion="3" recordCount="27" xr:uid="{B674692C-E03A-44CF-B1AC-865736785151}">
  <cacheSource type="worksheet">
    <worksheetSource ref="A1:Z1048576" sheet="La Barrilla"/>
  </cacheSource>
  <cacheFields count="26">
    <cacheField name="Nacionalidad" numFmtId="0">
      <sharedItems containsBlank="1"/>
    </cacheField>
    <cacheField name="Dorsal" numFmtId="0">
      <sharedItems containsBlank="1"/>
    </cacheField>
    <cacheField name="Nombre" numFmtId="0">
      <sharedItems containsBlank="1"/>
    </cacheField>
    <cacheField name="ID del jugador" numFmtId="0">
      <sharedItems containsString="0" containsBlank="1" containsNumber="1" containsInteger="1" minValue="391463093" maxValue="469974779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7">
        <s v="Imprevisible"/>
        <s v="Cabeceador"/>
        <s v="Rápido"/>
        <s v=""/>
        <s v="Técnico"/>
        <s v="Potente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String="0" containsBlank="1" containsNumber="1" containsInteger="1" minValue="999" maxValue="999"/>
    </cacheField>
    <cacheField name="Amonestaciones" numFmtId="0">
      <sharedItems containsString="0" containsBlank="1" containsNumber="1" containsInteger="1" minValue="1" maxValue="1"/>
    </cacheField>
    <cacheField name="En la lista de transferencias" numFmtId="0">
      <sharedItems containsBlank="1"/>
    </cacheField>
    <cacheField name="Edad" numFmtId="0">
      <sharedItems containsString="0" containsBlank="1" containsNumber="1" containsInteger="1" minValue="19" maxValue="45"/>
    </cacheField>
    <cacheField name="Días" numFmtId="0">
      <sharedItems containsString="0" containsBlank="1" containsNumber="1" containsInteger="1" minValue="5" maxValue="108"/>
    </cacheField>
    <cacheField name="TSI" numFmtId="0">
      <sharedItems containsString="0" containsBlank="1" containsNumber="1" containsInteger="1" minValue="0" maxValue="311540"/>
    </cacheField>
    <cacheField name="Salario" numFmtId="0">
      <sharedItems containsString="0" containsBlank="1" containsNumber="1" containsInteger="1" minValue="300" maxValue="59990"/>
    </cacheField>
    <cacheField name="Semanas en el club" numFmtId="0">
      <sharedItems containsString="0" containsBlank="1" containsNumber="1" containsInteger="1" minValue="0" maxValue="313"/>
    </cacheField>
    <cacheField name="Experiencia" numFmtId="0">
      <sharedItems containsString="0" containsBlank="1" containsNumber="1" containsInteger="1" minValue="2" maxValue="16"/>
    </cacheField>
    <cacheField name="Liderazgo" numFmtId="0">
      <sharedItems containsString="0" containsBlank="1" containsNumber="1" containsInteger="1" minValue="2" maxValue="6"/>
    </cacheField>
    <cacheField name="Fidelidad" numFmtId="0">
      <sharedItems containsString="0" containsBlank="1" containsNumber="1" containsInteger="1" minValue="3" maxValue="20"/>
    </cacheField>
    <cacheField name="Forma" numFmtId="0">
      <sharedItems containsString="0" containsBlank="1" containsNumber="1" containsInteger="1" minValue="2" maxValue="8"/>
    </cacheField>
    <cacheField name="Resistencia" numFmtId="0">
      <sharedItems containsString="0" containsBlank="1" containsNumber="1" containsInteger="1" minValue="1" maxValue="9"/>
    </cacheField>
    <cacheField name="Fecha último partido" numFmtId="0">
      <sharedItems containsNonDate="0" containsDate="1" containsString="0" containsBlank="1" minDate="2021-03-17T00:00:00" maxDate="2022-07-28T00:00:00"/>
    </cacheField>
    <cacheField name="Rendimiento último partido" numFmtId="0">
      <sharedItems containsString="0" containsBlank="1" containsNumber="1" containsInteger="1" minValue="0" maxValue="10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1" maxValue="1" count="2">
        <n v="1"/>
        <m/>
      </sharedItems>
    </cacheField>
    <cacheField name="Semana" numFmtId="0">
      <sharedItems containsString="0" containsBlank="1" containsNumber="1" containsInteger="1" minValue="1" maxValue="1" count="2">
        <n v="1"/>
        <m/>
      </sharedItems>
    </cacheField>
    <cacheField name="P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4.42331377315" createdVersion="8" refreshedVersion="8" minRefreshableVersion="3" recordCount="21" xr:uid="{17961752-7D11-45B8-8875-70042E9A2D1E}">
  <cacheSource type="worksheet">
    <worksheetSource ref="A1:Z1048576" sheet="Paso que arraso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18"/>
    </cacheField>
    <cacheField name="Nombre" numFmtId="0">
      <sharedItems containsBlank="1"/>
    </cacheField>
    <cacheField name="ID del jugador" numFmtId="0">
      <sharedItems containsString="0" containsBlank="1" containsNumber="1" containsInteger="1" minValue="350683009" maxValue="447292589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7">
        <s v="Rápido"/>
        <s v="Cabeceador"/>
        <s v="Técnico"/>
        <s v="Potente"/>
        <s v="Imprevisible"/>
        <s v="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/>
    </cacheField>
    <cacheField name="Amonestaciones" numFmtId="0">
      <sharedItems containsBlank="1"/>
    </cacheField>
    <cacheField name="En la lista de transferencias" numFmtId="0">
      <sharedItems containsString="0" containsBlank="1" containsNumber="1" containsInteger="1" minValue="1" maxValue="1"/>
    </cacheField>
    <cacheField name="Edad" numFmtId="0">
      <sharedItems containsString="0" containsBlank="1" containsNumber="1" containsInteger="1" minValue="26" maxValue="52"/>
    </cacheField>
    <cacheField name="Días" numFmtId="0">
      <sharedItems containsString="0" containsBlank="1" containsNumber="1" containsInteger="1" minValue="8" maxValue="105"/>
    </cacheField>
    <cacheField name="TSI" numFmtId="0">
      <sharedItems containsString="0" containsBlank="1" containsNumber="1" containsInteger="1" minValue="0" maxValue="438800"/>
    </cacheField>
    <cacheField name="Salario" numFmtId="0">
      <sharedItems containsString="0" containsBlank="1" containsNumber="1" containsInteger="1" minValue="300" maxValue="36610"/>
    </cacheField>
    <cacheField name="Semanas en el club" numFmtId="0">
      <sharedItems containsString="0" containsBlank="1" containsNumber="1" containsInteger="1" minValue="1" maxValue="245"/>
    </cacheField>
    <cacheField name="Experiencia" numFmtId="0">
      <sharedItems containsString="0" containsBlank="1" containsNumber="1" containsInteger="1" minValue="6" maxValue="14"/>
    </cacheField>
    <cacheField name="Liderazgo" numFmtId="0">
      <sharedItems containsString="0" containsBlank="1" containsNumber="1" containsInteger="1" minValue="2" maxValue="6"/>
    </cacheField>
    <cacheField name="Fidelidad" numFmtId="0">
      <sharedItems containsString="0" containsBlank="1" containsNumber="1" containsInteger="1" minValue="4" maxValue="20"/>
    </cacheField>
    <cacheField name="Forma" numFmtId="0">
      <sharedItems containsString="0" containsBlank="1" containsNumber="1" containsInteger="1" minValue="2" maxValue="8"/>
    </cacheField>
    <cacheField name="Resistencia" numFmtId="0">
      <sharedItems containsString="0" containsBlank="1" containsNumber="1" containsInteger="1" minValue="1" maxValue="7"/>
    </cacheField>
    <cacheField name="Fecha último partido" numFmtId="0">
      <sharedItems containsNonDate="0" containsDate="1" containsString="0" containsBlank="1" minDate="2020-12-09T00:00:00" maxDate="2022-07-31T00:00:00"/>
    </cacheField>
    <cacheField name="Rendimiento último partido" numFmtId="0">
      <sharedItems containsString="0" containsBlank="1" containsNumber="1" containsInteger="1" minValue="5" maxValue="13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1"/>
        <n v="0"/>
        <m/>
      </sharedItems>
    </cacheField>
    <cacheField name="Semana" numFmtId="0">
      <sharedItems containsString="0" containsBlank="1" containsNumber="1" containsInteger="1" minValue="1" maxValue="1" count="2">
        <n v="1"/>
        <m/>
      </sharedItems>
    </cacheField>
    <cacheField name="P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78.43814421296" createdVersion="8" refreshedVersion="8" minRefreshableVersion="3" recordCount="75" xr:uid="{7E75A767-73E8-475D-8797-05AC087078F9}">
  <cacheSource type="worksheet">
    <worksheetSource ref="A1:Z1048576" sheet="Spartak de Santiago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1" maxValue="80"/>
    </cacheField>
    <cacheField name="Nombre" numFmtId="0">
      <sharedItems containsBlank="1" count="38">
        <s v="Abdeladle Quernin"/>
        <s v="Abduqahor Dadajonov"/>
        <s v="Alberto Macedo"/>
        <s v="Àlex Font"/>
        <s v="Artemio Seccarecci"/>
        <s v="Bernat Novich"/>
        <s v="Carlos Abenoza"/>
        <s v="Chahid Fryadi"/>
        <s v="Cibrán do Cubo"/>
        <s v="Daniel Osorio"/>
        <s v="Dariusz Druszcz"/>
        <s v="David Alberti"/>
        <s v="Diego Camasobras"/>
        <s v="Dragoş Căprescu"/>
        <s v="Edwin Roche"/>
        <s v="Emiliano Molina Blanco"/>
        <s v="Fabián Olveira"/>
        <s v="Fernando Nogueira"/>
        <s v="Filiberto Poleo"/>
        <s v="Gaoussou Gali"/>
        <s v="José Horachita"/>
        <s v="Luis Vicente Fernández"/>
        <s v="Marcos Galleguillos"/>
        <s v="Mauricio Calasanz"/>
        <s v="Mauro Fuenlabrada"/>
        <s v="Mstyslav Mikhailenko"/>
        <s v="Mundial Rodríguez"/>
        <s v="Naeim Ansarifard"/>
        <s v="Narciso Matos"/>
        <s v="Niels Schwimmbeck"/>
        <s v="Pedro Ruiz de Viana"/>
        <s v="Rafał Wolter"/>
        <s v="Saad Kawood"/>
        <s v="Samuel Arias"/>
        <s v="Stefano Blotto"/>
        <s v="Stig Alexandersson"/>
        <s v="Walther Kaae"/>
        <m/>
      </sharedItems>
    </cacheField>
    <cacheField name="ID del jugador" numFmtId="0">
      <sharedItems containsString="0" containsBlank="1" containsNumber="1" containsInteger="1" minValue="414268403" maxValue="471121858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7">
        <s v=""/>
        <s v="Rápido"/>
        <s v="Imprevisible"/>
        <s v="Potente"/>
        <s v="Técnico"/>
        <s v="Cabeceador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Blank="1"/>
    </cacheField>
    <cacheField name="Amonestaciones" numFmtId="0">
      <sharedItems containsString="0" containsBlank="1" containsNumber="1" containsInteger="1" minValue="1" maxValue="1"/>
    </cacheField>
    <cacheField name="En la lista de transferencias" numFmtId="0">
      <sharedItems containsBlank="1" containsMixedTypes="1" containsNumber="1" containsInteger="1" minValue="1" maxValue="1"/>
    </cacheField>
    <cacheField name="Edad" numFmtId="0">
      <sharedItems containsString="0" containsBlank="1" containsNumber="1" containsInteger="1" minValue="17" maxValue="39"/>
    </cacheField>
    <cacheField name="Días" numFmtId="0">
      <sharedItems containsString="0" containsBlank="1" containsNumber="1" containsInteger="1" minValue="0" maxValue="110"/>
    </cacheField>
    <cacheField name="TSI" numFmtId="0">
      <sharedItems containsString="0" containsBlank="1" containsNumber="1" containsInteger="1" minValue="60" maxValue="340090"/>
    </cacheField>
    <cacheField name="Salario" numFmtId="0">
      <sharedItems containsString="0" containsBlank="1" containsNumber="1" containsInteger="1" minValue="250" maxValue="56568"/>
    </cacheField>
    <cacheField name="Semanas en el club" numFmtId="0">
      <sharedItems containsString="0" containsBlank="1" containsNumber="1" containsInteger="1" minValue="0" maxValue="275"/>
    </cacheField>
    <cacheField name="Experiencia" numFmtId="0">
      <sharedItems containsString="0" containsBlank="1" containsNumber="1" containsInteger="1" minValue="1" maxValue="20"/>
    </cacheField>
    <cacheField name="Liderazgo" numFmtId="0">
      <sharedItems containsString="0" containsBlank="1" containsNumber="1" containsInteger="1" minValue="1" maxValue="7"/>
    </cacheField>
    <cacheField name="Fidelidad" numFmtId="0">
      <sharedItems containsString="0" containsBlank="1" containsNumber="1" containsInteger="1" minValue="4" maxValue="20"/>
    </cacheField>
    <cacheField name="Forma" numFmtId="0">
      <sharedItems containsString="0" containsBlank="1" containsNumber="1" containsInteger="1" minValue="1" maxValue="8"/>
    </cacheField>
    <cacheField name="Resistencia" numFmtId="0">
      <sharedItems containsString="0" containsBlank="1" containsNumber="1" containsInteger="1" minValue="4" maxValue="8"/>
    </cacheField>
    <cacheField name="Fecha último partido" numFmtId="0">
      <sharedItems containsNonDate="0" containsDate="1" containsString="0" containsBlank="1" minDate="2021-01-10T00:00:00" maxDate="2022-08-04T00:00:00"/>
    </cacheField>
    <cacheField name="Rendimiento último partido" numFmtId="0">
      <sharedItems containsString="0" containsBlank="1" containsNumber="1" minValue="1.5" maxValue="10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0"/>
        <n v="1"/>
        <m/>
      </sharedItems>
    </cacheField>
    <cacheField name="Semana" numFmtId="0">
      <sharedItems containsString="0" containsBlank="1" containsNumber="1" containsInteger="1" minValue="1" maxValue="2" count="3">
        <n v="2"/>
        <n v="1"/>
        <m/>
      </sharedItems>
    </cacheField>
    <cacheField name="POS" numFmtId="0">
      <sharedItems containsBlank="1" count="11">
        <m/>
        <s v="EXT/LAT"/>
        <s v="DEL "/>
        <s v="LAT"/>
        <s v="DEL/INN"/>
        <s v="INN"/>
        <s v="EXT "/>
        <s v="INN(CEN)"/>
        <s v="DEL"/>
        <s v="EXT/INN"/>
        <s v="P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781.496368749999" createdVersion="8" refreshedVersion="8" minRefreshableVersion="3" recordCount="46" xr:uid="{19FA462F-BEAE-46CC-B3D1-5D26FDCA5E24}">
  <cacheSource type="worksheet">
    <worksheetSource ref="A1:Z1048576" sheet="Habasit"/>
  </cacheSource>
  <cacheFields count="26">
    <cacheField name="Nacionalidad" numFmtId="0">
      <sharedItems containsBlank="1"/>
    </cacheField>
    <cacheField name="Dorsal" numFmtId="0">
      <sharedItems containsString="0" containsBlank="1" containsNumber="1" containsInteger="1" minValue="4" maxValue="11"/>
    </cacheField>
    <cacheField name="Nombre" numFmtId="0">
      <sharedItems containsBlank="1" count="20">
        <s v="Federico Abitante"/>
        <s v="Rövşən Mehdiyev"/>
        <s v="Cătălin Şandor"/>
        <s v="Antonio Llorente"/>
        <s v="Rupert Penke"/>
        <s v="Juan Pablo Pan Álvarez"/>
        <s v="Pavel Ministr"/>
        <s v="Valdimar Egilsson"/>
        <s v="Mart Gerdez"/>
        <s v="Henryk Osipowicz"/>
        <s v="Gudmunds Romanovskis"/>
        <s v="Gregor Meissner"/>
        <s v="Rafael Molleja"/>
        <s v="Alessio Mastantuoni"/>
        <s v="Vicente del Jarama"/>
        <s v="David Venet"/>
        <s v="Dominik Pigulski"/>
        <s v="Franciszek Gaweł"/>
        <s v="Hamdi Hamed Al-Samy"/>
        <m/>
      </sharedItems>
    </cacheField>
    <cacheField name="ID del jugador" numFmtId="0">
      <sharedItems containsString="0" containsBlank="1" containsNumber="1" containsInteger="1" minValue="419134956" maxValue="469826787"/>
    </cacheField>
    <cacheField name="Entrenador" numFmtId="0">
      <sharedItems containsString="0" containsBlank="1" containsNumber="1" containsInteger="1" minValue="1" maxValue="1"/>
    </cacheField>
    <cacheField name="Especialidad" numFmtId="0">
      <sharedItems containsBlank="1" count="6">
        <s v="Cabeceador"/>
        <s v=""/>
        <s v="Potente"/>
        <s v="Rápido"/>
        <s v="Imprevisible"/>
        <m/>
      </sharedItems>
    </cacheField>
    <cacheField name="Bonificación por club de origen" numFmtId="0">
      <sharedItems containsString="0" containsBlank="1" containsNumber="1" containsInteger="1" minValue="1" maxValue="1"/>
    </cacheField>
    <cacheField name="Lesiones" numFmtId="0">
      <sharedItems containsString="0" containsBlank="1" containsNumber="1" containsInteger="1" minValue="1" maxValue="3"/>
    </cacheField>
    <cacheField name="Amonestaciones" numFmtId="0">
      <sharedItems containsBlank="1"/>
    </cacheField>
    <cacheField name="En la lista de transferencias" numFmtId="0">
      <sharedItems containsBlank="1"/>
    </cacheField>
    <cacheField name="Edad" numFmtId="0">
      <sharedItems containsString="0" containsBlank="1" containsNumber="1" containsInteger="1" minValue="17" maxValue="50"/>
    </cacheField>
    <cacheField name="Días" numFmtId="0">
      <sharedItems containsString="0" containsBlank="1" containsNumber="1" containsInteger="1" minValue="0" maxValue="107"/>
    </cacheField>
    <cacheField name="TSI" numFmtId="0">
      <sharedItems containsString="0" containsBlank="1" containsNumber="1" containsInteger="1" minValue="0" maxValue="308240"/>
    </cacheField>
    <cacheField name="Salario" numFmtId="0">
      <sharedItems containsString="0" containsBlank="1" containsNumber="1" containsInteger="1" minValue="250" maxValue="71364"/>
    </cacheField>
    <cacheField name="Semanas en el club" numFmtId="0">
      <sharedItems containsString="0" containsBlank="1" containsNumber="1" containsInteger="1" minValue="8" maxValue="275"/>
    </cacheField>
    <cacheField name="Experiencia" numFmtId="0">
      <sharedItems containsString="0" containsBlank="1" containsNumber="1" containsInteger="1" minValue="1" maxValue="14"/>
    </cacheField>
    <cacheField name="Liderazgo" numFmtId="0">
      <sharedItems containsString="0" containsBlank="1" containsNumber="1" containsInteger="1" minValue="2" maxValue="7"/>
    </cacheField>
    <cacheField name="Fidelidad" numFmtId="0">
      <sharedItems containsString="0" containsBlank="1" containsNumber="1" containsInteger="1" minValue="12" maxValue="20"/>
    </cacheField>
    <cacheField name="Forma" numFmtId="0">
      <sharedItems containsString="0" containsBlank="1" containsNumber="1" containsInteger="1" minValue="4" maxValue="8" count="6">
        <n v="8"/>
        <n v="7"/>
        <n v="6"/>
        <n v="5"/>
        <n v="4"/>
        <m/>
      </sharedItems>
    </cacheField>
    <cacheField name="Resistencia" numFmtId="0">
      <sharedItems containsString="0" containsBlank="1" containsNumber="1" containsInteger="1" minValue="2" maxValue="8"/>
    </cacheField>
    <cacheField name="Fecha último partido" numFmtId="0">
      <sharedItems containsNonDate="0" containsDate="1" containsString="0" containsBlank="1" minDate="2022-06-22T00:00:00" maxDate="2022-08-07T00:00:00"/>
    </cacheField>
    <cacheField name="Rendimiento último partido" numFmtId="0">
      <sharedItems containsString="0" containsBlank="1" containsNumber="1" minValue="1" maxValue="10.5"/>
    </cacheField>
    <cacheField name="Demarcación último partido" numFmtId="0">
      <sharedItems containsBlank="1"/>
    </cacheField>
    <cacheField name="Importante" numFmtId="0">
      <sharedItems containsString="0" containsBlank="1" containsNumber="1" containsInteger="1" minValue="0" maxValue="1" count="3">
        <n v="1"/>
        <n v="0"/>
        <m/>
      </sharedItems>
    </cacheField>
    <cacheField name="Semana" numFmtId="0">
      <sharedItems containsString="0" containsBlank="1" containsNumber="1" containsInteger="1" minValue="1" maxValue="2" count="3">
        <n v="1"/>
        <n v="2"/>
        <m/>
      </sharedItems>
    </cacheField>
    <cacheField name="POS" numFmtId="0">
      <sharedItems containsBlank="1" count="3">
        <s v="DEF/INN"/>
        <s v="P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ulgaria"/>
    <n v="11"/>
    <s v="Sadri Ziyat"/>
    <n v="438737435"/>
    <m/>
    <x v="0"/>
    <m/>
    <s v=""/>
    <n v="1"/>
    <m/>
    <x v="0"/>
    <x v="0"/>
    <n v="273460"/>
    <n v="52476"/>
    <n v="57"/>
    <n v="9"/>
    <n v="1"/>
    <n v="20"/>
    <n v="8"/>
    <n v="7"/>
    <d v="2022-07-27T00:00:00"/>
    <n v="10.5"/>
    <x v="0"/>
    <x v="0"/>
    <x v="0"/>
  </r>
  <r>
    <s v="Chile"/>
    <n v="5"/>
    <s v="Alvaro Melo"/>
    <n v="437942370"/>
    <m/>
    <x v="0"/>
    <m/>
    <s v=""/>
    <m/>
    <m/>
    <x v="0"/>
    <x v="1"/>
    <n v="204550"/>
    <n v="33924"/>
    <n v="66"/>
    <n v="9"/>
    <n v="7"/>
    <n v="20"/>
    <n v="7"/>
    <n v="7"/>
    <d v="2022-07-27T00:00:00"/>
    <n v="4"/>
    <x v="1"/>
    <x v="0"/>
    <x v="0"/>
  </r>
  <r>
    <s v="Taiwán"/>
    <n v="12"/>
    <s v="楊 (Yang) 海博 (Haibo)"/>
    <n v="437450459"/>
    <m/>
    <x v="1"/>
    <m/>
    <s v=""/>
    <m/>
    <m/>
    <x v="1"/>
    <x v="2"/>
    <n v="193530"/>
    <n v="33216"/>
    <n v="78"/>
    <n v="9"/>
    <n v="6"/>
    <n v="20"/>
    <n v="7"/>
    <n v="7"/>
    <d v="2022-07-27T00:00:00"/>
    <n v="7"/>
    <x v="2"/>
    <x v="0"/>
    <x v="0"/>
  </r>
  <r>
    <s v="Polonia"/>
    <n v="8"/>
    <s v="Bartosz Bucior"/>
    <n v="438682525"/>
    <m/>
    <x v="2"/>
    <m/>
    <s v=""/>
    <m/>
    <m/>
    <x v="0"/>
    <x v="3"/>
    <n v="191370"/>
    <n v="52764"/>
    <n v="86"/>
    <n v="9"/>
    <n v="4"/>
    <n v="20"/>
    <n v="6"/>
    <n v="7"/>
    <d v="2022-07-27T00:00:00"/>
    <n v="8"/>
    <x v="0"/>
    <x v="0"/>
    <x v="0"/>
  </r>
  <r>
    <s v="Alemania"/>
    <n v="6"/>
    <s v="Nils Steinbeißer"/>
    <n v="436902237"/>
    <m/>
    <x v="0"/>
    <m/>
    <s v=""/>
    <n v="1"/>
    <m/>
    <x v="1"/>
    <x v="4"/>
    <n v="186950"/>
    <n v="36888"/>
    <n v="31"/>
    <n v="10"/>
    <n v="5"/>
    <n v="16"/>
    <n v="7"/>
    <n v="7"/>
    <d v="2022-07-27T00:00:00"/>
    <n v="7.5"/>
    <x v="0"/>
    <x v="0"/>
    <x v="0"/>
  </r>
  <r>
    <s v="Mozambique"/>
    <n v="10"/>
    <s v="António Eurico Gonçalves Fonseca"/>
    <n v="436953717"/>
    <m/>
    <x v="1"/>
    <m/>
    <s v=""/>
    <m/>
    <m/>
    <x v="1"/>
    <x v="5"/>
    <n v="165400"/>
    <n v="23820"/>
    <n v="91"/>
    <n v="10"/>
    <n v="3"/>
    <n v="20"/>
    <n v="7"/>
    <n v="7"/>
    <d v="2022-07-23T00:00:00"/>
    <n v="6.5"/>
    <x v="0"/>
    <x v="0"/>
    <x v="0"/>
  </r>
  <r>
    <s v="Liechtenstein"/>
    <n v="7"/>
    <s v="Gert Mayer"/>
    <n v="434679963"/>
    <m/>
    <x v="3"/>
    <m/>
    <s v=""/>
    <m/>
    <m/>
    <x v="2"/>
    <x v="6"/>
    <n v="163630"/>
    <n v="31284"/>
    <n v="135"/>
    <n v="9"/>
    <n v="7"/>
    <n v="20"/>
    <n v="7"/>
    <n v="7"/>
    <d v="2022-07-23T00:00:00"/>
    <n v="9.5"/>
    <x v="3"/>
    <x v="0"/>
    <x v="0"/>
  </r>
  <r>
    <s v="España"/>
    <n v="2"/>
    <s v="Iker Bidagille"/>
    <n v="438680435"/>
    <m/>
    <x v="0"/>
    <n v="1"/>
    <s v=""/>
    <m/>
    <m/>
    <x v="1"/>
    <x v="7"/>
    <n v="160360"/>
    <n v="20900"/>
    <n v="199"/>
    <n v="10"/>
    <n v="5"/>
    <n v="20"/>
    <n v="7"/>
    <n v="7"/>
    <d v="2022-07-23T00:00:00"/>
    <n v="10"/>
    <x v="4"/>
    <x v="0"/>
    <x v="0"/>
  </r>
  <r>
    <s v="Hungría"/>
    <n v="3"/>
    <s v="Zoltán Tarlós"/>
    <n v="441300576"/>
    <n v="1"/>
    <x v="3"/>
    <m/>
    <s v=""/>
    <m/>
    <m/>
    <x v="0"/>
    <x v="8"/>
    <n v="148500"/>
    <n v="23124"/>
    <n v="110"/>
    <n v="9"/>
    <n v="6"/>
    <n v="20"/>
    <n v="7"/>
    <n v="7"/>
    <d v="2022-07-27T00:00:00"/>
    <n v="8"/>
    <x v="3"/>
    <x v="0"/>
    <x v="0"/>
  </r>
  <r>
    <s v="Portugal"/>
    <n v="14"/>
    <s v="Alexandrino Sola de Sá Pato"/>
    <n v="438510503"/>
    <m/>
    <x v="3"/>
    <m/>
    <s v=""/>
    <m/>
    <m/>
    <x v="0"/>
    <x v="9"/>
    <n v="141240"/>
    <n v="25992"/>
    <n v="17"/>
    <n v="8"/>
    <n v="2"/>
    <n v="12"/>
    <n v="6"/>
    <n v="7"/>
    <d v="2022-07-23T00:00:00"/>
    <n v="2.5"/>
    <x v="5"/>
    <x v="0"/>
    <x v="0"/>
  </r>
  <r>
    <s v="Italia"/>
    <n v="13"/>
    <s v="Eligio Giorgetta"/>
    <n v="436942530"/>
    <m/>
    <x v="2"/>
    <m/>
    <s v=""/>
    <n v="1"/>
    <m/>
    <x v="1"/>
    <x v="10"/>
    <n v="136920"/>
    <n v="36684"/>
    <n v="101"/>
    <n v="9"/>
    <n v="4"/>
    <n v="20"/>
    <n v="6"/>
    <n v="7"/>
    <d v="2022-07-27T00:00:00"/>
    <n v="8"/>
    <x v="6"/>
    <x v="0"/>
    <x v="0"/>
  </r>
  <r>
    <s v="España"/>
    <n v="4"/>
    <s v="José David Pastor"/>
    <n v="438721721"/>
    <m/>
    <x v="2"/>
    <n v="1"/>
    <s v=""/>
    <m/>
    <m/>
    <x v="1"/>
    <x v="11"/>
    <n v="135480"/>
    <n v="16970"/>
    <n v="198"/>
    <n v="10"/>
    <n v="2"/>
    <n v="20"/>
    <n v="8"/>
    <n v="7"/>
    <d v="2022-07-23T00:00:00"/>
    <n v="9"/>
    <x v="5"/>
    <x v="0"/>
    <x v="0"/>
  </r>
  <r>
    <s v="Comoras"/>
    <n v="1"/>
    <s v="John Oluoch"/>
    <n v="439936362"/>
    <m/>
    <x v="1"/>
    <m/>
    <s v=""/>
    <m/>
    <m/>
    <x v="1"/>
    <x v="12"/>
    <n v="73050"/>
    <n v="37764"/>
    <n v="36"/>
    <n v="10"/>
    <n v="3"/>
    <n v="17"/>
    <n v="7"/>
    <n v="7"/>
    <d v="2022-07-23T00:00:00"/>
    <n v="10.5"/>
    <x v="1"/>
    <x v="0"/>
    <x v="0"/>
  </r>
  <r>
    <s v="Portugal"/>
    <n v="16"/>
    <s v="Mário Dionísio Mega"/>
    <n v="466263004"/>
    <m/>
    <x v="4"/>
    <m/>
    <s v=""/>
    <m/>
    <m/>
    <x v="3"/>
    <x v="13"/>
    <n v="9150"/>
    <n v="2964"/>
    <n v="8"/>
    <n v="1"/>
    <n v="4"/>
    <n v="8"/>
    <n v="7"/>
    <n v="8"/>
    <d v="2022-07-23T00:00:00"/>
    <n v="1"/>
    <x v="7"/>
    <x v="1"/>
    <x v="0"/>
  </r>
  <r>
    <s v="Grecia"/>
    <n v="15"/>
    <s v="Lakis Meletiou"/>
    <n v="467319271"/>
    <m/>
    <x v="4"/>
    <m/>
    <s v=""/>
    <m/>
    <m/>
    <x v="3"/>
    <x v="14"/>
    <n v="8900"/>
    <n v="1860"/>
    <n v="5"/>
    <n v="1"/>
    <n v="3"/>
    <n v="7"/>
    <n v="7"/>
    <n v="8"/>
    <d v="2022-07-23T00:00:00"/>
    <n v="1"/>
    <x v="2"/>
    <x v="1"/>
    <x v="0"/>
  </r>
  <r>
    <s v="Alemania"/>
    <n v="9"/>
    <s v="Hanning Fietze"/>
    <n v="429275176"/>
    <m/>
    <x v="2"/>
    <m/>
    <s v=""/>
    <m/>
    <m/>
    <x v="4"/>
    <x v="15"/>
    <n v="6330"/>
    <n v="6852"/>
    <n v="123"/>
    <n v="11"/>
    <n v="4"/>
    <n v="20"/>
    <n v="8"/>
    <n v="6"/>
    <d v="2022-07-23T00:00:00"/>
    <n v="9"/>
    <x v="2"/>
    <x v="0"/>
    <x v="0"/>
  </r>
  <r>
    <s v="Israel"/>
    <n v="19"/>
    <s v="Nehorai Dollberg"/>
    <n v="468503240"/>
    <m/>
    <x v="4"/>
    <m/>
    <s v=""/>
    <m/>
    <m/>
    <x v="5"/>
    <x v="16"/>
    <n v="5810"/>
    <n v="2100"/>
    <n v="9"/>
    <n v="1"/>
    <n v="3"/>
    <n v="9"/>
    <n v="7"/>
    <n v="8"/>
    <d v="2022-07-27T00:00:00"/>
    <n v="1.5"/>
    <x v="5"/>
    <x v="1"/>
    <x v="0"/>
  </r>
  <r>
    <s v="Panamá"/>
    <n v="21"/>
    <s v="Samuel Mendoza"/>
    <n v="465835919"/>
    <m/>
    <x v="4"/>
    <m/>
    <s v=""/>
    <m/>
    <n v="1"/>
    <x v="5"/>
    <x v="17"/>
    <n v="5630"/>
    <n v="2052"/>
    <n v="9"/>
    <n v="1"/>
    <n v="6"/>
    <n v="9"/>
    <n v="7"/>
    <n v="8"/>
    <d v="2022-07-23T00:00:00"/>
    <n v="1.5"/>
    <x v="5"/>
    <x v="1"/>
    <x v="0"/>
  </r>
  <r>
    <s v="Francia"/>
    <n v="20"/>
    <s v="Guillaume Mondésir"/>
    <n v="470220234"/>
    <m/>
    <x v="4"/>
    <m/>
    <s v=""/>
    <m/>
    <m/>
    <x v="6"/>
    <x v="18"/>
    <n v="5190"/>
    <n v="1620"/>
    <n v="2"/>
    <n v="1"/>
    <n v="4"/>
    <n v="5"/>
    <n v="6"/>
    <n v="6"/>
    <d v="2022-07-23T00:00:00"/>
    <n v="0"/>
    <x v="2"/>
    <x v="1"/>
    <x v="0"/>
  </r>
  <r>
    <s v="España"/>
    <n v="28"/>
    <s v="Rafael Hinojosa"/>
    <n v="456818063"/>
    <m/>
    <x v="4"/>
    <n v="1"/>
    <s v=""/>
    <m/>
    <m/>
    <x v="7"/>
    <x v="19"/>
    <n v="1250"/>
    <n v="430"/>
    <n v="86"/>
    <n v="2"/>
    <n v="3"/>
    <n v="20"/>
    <n v="5"/>
    <n v="8"/>
    <d v="2022-07-27T00:00:00"/>
    <n v="3"/>
    <x v="4"/>
    <x v="1"/>
    <x v="0"/>
  </r>
  <r>
    <s v="España"/>
    <n v="27"/>
    <s v="Félix Idígoras"/>
    <n v="436864344"/>
    <m/>
    <x v="0"/>
    <n v="1"/>
    <s v=""/>
    <n v="1"/>
    <m/>
    <x v="8"/>
    <x v="20"/>
    <n v="660"/>
    <n v="310"/>
    <n v="212"/>
    <n v="3"/>
    <n v="5"/>
    <n v="20"/>
    <n v="5"/>
    <n v="6"/>
    <d v="2022-07-27T00:00:00"/>
    <n v="4"/>
    <x v="7"/>
    <x v="1"/>
    <x v="0"/>
  </r>
  <r>
    <s v="España"/>
    <n v="29"/>
    <s v="Alberto Ciaurriz"/>
    <n v="469318336"/>
    <m/>
    <x v="1"/>
    <n v="1"/>
    <s v=""/>
    <m/>
    <m/>
    <x v="6"/>
    <x v="21"/>
    <n v="550"/>
    <n v="330"/>
    <n v="10"/>
    <n v="2"/>
    <n v="4"/>
    <n v="20"/>
    <n v="4"/>
    <n v="6"/>
    <d v="2022-07-27T00:00:00"/>
    <n v="2"/>
    <x v="5"/>
    <x v="1"/>
    <x v="0"/>
  </r>
  <r>
    <m/>
    <m/>
    <m/>
    <m/>
    <m/>
    <x v="5"/>
    <m/>
    <m/>
    <m/>
    <m/>
    <x v="9"/>
    <x v="22"/>
    <m/>
    <m/>
    <m/>
    <m/>
    <m/>
    <m/>
    <m/>
    <m/>
    <m/>
    <m/>
    <x v="8"/>
    <x v="2"/>
    <x v="1"/>
  </r>
  <r>
    <m/>
    <m/>
    <m/>
    <m/>
    <m/>
    <x v="5"/>
    <m/>
    <m/>
    <m/>
    <m/>
    <x v="9"/>
    <x v="22"/>
    <m/>
    <m/>
    <m/>
    <m/>
    <m/>
    <m/>
    <m/>
    <m/>
    <m/>
    <m/>
    <x v="8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Azerbaiyán"/>
    <n v="10"/>
    <s v="Fuad Acalov"/>
    <n v="434031677"/>
    <m/>
    <x v="0"/>
    <m/>
    <m/>
    <s v=""/>
    <m/>
    <n v="31"/>
    <n v="72"/>
    <n v="132260"/>
    <n v="38904"/>
    <n v="232"/>
    <n v="14"/>
    <n v="6"/>
    <n v="20"/>
    <n v="7"/>
    <n v="8"/>
    <d v="2022-07-27T00:00:00"/>
    <n v="10"/>
    <s v="MC"/>
    <x v="0"/>
    <x v="0"/>
    <m/>
  </r>
  <r>
    <s v="Portugal"/>
    <n v="4"/>
    <s v="Volodymyr Reznichenko"/>
    <n v="434407051"/>
    <m/>
    <x v="1"/>
    <m/>
    <m/>
    <s v=""/>
    <m/>
    <n v="31"/>
    <n v="76"/>
    <n v="126320"/>
    <n v="39336"/>
    <n v="232"/>
    <n v="12"/>
    <n v="7"/>
    <n v="20"/>
    <n v="7"/>
    <n v="8"/>
    <d v="2022-07-27T00:00:00"/>
    <n v="7.5"/>
    <s v="DC"/>
    <x v="0"/>
    <x v="0"/>
    <m/>
  </r>
  <r>
    <s v="Bulgaria"/>
    <m/>
    <s v="Alexander Dzhurov"/>
    <n v="433486520"/>
    <m/>
    <x v="2"/>
    <m/>
    <m/>
    <s v=""/>
    <m/>
    <n v="31"/>
    <n v="110"/>
    <n v="106490"/>
    <n v="27876"/>
    <n v="111"/>
    <n v="10"/>
    <n v="3"/>
    <n v="20"/>
    <n v="6"/>
    <n v="8"/>
    <d v="2022-07-23T00:00:00"/>
    <n v="8.5"/>
    <s v="MC"/>
    <x v="0"/>
    <x v="0"/>
    <m/>
  </r>
  <r>
    <s v="Bosnia y Herzegovina"/>
    <n v="6"/>
    <s v="Relja Bogunović"/>
    <n v="434462064"/>
    <m/>
    <x v="3"/>
    <m/>
    <m/>
    <s v=""/>
    <m/>
    <n v="31"/>
    <n v="88"/>
    <n v="102770"/>
    <n v="36000"/>
    <n v="227"/>
    <n v="12"/>
    <n v="5"/>
    <n v="20"/>
    <n v="6"/>
    <n v="8"/>
    <d v="2022-07-27T00:00:00"/>
    <n v="65"/>
    <s v="DC"/>
    <x v="0"/>
    <x v="0"/>
    <m/>
  </r>
  <r>
    <s v="Brasil"/>
    <n v="9"/>
    <s v="Jeanzinho Pequeno"/>
    <n v="433714630"/>
    <m/>
    <x v="0"/>
    <m/>
    <m/>
    <s v=""/>
    <m/>
    <n v="31"/>
    <n v="92"/>
    <n v="83590"/>
    <n v="36984"/>
    <n v="232"/>
    <n v="13"/>
    <n v="5"/>
    <n v="20"/>
    <n v="4"/>
    <n v="8"/>
    <d v="2022-07-27T00:00:00"/>
    <n v="7"/>
    <s v="MC"/>
    <x v="0"/>
    <x v="0"/>
    <m/>
  </r>
  <r>
    <s v="Alemania"/>
    <n v="11"/>
    <s v="Paulo Achinger"/>
    <n v="434425782"/>
    <m/>
    <x v="2"/>
    <m/>
    <n v="2"/>
    <s v=""/>
    <m/>
    <n v="31"/>
    <n v="87"/>
    <n v="81240"/>
    <n v="37668"/>
    <n v="232"/>
    <n v="12"/>
    <n v="4"/>
    <n v="20"/>
    <n v="5"/>
    <n v="8"/>
    <d v="2022-07-27T00:00:00"/>
    <n v="8"/>
    <s v="MC"/>
    <x v="0"/>
    <x v="0"/>
    <m/>
  </r>
  <r>
    <s v="Francia"/>
    <n v="7"/>
    <s v="Iskander Baris"/>
    <n v="434025904"/>
    <m/>
    <x v="3"/>
    <m/>
    <m/>
    <s v=""/>
    <m/>
    <n v="32"/>
    <n v="0"/>
    <n v="73520"/>
    <n v="30528"/>
    <n v="233"/>
    <n v="13"/>
    <n v="2"/>
    <n v="20"/>
    <n v="5"/>
    <n v="7"/>
    <d v="2022-07-27T00:00:00"/>
    <n v="5.5"/>
    <s v="DC"/>
    <x v="0"/>
    <x v="0"/>
    <m/>
  </r>
  <r>
    <s v="Eslovenia"/>
    <m/>
    <s v="Žan Luka Škrbina"/>
    <n v="434477424"/>
    <m/>
    <x v="3"/>
    <m/>
    <m/>
    <s v=""/>
    <m/>
    <n v="31"/>
    <n v="110"/>
    <n v="72270"/>
    <n v="11340"/>
    <n v="83"/>
    <n v="11"/>
    <n v="5"/>
    <n v="20"/>
    <n v="5"/>
    <n v="8"/>
    <d v="2022-07-23T00:00:00"/>
    <n v="7"/>
    <s v="DC"/>
    <x v="0"/>
    <x v="0"/>
    <m/>
  </r>
  <r>
    <s v="Serbia"/>
    <n v="1"/>
    <s v="Nemanja Vidaković"/>
    <n v="431872768"/>
    <m/>
    <x v="4"/>
    <m/>
    <m/>
    <s v=""/>
    <m/>
    <n v="32"/>
    <n v="51"/>
    <n v="49680"/>
    <n v="23628"/>
    <n v="145"/>
    <n v="12"/>
    <n v="5"/>
    <n v="20"/>
    <n v="6"/>
    <n v="7"/>
    <d v="2022-07-16T00:00:00"/>
    <n v="9"/>
    <s v="POR"/>
    <x v="0"/>
    <x v="0"/>
    <m/>
  </r>
  <r>
    <s v="Irán"/>
    <n v="14"/>
    <s v="Gnel Saginyan"/>
    <n v="431840182"/>
    <m/>
    <x v="0"/>
    <m/>
    <m/>
    <s v=""/>
    <m/>
    <n v="32"/>
    <n v="71"/>
    <n v="49380"/>
    <n v="10872"/>
    <n v="207"/>
    <n v="12"/>
    <n v="5"/>
    <n v="20"/>
    <n v="8"/>
    <n v="8"/>
    <d v="2022-07-27T00:00:00"/>
    <n v="7.5"/>
    <s v="LI"/>
    <x v="0"/>
    <x v="0"/>
    <m/>
  </r>
  <r>
    <s v="Bulgaria"/>
    <n v="5"/>
    <s v="Nihat Paksu"/>
    <n v="434959598"/>
    <m/>
    <x v="1"/>
    <m/>
    <n v="1"/>
    <s v=""/>
    <m/>
    <n v="31"/>
    <n v="62"/>
    <n v="39700"/>
    <n v="9972"/>
    <n v="226"/>
    <n v="11"/>
    <n v="4"/>
    <n v="20"/>
    <n v="6"/>
    <n v="8"/>
    <d v="2022-07-23T00:00:00"/>
    <n v="7.5"/>
    <s v="MC"/>
    <x v="0"/>
    <x v="0"/>
    <m/>
  </r>
  <r>
    <s v="España"/>
    <n v="3"/>
    <s v="Felipe García"/>
    <n v="434933863"/>
    <m/>
    <x v="3"/>
    <m/>
    <m/>
    <s v=""/>
    <m/>
    <n v="32"/>
    <n v="75"/>
    <n v="32750"/>
    <n v="6300"/>
    <n v="225"/>
    <n v="12"/>
    <n v="3"/>
    <n v="20"/>
    <n v="7"/>
    <n v="8"/>
    <d v="2022-07-27T00:00:00"/>
    <n v="5.5"/>
    <s v="EI"/>
    <x v="0"/>
    <x v="0"/>
    <m/>
  </r>
  <r>
    <s v="España"/>
    <n v="2"/>
    <s v="Caetano Ousa"/>
    <n v="434808807"/>
    <m/>
    <x v="0"/>
    <m/>
    <m/>
    <s v=""/>
    <m/>
    <n v="32"/>
    <n v="0"/>
    <n v="28210"/>
    <n v="5520"/>
    <n v="227"/>
    <n v="12"/>
    <n v="5"/>
    <n v="20"/>
    <n v="6"/>
    <n v="8"/>
    <d v="2022-07-27T00:00:00"/>
    <n v="5.5"/>
    <s v="ED"/>
    <x v="0"/>
    <x v="0"/>
    <m/>
  </r>
  <r>
    <s v="Alemania"/>
    <m/>
    <s v="Marcus Oldershausen"/>
    <n v="434715103"/>
    <m/>
    <x v="0"/>
    <m/>
    <m/>
    <s v=""/>
    <m/>
    <n v="31"/>
    <n v="39"/>
    <n v="22080"/>
    <n v="3360"/>
    <n v="105"/>
    <n v="9"/>
    <n v="1"/>
    <n v="20"/>
    <n v="5"/>
    <n v="7"/>
    <d v="2022-07-13T00:00:00"/>
    <n v="7"/>
    <s v="DC"/>
    <x v="0"/>
    <x v="0"/>
    <m/>
  </r>
  <r>
    <s v="España"/>
    <m/>
    <s v="Josep Maria Altarriba"/>
    <n v="436566058"/>
    <m/>
    <x v="4"/>
    <m/>
    <m/>
    <s v=""/>
    <m/>
    <n v="31"/>
    <n v="4"/>
    <n v="16340"/>
    <n v="3370"/>
    <n v="69"/>
    <n v="8"/>
    <n v="3"/>
    <n v="20"/>
    <n v="8"/>
    <n v="8"/>
    <d v="2022-07-23T00:00:00"/>
    <n v="6.5"/>
    <s v="POR"/>
    <x v="1"/>
    <x v="0"/>
    <m/>
  </r>
  <r>
    <s v="Suiza"/>
    <n v="13"/>
    <s v="Ludger Vonach"/>
    <n v="434460183"/>
    <m/>
    <x v="1"/>
    <m/>
    <m/>
    <s v=""/>
    <m/>
    <n v="31"/>
    <n v="92"/>
    <n v="7000"/>
    <n v="2016"/>
    <n v="225"/>
    <n v="4"/>
    <n v="3"/>
    <n v="20"/>
    <n v="7"/>
    <n v="8"/>
    <d v="2022-07-27T00:00:00"/>
    <n v="5"/>
    <s v="MC"/>
    <x v="1"/>
    <x v="0"/>
    <m/>
  </r>
  <r>
    <s v="España"/>
    <n v="19"/>
    <s v="Paskoal Oñaberri"/>
    <n v="431959989"/>
    <m/>
    <x v="0"/>
    <m/>
    <m/>
    <s v=""/>
    <m/>
    <n v="33"/>
    <n v="35"/>
    <n v="4810"/>
    <n v="2030"/>
    <n v="224"/>
    <n v="7"/>
    <n v="5"/>
    <n v="20"/>
    <n v="6"/>
    <n v="8"/>
    <d v="2022-07-27T00:00:00"/>
    <n v="6"/>
    <s v="LD"/>
    <x v="1"/>
    <x v="0"/>
    <m/>
  </r>
  <r>
    <s v="Eslovenia"/>
    <n v="8"/>
    <s v="Oto Rejc"/>
    <n v="434422120"/>
    <m/>
    <x v="0"/>
    <m/>
    <m/>
    <s v=""/>
    <m/>
    <n v="31"/>
    <n v="98"/>
    <n v="4100"/>
    <n v="972"/>
    <n v="232"/>
    <n v="4"/>
    <n v="5"/>
    <n v="20"/>
    <n v="7"/>
    <n v="8"/>
    <d v="2022-07-23T00:00:00"/>
    <n v="5"/>
    <s v="DEL"/>
    <x v="1"/>
    <x v="0"/>
    <m/>
  </r>
  <r>
    <s v="España"/>
    <m/>
    <s v="Xavi Artiga"/>
    <n v="470798539"/>
    <m/>
    <x v="4"/>
    <n v="1"/>
    <m/>
    <s v=""/>
    <n v="1"/>
    <n v="17"/>
    <n v="102"/>
    <n v="750"/>
    <n v="290"/>
    <n v="1"/>
    <n v="2"/>
    <n v="1"/>
    <n v="20"/>
    <n v="6"/>
    <n v="5"/>
    <d v="2022-07-20T00:00:00"/>
    <n v="3.5"/>
    <s v="ED"/>
    <x v="1"/>
    <x v="0"/>
    <m/>
  </r>
  <r>
    <s v="España"/>
    <n v="36"/>
    <s v="Crispin Deans"/>
    <n v="424198468"/>
    <m/>
    <x v="1"/>
    <n v="1"/>
    <m/>
    <s v=""/>
    <m/>
    <n v="40"/>
    <n v="20"/>
    <n v="0"/>
    <n v="260"/>
    <n v="292"/>
    <n v="5"/>
    <n v="4"/>
    <n v="20"/>
    <n v="3"/>
    <n v="3"/>
    <d v="2022-07-27T00:00:00"/>
    <n v="5"/>
    <s v="POR"/>
    <x v="1"/>
    <x v="0"/>
    <m/>
  </r>
  <r>
    <s v="Honduras"/>
    <m/>
    <s v="Francisco Miguel Andrea"/>
    <n v="407065238"/>
    <n v="1"/>
    <x v="3"/>
    <n v="1"/>
    <m/>
    <s v=""/>
    <m/>
    <n v="43"/>
    <n v="18"/>
    <n v="0"/>
    <n v="300"/>
    <n v="16"/>
    <n v="1"/>
    <n v="7"/>
    <n v="20"/>
    <n v="3"/>
    <n v="2"/>
    <d v="2015-04-27T00:00:00"/>
    <n v="3.5"/>
    <s v="DC"/>
    <x v="1"/>
    <x v="0"/>
    <m/>
  </r>
  <r>
    <m/>
    <m/>
    <m/>
    <m/>
    <m/>
    <x v="5"/>
    <m/>
    <m/>
    <m/>
    <m/>
    <m/>
    <m/>
    <m/>
    <m/>
    <m/>
    <m/>
    <m/>
    <m/>
    <m/>
    <m/>
    <m/>
    <m/>
    <m/>
    <x v="1"/>
    <x v="1"/>
    <m/>
  </r>
  <r>
    <m/>
    <m/>
    <m/>
    <m/>
    <m/>
    <x v="5"/>
    <m/>
    <m/>
    <m/>
    <m/>
    <m/>
    <m/>
    <m/>
    <m/>
    <m/>
    <m/>
    <m/>
    <m/>
    <m/>
    <m/>
    <m/>
    <m/>
    <m/>
    <x v="1"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Italia"/>
    <m/>
    <s v="Andrea Mazziotta"/>
    <n v="435816080"/>
    <m/>
    <x v="0"/>
    <m/>
    <m/>
    <m/>
    <s v=""/>
    <n v="30"/>
    <n v="92"/>
    <n v="256700"/>
    <n v="37752"/>
    <n v="86"/>
    <n v="12"/>
    <n v="4"/>
    <n v="20"/>
    <n v="7"/>
    <n v="8"/>
    <d v="2022-07-27T00:00:00"/>
    <n v="85"/>
    <s v="ED"/>
    <x v="0"/>
    <x v="0"/>
    <m/>
  </r>
  <r>
    <s v="España"/>
    <m/>
    <s v="Víctor Vasa"/>
    <n v="437682998"/>
    <m/>
    <x v="1"/>
    <n v="1"/>
    <m/>
    <m/>
    <s v=""/>
    <n v="29"/>
    <n v="104"/>
    <n v="166600"/>
    <n v="17260"/>
    <n v="206"/>
    <n v="12"/>
    <n v="4"/>
    <n v="20"/>
    <n v="8"/>
    <n v="8"/>
    <d v="2022-07-27T00:00:00"/>
    <n v="105"/>
    <s v="MC"/>
    <x v="0"/>
    <x v="0"/>
    <m/>
  </r>
  <r>
    <s v="España"/>
    <m/>
    <s v="Joaquín Olazábal Solís"/>
    <n v="435350188"/>
    <m/>
    <x v="0"/>
    <n v="1"/>
    <m/>
    <m/>
    <s v=""/>
    <n v="31"/>
    <n v="9"/>
    <n v="129900"/>
    <n v="22560"/>
    <n v="225"/>
    <n v="11"/>
    <n v="6"/>
    <n v="20"/>
    <n v="8"/>
    <n v="8"/>
    <d v="2022-07-27T00:00:00"/>
    <n v="11"/>
    <s v="MC"/>
    <x v="0"/>
    <x v="0"/>
    <m/>
  </r>
  <r>
    <s v="España"/>
    <n v="5"/>
    <s v="Lauro Barandela"/>
    <n v="428964423"/>
    <m/>
    <x v="2"/>
    <n v="1"/>
    <m/>
    <m/>
    <s v=""/>
    <n v="33"/>
    <n v="42"/>
    <n v="92060"/>
    <n v="30090"/>
    <n v="262"/>
    <n v="14"/>
    <n v="3"/>
    <n v="20"/>
    <n v="7"/>
    <n v="8"/>
    <d v="2022-07-23T00:00:00"/>
    <n v="11"/>
    <s v="MC"/>
    <x v="0"/>
    <x v="0"/>
    <m/>
  </r>
  <r>
    <s v="España"/>
    <m/>
    <s v="Xesc Ferriols"/>
    <n v="442335004"/>
    <m/>
    <x v="0"/>
    <m/>
    <m/>
    <m/>
    <s v=""/>
    <n v="28"/>
    <n v="29"/>
    <n v="73400"/>
    <n v="35480"/>
    <n v="114"/>
    <n v="4"/>
    <n v="4"/>
    <n v="20"/>
    <n v="4"/>
    <n v="9"/>
    <d v="2022-07-23T00:00:00"/>
    <n v="25"/>
    <s v="DC"/>
    <x v="0"/>
    <x v="0"/>
    <m/>
  </r>
  <r>
    <s v="España"/>
    <n v="4"/>
    <s v="Juan Raúl González Bárcena"/>
    <n v="434388447"/>
    <m/>
    <x v="3"/>
    <n v="1"/>
    <m/>
    <n v="3"/>
    <s v=""/>
    <n v="31"/>
    <n v="64"/>
    <n v="72720"/>
    <n v="10950"/>
    <n v="233"/>
    <n v="8"/>
    <n v="4"/>
    <n v="20"/>
    <n v="6"/>
    <n v="8"/>
    <d v="2022-07-27T00:00:00"/>
    <n v="65"/>
    <s v="LI"/>
    <x v="0"/>
    <x v="0"/>
    <m/>
  </r>
  <r>
    <s v="España"/>
    <m/>
    <s v="Tomás Triana"/>
    <n v="435294829"/>
    <m/>
    <x v="1"/>
    <m/>
    <m/>
    <m/>
    <s v=""/>
    <n v="31"/>
    <n v="69"/>
    <n v="69210"/>
    <n v="7850"/>
    <n v="175"/>
    <n v="8"/>
    <n v="1"/>
    <n v="20"/>
    <n v="7"/>
    <n v="8"/>
    <d v="2022-07-27T00:00:00"/>
    <n v="7"/>
    <s v="LD"/>
    <x v="0"/>
    <x v="0"/>
    <m/>
  </r>
  <r>
    <s v="España"/>
    <m/>
    <s v="Salvador Monllau"/>
    <n v="432169917"/>
    <m/>
    <x v="1"/>
    <m/>
    <m/>
    <m/>
    <s v=""/>
    <n v="32"/>
    <n v="27"/>
    <n v="50380"/>
    <n v="12620"/>
    <n v="159"/>
    <n v="11"/>
    <n v="5"/>
    <n v="20"/>
    <n v="7"/>
    <n v="8"/>
    <d v="2022-07-27T00:00:00"/>
    <n v="11"/>
    <s v="DEL"/>
    <x v="0"/>
    <x v="0"/>
    <m/>
  </r>
  <r>
    <s v="Brasil"/>
    <m/>
    <s v="Maximiliano Veber"/>
    <n v="431152208"/>
    <m/>
    <x v="4"/>
    <m/>
    <m/>
    <m/>
    <s v=""/>
    <n v="32"/>
    <n v="79"/>
    <n v="47190"/>
    <n v="16320"/>
    <n v="20"/>
    <n v="11"/>
    <n v="5"/>
    <n v="13"/>
    <n v="7"/>
    <n v="8"/>
    <d v="2022-07-27T00:00:00"/>
    <n v="95"/>
    <s v="DEL"/>
    <x v="0"/>
    <x v="0"/>
    <m/>
  </r>
  <r>
    <s v="España"/>
    <m/>
    <s v="Raúl Galquio"/>
    <n v="435756737"/>
    <m/>
    <x v="3"/>
    <n v="1"/>
    <m/>
    <m/>
    <s v=""/>
    <n v="31"/>
    <n v="56"/>
    <n v="47140"/>
    <n v="5190"/>
    <n v="221"/>
    <n v="8"/>
    <n v="4"/>
    <n v="20"/>
    <n v="7"/>
    <n v="8"/>
    <d v="2022-07-27T00:00:00"/>
    <n v="7"/>
    <s v="EI"/>
    <x v="0"/>
    <x v="0"/>
    <m/>
  </r>
  <r>
    <s v="España"/>
    <n v="6"/>
    <s v="Jorge Durandio"/>
    <n v="425551707"/>
    <m/>
    <x v="0"/>
    <n v="1"/>
    <m/>
    <m/>
    <s v=""/>
    <n v="34"/>
    <n v="107"/>
    <n v="45540"/>
    <n v="22210"/>
    <n v="287"/>
    <n v="14"/>
    <n v="4"/>
    <n v="20"/>
    <n v="7"/>
    <n v="7"/>
    <d v="2022-07-23T00:00:00"/>
    <n v="85"/>
    <s v="ED"/>
    <x v="0"/>
    <x v="0"/>
    <m/>
  </r>
  <r>
    <s v="España"/>
    <m/>
    <s v="Alejandro del Pino García"/>
    <n v="436695906"/>
    <m/>
    <x v="1"/>
    <m/>
    <m/>
    <m/>
    <s v=""/>
    <n v="31"/>
    <n v="16"/>
    <n v="42430"/>
    <n v="14170"/>
    <n v="144"/>
    <n v="10"/>
    <n v="5"/>
    <n v="20"/>
    <n v="5"/>
    <n v="8"/>
    <d v="2022-07-27T00:00:00"/>
    <n v="85"/>
    <s v="DEL"/>
    <x v="0"/>
    <x v="0"/>
    <m/>
  </r>
  <r>
    <s v="Suiza"/>
    <m/>
    <s v="James Ancelot"/>
    <n v="439421251"/>
    <m/>
    <x v="4"/>
    <m/>
    <m/>
    <m/>
    <s v=""/>
    <n v="29"/>
    <n v="29"/>
    <n v="39830"/>
    <n v="14772"/>
    <n v="76"/>
    <n v="8"/>
    <n v="3"/>
    <n v="20"/>
    <n v="6"/>
    <n v="8"/>
    <d v="2022-07-23T00:00:00"/>
    <n v="7"/>
    <s v="POR"/>
    <x v="0"/>
    <x v="0"/>
    <m/>
  </r>
  <r>
    <s v="España"/>
    <n v="3"/>
    <s v="Pablo Berástegui"/>
    <n v="424287978"/>
    <m/>
    <x v="3"/>
    <n v="1"/>
    <m/>
    <m/>
    <s v=""/>
    <n v="35"/>
    <n v="24"/>
    <n v="36670"/>
    <n v="12630"/>
    <n v="291"/>
    <n v="14"/>
    <n v="4"/>
    <n v="20"/>
    <n v="7"/>
    <n v="7"/>
    <d v="2022-07-23T00:00:00"/>
    <n v="6"/>
    <s v="LI"/>
    <x v="0"/>
    <x v="0"/>
    <m/>
  </r>
  <r>
    <s v="España"/>
    <n v="1"/>
    <s v="Javier Manuel Vázquez"/>
    <n v="424047074"/>
    <m/>
    <x v="3"/>
    <n v="1"/>
    <m/>
    <m/>
    <s v=""/>
    <n v="35"/>
    <n v="42"/>
    <n v="35800"/>
    <n v="12430"/>
    <n v="293"/>
    <n v="15"/>
    <n v="3"/>
    <n v="20"/>
    <n v="7"/>
    <n v="7"/>
    <d v="2022-07-23T00:00:00"/>
    <n v="65"/>
    <s v="LD"/>
    <x v="0"/>
    <x v="0"/>
    <m/>
  </r>
  <r>
    <s v="España"/>
    <m/>
    <s v="Liviu Bran"/>
    <n v="425348003"/>
    <m/>
    <x v="1"/>
    <m/>
    <m/>
    <m/>
    <s v=""/>
    <n v="35"/>
    <n v="5"/>
    <n v="30070"/>
    <n v="9570"/>
    <n v="174"/>
    <n v="13"/>
    <n v="2"/>
    <n v="20"/>
    <n v="7"/>
    <n v="7"/>
    <d v="2022-07-23T00:00:00"/>
    <n v="85"/>
    <s v="EI"/>
    <x v="0"/>
    <x v="0"/>
    <m/>
  </r>
  <r>
    <s v="España"/>
    <m/>
    <s v="Gonzalo Porcuna"/>
    <n v="461301434"/>
    <m/>
    <x v="1"/>
    <n v="1"/>
    <m/>
    <m/>
    <s v=""/>
    <n v="20"/>
    <n v="58"/>
    <n v="25450"/>
    <n v="3730"/>
    <n v="56"/>
    <n v="2"/>
    <n v="7"/>
    <n v="20"/>
    <n v="7"/>
    <n v="9"/>
    <d v="2022-07-27T00:00:00"/>
    <n v="65"/>
    <s v="MC"/>
    <x v="0"/>
    <x v="0"/>
    <m/>
  </r>
  <r>
    <s v="España"/>
    <m/>
    <s v="Hugo Figueras"/>
    <n v="431230656"/>
    <m/>
    <x v="3"/>
    <m/>
    <n v="1"/>
    <m/>
    <s v=""/>
    <n v="33"/>
    <n v="2"/>
    <n v="13410"/>
    <n v="12170"/>
    <n v="114"/>
    <n v="8"/>
    <n v="3"/>
    <n v="20"/>
    <n v="5"/>
    <n v="8"/>
    <d v="2022-07-23T00:00:00"/>
    <n v="35"/>
    <s v="DC"/>
    <x v="0"/>
    <x v="0"/>
    <m/>
  </r>
  <r>
    <s v="España"/>
    <m/>
    <s v="Daniel Labayen Aranzabe"/>
    <n v="425763529"/>
    <m/>
    <x v="2"/>
    <m/>
    <m/>
    <m/>
    <s v=""/>
    <n v="34"/>
    <n v="98"/>
    <n v="6310"/>
    <n v="9950"/>
    <n v="194"/>
    <n v="13"/>
    <n v="5"/>
    <n v="20"/>
    <n v="6"/>
    <n v="7"/>
    <d v="2022-07-27T00:00:00"/>
    <n v="8"/>
    <s v="POR"/>
    <x v="1"/>
    <x v="0"/>
    <m/>
  </r>
  <r>
    <s v="España"/>
    <m/>
    <s v="José Porcel"/>
    <n v="461786415"/>
    <m/>
    <x v="1"/>
    <n v="1"/>
    <m/>
    <m/>
    <s v=""/>
    <n v="20"/>
    <n v="29"/>
    <n v="5360"/>
    <n v="1270"/>
    <n v="50"/>
    <n v="2"/>
    <n v="2"/>
    <n v="20"/>
    <n v="4"/>
    <n v="9"/>
    <d v="2022-07-23T00:00:00"/>
    <n v="45"/>
    <s v="MC"/>
    <x v="1"/>
    <x v="0"/>
    <m/>
  </r>
  <r>
    <s v="España"/>
    <m/>
    <s v="Gonzalo Vázquez"/>
    <n v="447466242"/>
    <m/>
    <x v="0"/>
    <n v="1"/>
    <m/>
    <m/>
    <s v=""/>
    <n v="26"/>
    <n v="73"/>
    <n v="2970"/>
    <n v="510"/>
    <n v="139"/>
    <n v="2"/>
    <n v="5"/>
    <n v="20"/>
    <n v="8"/>
    <n v="9"/>
    <d v="2022-07-23T00:00:00"/>
    <n v="5"/>
    <s v="DEL"/>
    <x v="1"/>
    <x v="0"/>
    <m/>
  </r>
  <r>
    <s v="España"/>
    <m/>
    <s v="Juan Jesús de Oro"/>
    <n v="444830705"/>
    <m/>
    <x v="2"/>
    <n v="1"/>
    <m/>
    <m/>
    <s v=""/>
    <n v="27"/>
    <n v="30"/>
    <n v="1640"/>
    <n v="370"/>
    <n v="155"/>
    <n v="2"/>
    <n v="4"/>
    <n v="20"/>
    <n v="4"/>
    <n v="8"/>
    <d v="2022-07-20T00:00:00"/>
    <n v="3"/>
    <s v="DEL"/>
    <x v="1"/>
    <x v="0"/>
    <m/>
  </r>
  <r>
    <s v="España"/>
    <m/>
    <s v="Eilo Enderika"/>
    <n v="416592860"/>
    <m/>
    <x v="1"/>
    <m/>
    <m/>
    <m/>
    <s v=""/>
    <n v="39"/>
    <n v="23"/>
    <n v="1210"/>
    <n v="570"/>
    <n v="71"/>
    <n v="11"/>
    <n v="6"/>
    <n v="20"/>
    <n v="6"/>
    <n v="3"/>
    <d v="2022-06-29T00:00:00"/>
    <n v="1"/>
    <s v="LI"/>
    <x v="1"/>
    <x v="0"/>
    <m/>
  </r>
  <r>
    <s v="España"/>
    <m/>
    <s v="Marcial Briz"/>
    <n v="470786338"/>
    <m/>
    <x v="3"/>
    <n v="1"/>
    <m/>
    <m/>
    <s v=""/>
    <n v="17"/>
    <n v="73"/>
    <n v="940"/>
    <n v="310"/>
    <n v="1"/>
    <n v="2"/>
    <n v="4"/>
    <n v="20"/>
    <n v="5"/>
    <n v="5"/>
    <d v="2022-07-23T00:00:00"/>
    <n v="3"/>
    <s v="DC"/>
    <x v="1"/>
    <x v="0"/>
    <m/>
  </r>
  <r>
    <s v="Suiza"/>
    <m/>
    <s v="Fortunat Kauth"/>
    <n v="334269782"/>
    <n v="1"/>
    <x v="4"/>
    <m/>
    <m/>
    <m/>
    <s v=""/>
    <n v="52"/>
    <n v="17"/>
    <n v="0"/>
    <n v="300"/>
    <n v="240"/>
    <n v="15"/>
    <n v="5"/>
    <n v="20"/>
    <n v="2"/>
    <n v="2"/>
    <d v="2018-10-24T00:00:00"/>
    <n v="5"/>
    <s v="MC"/>
    <x v="1"/>
    <x v="0"/>
    <m/>
  </r>
  <r>
    <m/>
    <m/>
    <m/>
    <m/>
    <m/>
    <x v="5"/>
    <m/>
    <m/>
    <m/>
    <m/>
    <m/>
    <m/>
    <m/>
    <m/>
    <m/>
    <m/>
    <m/>
    <m/>
    <m/>
    <m/>
    <m/>
    <m/>
    <m/>
    <x v="1"/>
    <x v="1"/>
    <m/>
  </r>
  <r>
    <m/>
    <m/>
    <m/>
    <m/>
    <m/>
    <x v="5"/>
    <m/>
    <m/>
    <m/>
    <m/>
    <m/>
    <m/>
    <m/>
    <m/>
    <m/>
    <m/>
    <m/>
    <m/>
    <m/>
    <m/>
    <m/>
    <m/>
    <m/>
    <x v="1"/>
    <x v="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España"/>
    <s v=""/>
    <s v="Valentín Vuelta"/>
    <n v="435465952"/>
    <m/>
    <x v="0"/>
    <m/>
    <m/>
    <n v="1"/>
    <s v=""/>
    <n v="31"/>
    <n v="5"/>
    <n v="311540"/>
    <n v="58110"/>
    <n v="222"/>
    <n v="13"/>
    <n v="4"/>
    <n v="20"/>
    <n v="6"/>
    <n v="8"/>
    <d v="2022-07-27T00:00:00"/>
    <n v="105"/>
    <s v="MC"/>
    <x v="0"/>
    <x v="0"/>
    <m/>
  </r>
  <r>
    <s v="España"/>
    <s v=""/>
    <s v="José Ramón Espés"/>
    <n v="435305632"/>
    <m/>
    <x v="0"/>
    <m/>
    <m/>
    <m/>
    <s v=""/>
    <n v="31"/>
    <n v="12"/>
    <n v="293510"/>
    <n v="59990"/>
    <n v="146"/>
    <n v="14"/>
    <n v="5"/>
    <n v="20"/>
    <n v="7"/>
    <n v="8"/>
    <d v="2022-07-27T00:00:00"/>
    <n v="11"/>
    <s v="MC"/>
    <x v="0"/>
    <x v="0"/>
    <m/>
  </r>
  <r>
    <s v="Alemania"/>
    <s v=""/>
    <s v="Marc Santander"/>
    <n v="433807278"/>
    <m/>
    <x v="1"/>
    <m/>
    <m/>
    <m/>
    <s v=""/>
    <n v="31"/>
    <n v="88"/>
    <n v="117970"/>
    <n v="21780"/>
    <n v="0"/>
    <n v="13"/>
    <n v="4"/>
    <n v="3"/>
    <n v="8"/>
    <n v="7"/>
    <d v="2022-07-27T00:00:00"/>
    <n v="85"/>
    <s v="DC"/>
    <x v="0"/>
    <x v="0"/>
    <m/>
  </r>
  <r>
    <s v="Holanda"/>
    <s v=""/>
    <s v="Jurrie Wezeman"/>
    <n v="436903655"/>
    <m/>
    <x v="2"/>
    <m/>
    <m/>
    <m/>
    <s v=""/>
    <n v="30"/>
    <n v="28"/>
    <n v="116210"/>
    <n v="19344"/>
    <n v="1"/>
    <n v="8"/>
    <n v="2"/>
    <n v="3"/>
    <n v="7"/>
    <n v="7"/>
    <d v="2022-07-27T00:00:00"/>
    <n v="8"/>
    <s v="MC"/>
    <x v="0"/>
    <x v="0"/>
    <m/>
  </r>
  <r>
    <s v="España"/>
    <s v=""/>
    <s v="Cristi Răducă"/>
    <n v="428042425"/>
    <m/>
    <x v="3"/>
    <m/>
    <m/>
    <m/>
    <s v=""/>
    <n v="33"/>
    <n v="91"/>
    <n v="81540"/>
    <n v="13270"/>
    <n v="0"/>
    <n v="14"/>
    <n v="5"/>
    <n v="3"/>
    <n v="6"/>
    <n v="7"/>
    <d v="2022-07-27T00:00:00"/>
    <n v="75"/>
    <s v="ED"/>
    <x v="0"/>
    <x v="0"/>
    <m/>
  </r>
  <r>
    <s v="Japón"/>
    <s v=""/>
    <s v="賢士 (Kenji) 岩崎 (Iwasaki)"/>
    <n v="430896706"/>
    <m/>
    <x v="0"/>
    <m/>
    <m/>
    <m/>
    <s v=""/>
    <n v="32"/>
    <n v="96"/>
    <n v="73510"/>
    <n v="16920"/>
    <n v="49"/>
    <n v="10"/>
    <n v="6"/>
    <n v="20"/>
    <n v="8"/>
    <n v="8"/>
    <d v="2022-07-27T00:00:00"/>
    <n v="9"/>
    <s v="DC"/>
    <x v="0"/>
    <x v="0"/>
    <m/>
  </r>
  <r>
    <s v="Bélgica"/>
    <s v=""/>
    <s v="Cecil Debackere"/>
    <n v="424276729"/>
    <m/>
    <x v="3"/>
    <m/>
    <m/>
    <m/>
    <s v=""/>
    <n v="35"/>
    <n v="26"/>
    <n v="61190"/>
    <n v="18408"/>
    <n v="1"/>
    <n v="15"/>
    <n v="4"/>
    <n v="4"/>
    <n v="7"/>
    <n v="5"/>
    <d v="2022-07-27T00:00:00"/>
    <n v="9"/>
    <s v="POR"/>
    <x v="0"/>
    <x v="0"/>
    <m/>
  </r>
  <r>
    <s v="Holanda"/>
    <s v=""/>
    <s v="Kenneth Ooms"/>
    <n v="429013734"/>
    <m/>
    <x v="1"/>
    <m/>
    <m/>
    <m/>
    <s v=""/>
    <n v="33"/>
    <n v="68"/>
    <n v="55090"/>
    <n v="22104"/>
    <n v="0"/>
    <n v="13"/>
    <n v="4"/>
    <n v="3"/>
    <n v="7"/>
    <n v="7"/>
    <d v="2022-07-27T00:00:00"/>
    <n v="9"/>
    <s v="DC"/>
    <x v="0"/>
    <x v="0"/>
    <m/>
  </r>
  <r>
    <s v="República Checa"/>
    <s v=""/>
    <s v="Robin Jupa"/>
    <n v="433207304"/>
    <m/>
    <x v="1"/>
    <m/>
    <m/>
    <m/>
    <s v=""/>
    <n v="32"/>
    <n v="9"/>
    <n v="50710"/>
    <n v="14052"/>
    <n v="1"/>
    <n v="10"/>
    <n v="5"/>
    <n v="4"/>
    <n v="8"/>
    <n v="6"/>
    <d v="2022-07-27T00:00:00"/>
    <n v="8"/>
    <s v="LI"/>
    <x v="0"/>
    <x v="0"/>
    <m/>
  </r>
  <r>
    <s v="Argentina"/>
    <s v=""/>
    <s v="Raúl Eduardo Sisalli"/>
    <n v="426083825"/>
    <m/>
    <x v="0"/>
    <m/>
    <m/>
    <m/>
    <s v=""/>
    <n v="34"/>
    <n v="89"/>
    <n v="39920"/>
    <n v="22476"/>
    <n v="131"/>
    <n v="13"/>
    <n v="3"/>
    <n v="20"/>
    <n v="8"/>
    <n v="7"/>
    <d v="2022-07-27T00:00:00"/>
    <n v="85"/>
    <s v="EI"/>
    <x v="0"/>
    <x v="0"/>
    <m/>
  </r>
  <r>
    <s v="Argentina"/>
    <s v=""/>
    <s v="Ulf Kelberger"/>
    <n v="427940588"/>
    <m/>
    <x v="3"/>
    <m/>
    <m/>
    <m/>
    <s v=""/>
    <n v="33"/>
    <n v="100"/>
    <n v="36950"/>
    <n v="12060"/>
    <n v="1"/>
    <n v="14"/>
    <n v="4"/>
    <n v="4"/>
    <n v="8"/>
    <n v="7"/>
    <d v="2022-07-27T00:00:00"/>
    <n v="8"/>
    <s v="LD"/>
    <x v="0"/>
    <x v="0"/>
    <m/>
  </r>
  <r>
    <s v="España"/>
    <s v=""/>
    <s v="Gerard Xiol"/>
    <n v="435691290"/>
    <m/>
    <x v="3"/>
    <n v="1"/>
    <m/>
    <m/>
    <s v=""/>
    <n v="30"/>
    <n v="107"/>
    <n v="18660"/>
    <n v="1690"/>
    <n v="222"/>
    <n v="4"/>
    <n v="5"/>
    <n v="20"/>
    <n v="8"/>
    <n v="8"/>
    <d v="2022-07-23T00:00:00"/>
    <n v="6"/>
    <s v="EI"/>
    <x v="0"/>
    <x v="0"/>
    <m/>
  </r>
  <r>
    <s v="España"/>
    <s v=""/>
    <s v="Juan Alarcón"/>
    <n v="433873906"/>
    <m/>
    <x v="3"/>
    <n v="1"/>
    <m/>
    <m/>
    <s v=""/>
    <n v="32"/>
    <n v="17"/>
    <n v="6710"/>
    <n v="1150"/>
    <n v="235"/>
    <n v="4"/>
    <n v="3"/>
    <n v="20"/>
    <n v="7"/>
    <n v="7"/>
    <d v="2022-07-13T00:00:00"/>
    <n v="5"/>
    <s v="MC"/>
    <x v="0"/>
    <x v="0"/>
    <m/>
  </r>
  <r>
    <s v="España"/>
    <s v=""/>
    <s v="Aurelio Bochini"/>
    <n v="462622778"/>
    <m/>
    <x v="4"/>
    <n v="1"/>
    <m/>
    <m/>
    <s v=""/>
    <n v="22"/>
    <n v="39"/>
    <n v="3230"/>
    <n v="370"/>
    <n v="45"/>
    <n v="3"/>
    <n v="4"/>
    <n v="20"/>
    <n v="7"/>
    <n v="8"/>
    <d v="2022-07-06T00:00:00"/>
    <n v="45"/>
    <s v="MC"/>
    <x v="0"/>
    <x v="0"/>
    <m/>
  </r>
  <r>
    <s v="España"/>
    <s v=""/>
    <s v="Pol Jover"/>
    <n v="433917884"/>
    <m/>
    <x v="0"/>
    <n v="1"/>
    <m/>
    <m/>
    <s v=""/>
    <n v="32"/>
    <n v="58"/>
    <n v="2620"/>
    <n v="950"/>
    <n v="234"/>
    <n v="3"/>
    <n v="5"/>
    <n v="20"/>
    <n v="6"/>
    <n v="7"/>
    <d v="2022-07-13T00:00:00"/>
    <n v="5"/>
    <s v="EI"/>
    <x v="1"/>
    <x v="0"/>
    <m/>
  </r>
  <r>
    <s v="España"/>
    <s v=""/>
    <s v="Jaume Vilatobà"/>
    <n v="438575162"/>
    <m/>
    <x v="1"/>
    <n v="1"/>
    <m/>
    <m/>
    <s v=""/>
    <n v="31"/>
    <n v="72"/>
    <n v="2070"/>
    <n v="490"/>
    <n v="200"/>
    <n v="3"/>
    <n v="4"/>
    <n v="20"/>
    <n v="6"/>
    <n v="6"/>
    <d v="2022-06-08T00:00:00"/>
    <n v="25"/>
    <s v="DC"/>
    <x v="1"/>
    <x v="0"/>
    <m/>
  </r>
  <r>
    <s v="España"/>
    <s v=""/>
    <s v="Joaquín Vuelta"/>
    <n v="465852705"/>
    <m/>
    <x v="5"/>
    <n v="1"/>
    <m/>
    <m/>
    <s v=""/>
    <n v="20"/>
    <n v="9"/>
    <n v="1410"/>
    <n v="310"/>
    <n v="23"/>
    <n v="2"/>
    <n v="3"/>
    <n v="20"/>
    <n v="6"/>
    <n v="8"/>
    <d v="2022-07-20T00:00:00"/>
    <n v="35"/>
    <s v="DC"/>
    <x v="1"/>
    <x v="0"/>
    <m/>
  </r>
  <r>
    <s v="España"/>
    <s v=""/>
    <s v="Juan Ochotorena"/>
    <n v="461499946"/>
    <m/>
    <x v="2"/>
    <n v="1"/>
    <m/>
    <m/>
    <s v=""/>
    <n v="20"/>
    <n v="56"/>
    <n v="1280"/>
    <n v="390"/>
    <n v="54"/>
    <n v="2"/>
    <n v="3"/>
    <n v="20"/>
    <n v="5"/>
    <n v="9"/>
    <d v="2022-07-20T00:00:00"/>
    <n v="25"/>
    <s v="DC"/>
    <x v="1"/>
    <x v="0"/>
    <m/>
  </r>
  <r>
    <s v="España"/>
    <s v=""/>
    <s v="José Alaminos"/>
    <n v="469974779"/>
    <m/>
    <x v="1"/>
    <n v="1"/>
    <m/>
    <m/>
    <s v=""/>
    <n v="19"/>
    <n v="54"/>
    <n v="920"/>
    <n v="330"/>
    <n v="7"/>
    <n v="2"/>
    <n v="4"/>
    <n v="20"/>
    <n v="6"/>
    <n v="7"/>
    <d v="2022-07-20T00:00:00"/>
    <n v="3"/>
    <s v="DC"/>
    <x v="1"/>
    <x v="0"/>
    <m/>
  </r>
  <r>
    <s v="Francia"/>
    <s v=""/>
    <s v="Grégory Sénéchal"/>
    <n v="412041029"/>
    <m/>
    <x v="3"/>
    <m/>
    <m/>
    <m/>
    <s v=""/>
    <n v="40"/>
    <n v="20"/>
    <n v="860"/>
    <n v="588"/>
    <n v="54"/>
    <n v="11"/>
    <n v="5"/>
    <n v="20"/>
    <n v="7"/>
    <n v="4"/>
    <d v="2022-07-23T00:00:00"/>
    <n v="45"/>
    <s v="POR"/>
    <x v="1"/>
    <x v="0"/>
    <m/>
  </r>
  <r>
    <s v="España"/>
    <s v=""/>
    <s v="Juan Mayor"/>
    <n v="428002107"/>
    <m/>
    <x v="4"/>
    <n v="1"/>
    <m/>
    <m/>
    <s v=""/>
    <n v="33"/>
    <n v="108"/>
    <n v="810"/>
    <n v="350"/>
    <n v="269"/>
    <n v="4"/>
    <n v="6"/>
    <n v="20"/>
    <n v="7"/>
    <n v="7"/>
    <d v="2022-07-20T00:00:00"/>
    <n v="35"/>
    <s v="LI"/>
    <x v="1"/>
    <x v="0"/>
    <m/>
  </r>
  <r>
    <s v="España"/>
    <s v=""/>
    <s v="Marcos Serbia"/>
    <n v="459498680"/>
    <m/>
    <x v="3"/>
    <n v="1"/>
    <m/>
    <m/>
    <s v=""/>
    <n v="23"/>
    <n v="23"/>
    <n v="130"/>
    <n v="790"/>
    <n v="69"/>
    <n v="3"/>
    <n v="2"/>
    <n v="20"/>
    <n v="6"/>
    <n v="8"/>
    <d v="2022-07-13T00:00:00"/>
    <n v="3"/>
    <s v="LD"/>
    <x v="1"/>
    <x v="0"/>
    <m/>
  </r>
  <r>
    <s v="Polonia"/>
    <s v=""/>
    <s v="Ariel Szramkowski"/>
    <n v="400848125"/>
    <m/>
    <x v="3"/>
    <m/>
    <m/>
    <m/>
    <s v=""/>
    <n v="44"/>
    <n v="56"/>
    <n v="0"/>
    <n v="300"/>
    <n v="313"/>
    <n v="5"/>
    <n v="3"/>
    <n v="20"/>
    <n v="2"/>
    <n v="2"/>
    <d v="2022-05-28T00:00:00"/>
    <n v="0"/>
    <s v="DC"/>
    <x v="1"/>
    <x v="0"/>
    <m/>
  </r>
  <r>
    <s v="Jamaica"/>
    <s v=""/>
    <s v="Leon Dowe"/>
    <n v="391463093"/>
    <n v="1"/>
    <x v="1"/>
    <m/>
    <n v="999"/>
    <m/>
    <s v=""/>
    <n v="45"/>
    <n v="6"/>
    <n v="0"/>
    <n v="300"/>
    <n v="161"/>
    <n v="16"/>
    <n v="4"/>
    <n v="20"/>
    <n v="4"/>
    <n v="1"/>
    <d v="2021-03-17T00:00:00"/>
    <n v="35"/>
    <s v="DEL"/>
    <x v="1"/>
    <x v="0"/>
    <m/>
  </r>
  <r>
    <s v="Polonia"/>
    <s v=""/>
    <s v="Piotr Stawirej"/>
    <n v="412154044"/>
    <m/>
    <x v="3"/>
    <m/>
    <m/>
    <m/>
    <s v=""/>
    <n v="41"/>
    <n v="53"/>
    <n v="0"/>
    <n v="300"/>
    <n v="313"/>
    <n v="5"/>
    <n v="4"/>
    <n v="20"/>
    <n v="3"/>
    <n v="2"/>
    <d v="2022-06-22T00:00:00"/>
    <n v="5"/>
    <s v="LI"/>
    <x v="1"/>
    <x v="0"/>
    <m/>
  </r>
  <r>
    <m/>
    <m/>
    <m/>
    <m/>
    <m/>
    <x v="6"/>
    <m/>
    <m/>
    <m/>
    <m/>
    <m/>
    <m/>
    <m/>
    <m/>
    <m/>
    <m/>
    <m/>
    <m/>
    <m/>
    <m/>
    <m/>
    <m/>
    <m/>
    <x v="1"/>
    <x v="1"/>
    <m/>
  </r>
  <r>
    <m/>
    <m/>
    <m/>
    <m/>
    <m/>
    <x v="6"/>
    <m/>
    <m/>
    <m/>
    <m/>
    <m/>
    <m/>
    <m/>
    <m/>
    <m/>
    <m/>
    <m/>
    <m/>
    <m/>
    <m/>
    <m/>
    <m/>
    <m/>
    <x v="1"/>
    <x v="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España"/>
    <n v="10"/>
    <s v="Antonio 'La bala' Folgado"/>
    <n v="438775015"/>
    <m/>
    <x v="0"/>
    <n v="1"/>
    <s v=""/>
    <s v=""/>
    <m/>
    <n v="29"/>
    <n v="51"/>
    <n v="438800"/>
    <n v="36610"/>
    <n v="198"/>
    <n v="8"/>
    <n v="6"/>
    <n v="20"/>
    <n v="7"/>
    <n v="7"/>
    <d v="2022-07-30T00:00:00"/>
    <n v="115"/>
    <s v="DEL"/>
    <x v="0"/>
    <x v="0"/>
    <m/>
  </r>
  <r>
    <s v="España"/>
    <n v="17"/>
    <s v="Natalio Urcola"/>
    <n v="440000802"/>
    <m/>
    <x v="1"/>
    <n v="1"/>
    <s v=""/>
    <s v=""/>
    <m/>
    <n v="29"/>
    <n v="8"/>
    <n v="389960"/>
    <n v="35000"/>
    <n v="192"/>
    <n v="8"/>
    <n v="5"/>
    <n v="20"/>
    <n v="7"/>
    <n v="7"/>
    <d v="2022-07-30T00:00:00"/>
    <n v="12"/>
    <s v="DEL"/>
    <x v="0"/>
    <x v="0"/>
    <m/>
  </r>
  <r>
    <s v="España"/>
    <n v="7"/>
    <s v="Jorge Miguel Silanes"/>
    <n v="444645355"/>
    <m/>
    <x v="2"/>
    <n v="1"/>
    <s v=""/>
    <s v=""/>
    <n v="1"/>
    <n v="26"/>
    <n v="102"/>
    <n v="388480"/>
    <n v="21350"/>
    <n v="157"/>
    <n v="6"/>
    <n v="5"/>
    <n v="20"/>
    <n v="8"/>
    <n v="7"/>
    <d v="2022-07-30T00:00:00"/>
    <n v="135"/>
    <s v="DEL"/>
    <x v="0"/>
    <x v="0"/>
    <m/>
  </r>
  <r>
    <s v="España"/>
    <n v="9"/>
    <s v="Rolando Quintero"/>
    <n v="447292589"/>
    <m/>
    <x v="3"/>
    <m/>
    <s v=""/>
    <s v=""/>
    <n v="1"/>
    <n v="26"/>
    <n v="43"/>
    <n v="231130"/>
    <n v="21500"/>
    <n v="101"/>
    <n v="6"/>
    <n v="6"/>
    <n v="20"/>
    <n v="8"/>
    <n v="7"/>
    <d v="2022-07-27T00:00:00"/>
    <n v="95"/>
    <s v="DEL"/>
    <x v="0"/>
    <x v="0"/>
    <m/>
  </r>
  <r>
    <s v="España"/>
    <n v="6"/>
    <s v="Xinés Ousinde"/>
    <n v="438673045"/>
    <m/>
    <x v="4"/>
    <m/>
    <s v=""/>
    <s v=""/>
    <m/>
    <n v="29"/>
    <n v="60"/>
    <n v="192140"/>
    <n v="23720"/>
    <n v="31"/>
    <n v="9"/>
    <n v="5"/>
    <n v="16"/>
    <n v="7"/>
    <n v="7"/>
    <d v="2022-07-30T00:00:00"/>
    <n v="7"/>
    <s v="DC"/>
    <x v="0"/>
    <x v="0"/>
    <m/>
  </r>
  <r>
    <s v="España"/>
    <n v="18"/>
    <s v="Àngel Pol"/>
    <n v="439110683"/>
    <m/>
    <x v="5"/>
    <m/>
    <s v=""/>
    <s v=""/>
    <m/>
    <n v="29"/>
    <n v="23"/>
    <n v="181400"/>
    <n v="30160"/>
    <n v="1"/>
    <n v="8"/>
    <n v="4"/>
    <n v="4"/>
    <n v="4"/>
    <n v="6"/>
    <d v="2022-07-27T00:00:00"/>
    <n v="75"/>
    <s v="MC"/>
    <x v="0"/>
    <x v="0"/>
    <m/>
  </r>
  <r>
    <s v="España"/>
    <n v="5"/>
    <s v="Ignacio Botos"/>
    <n v="436973227"/>
    <m/>
    <x v="3"/>
    <m/>
    <s v=""/>
    <s v=""/>
    <m/>
    <n v="30"/>
    <n v="24"/>
    <n v="130010"/>
    <n v="27010"/>
    <n v="50"/>
    <n v="8"/>
    <n v="3"/>
    <n v="20"/>
    <n v="6"/>
    <n v="6"/>
    <d v="2022-07-30T00:00:00"/>
    <n v="75"/>
    <s v="DC"/>
    <x v="0"/>
    <x v="0"/>
    <m/>
  </r>
  <r>
    <s v="Italia"/>
    <n v="11"/>
    <s v="Gianluca Linzalone"/>
    <n v="435567808"/>
    <m/>
    <x v="1"/>
    <m/>
    <s v=""/>
    <s v=""/>
    <m/>
    <n v="31"/>
    <n v="46"/>
    <n v="113230"/>
    <n v="17016"/>
    <n v="44"/>
    <n v="8"/>
    <n v="2"/>
    <n v="19"/>
    <n v="6"/>
    <n v="6"/>
    <d v="2022-07-30T00:00:00"/>
    <n v="9"/>
    <s v="ED"/>
    <x v="0"/>
    <x v="0"/>
    <m/>
  </r>
  <r>
    <s v="España"/>
    <n v="14"/>
    <s v="Gonzalo Maestre Zapata"/>
    <n v="435277760"/>
    <m/>
    <x v="5"/>
    <m/>
    <s v=""/>
    <s v=""/>
    <m/>
    <n v="31"/>
    <n v="21"/>
    <n v="110200"/>
    <n v="20340"/>
    <n v="21"/>
    <n v="11"/>
    <n v="2"/>
    <n v="13"/>
    <n v="7"/>
    <n v="6"/>
    <d v="2022-07-30T00:00:00"/>
    <n v="75"/>
    <s v="DC"/>
    <x v="0"/>
    <x v="0"/>
    <m/>
  </r>
  <r>
    <s v="España"/>
    <n v="2"/>
    <s v="Federico Bada"/>
    <n v="442533611"/>
    <m/>
    <x v="5"/>
    <m/>
    <s v=""/>
    <s v=""/>
    <m/>
    <n v="29"/>
    <n v="14"/>
    <n v="97110"/>
    <n v="21470"/>
    <n v="23"/>
    <n v="8"/>
    <n v="5"/>
    <n v="14"/>
    <n v="7"/>
    <n v="7"/>
    <d v="2022-07-30T00:00:00"/>
    <n v="85"/>
    <s v="LI"/>
    <x v="0"/>
    <x v="0"/>
    <m/>
  </r>
  <r>
    <s v="España"/>
    <n v="4"/>
    <s v="José Enrique Agud"/>
    <n v="435346337"/>
    <m/>
    <x v="4"/>
    <m/>
    <s v=""/>
    <s v=""/>
    <m/>
    <n v="31"/>
    <n v="29"/>
    <n v="76330"/>
    <n v="18060"/>
    <n v="21"/>
    <n v="9"/>
    <n v="4"/>
    <n v="13"/>
    <n v="4"/>
    <n v="6"/>
    <d v="2022-07-27T00:00:00"/>
    <n v="55"/>
    <s v="ED"/>
    <x v="0"/>
    <x v="0"/>
    <m/>
  </r>
  <r>
    <s v="Alemania"/>
    <n v="8"/>
    <s v="Lucio Abbruscato"/>
    <n v="432101324"/>
    <m/>
    <x v="3"/>
    <m/>
    <s v=""/>
    <s v=""/>
    <m/>
    <n v="32"/>
    <n v="38"/>
    <n v="71160"/>
    <n v="16740"/>
    <n v="43"/>
    <n v="11"/>
    <n v="3"/>
    <n v="19"/>
    <n v="6"/>
    <n v="6"/>
    <d v="2022-07-30T00:00:00"/>
    <n v="85"/>
    <s v="MC"/>
    <x v="0"/>
    <x v="0"/>
    <m/>
  </r>
  <r>
    <s v="España"/>
    <n v="15"/>
    <s v="Josep Vicenç Masamunt"/>
    <n v="429023091"/>
    <m/>
    <x v="1"/>
    <m/>
    <s v=""/>
    <s v=""/>
    <m/>
    <n v="33"/>
    <n v="46"/>
    <n v="49630"/>
    <n v="14700"/>
    <n v="52"/>
    <n v="13"/>
    <n v="4"/>
    <n v="20"/>
    <n v="6"/>
    <n v="6"/>
    <d v="2022-07-30T00:00:00"/>
    <n v="95"/>
    <s v="MC"/>
    <x v="0"/>
    <x v="0"/>
    <m/>
  </r>
  <r>
    <s v="Francia"/>
    <n v="12"/>
    <s v="Licínio Melo Correia"/>
    <n v="433112817"/>
    <m/>
    <x v="5"/>
    <m/>
    <s v=""/>
    <s v=""/>
    <m/>
    <n v="32"/>
    <n v="26"/>
    <n v="40660"/>
    <n v="13752"/>
    <n v="54"/>
    <n v="10"/>
    <n v="4"/>
    <n v="20"/>
    <n v="7"/>
    <n v="6"/>
    <d v="2022-07-30T00:00:00"/>
    <n v="85"/>
    <s v="LD"/>
    <x v="0"/>
    <x v="0"/>
    <m/>
  </r>
  <r>
    <s v="España"/>
    <n v="1"/>
    <s v="Mariano Maldonado Chacón"/>
    <n v="428354751"/>
    <m/>
    <x v="5"/>
    <m/>
    <s v=""/>
    <s v=""/>
    <m/>
    <n v="33"/>
    <n v="94"/>
    <n v="38400"/>
    <n v="9620"/>
    <n v="182"/>
    <n v="14"/>
    <n v="3"/>
    <n v="20"/>
    <n v="8"/>
    <n v="6"/>
    <d v="2022-07-30T00:00:00"/>
    <n v="8"/>
    <s v="POR"/>
    <x v="0"/>
    <x v="0"/>
    <m/>
  </r>
  <r>
    <s v="Polonia"/>
    <n v="16"/>
    <s v="Maciej Lejk"/>
    <n v="428365466"/>
    <m/>
    <x v="5"/>
    <m/>
    <s v=""/>
    <s v=""/>
    <m/>
    <n v="33"/>
    <n v="84"/>
    <n v="36850"/>
    <n v="8760"/>
    <n v="68"/>
    <n v="9"/>
    <n v="4"/>
    <n v="20"/>
    <n v="6"/>
    <n v="5"/>
    <d v="2022-07-30T00:00:00"/>
    <n v="9"/>
    <s v="ED"/>
    <x v="0"/>
    <x v="0"/>
    <m/>
  </r>
  <r>
    <s v="Alemania"/>
    <n v="3"/>
    <s v="Jochen Brinker"/>
    <n v="429737286"/>
    <m/>
    <x v="5"/>
    <m/>
    <s v=""/>
    <s v=""/>
    <m/>
    <n v="33"/>
    <n v="105"/>
    <n v="17880"/>
    <n v="7416"/>
    <n v="110"/>
    <n v="9"/>
    <n v="6"/>
    <n v="20"/>
    <n v="5"/>
    <n v="6"/>
    <d v="2022-07-30T00:00:00"/>
    <n v="7"/>
    <s v="LD"/>
    <x v="0"/>
    <x v="0"/>
    <m/>
  </r>
  <r>
    <s v="Finlandia"/>
    <m/>
    <s v="Otto Turula"/>
    <n v="369277515"/>
    <n v="1"/>
    <x v="5"/>
    <m/>
    <s v=""/>
    <s v=""/>
    <m/>
    <n v="50"/>
    <n v="35"/>
    <n v="0"/>
    <n v="300"/>
    <n v="245"/>
    <n v="12"/>
    <n v="6"/>
    <n v="20"/>
    <n v="2"/>
    <n v="1"/>
    <d v="2020-12-09T00:00:00"/>
    <n v="5"/>
    <s v="POR"/>
    <x v="1"/>
    <x v="0"/>
    <m/>
  </r>
  <r>
    <s v="Suiza"/>
    <m/>
    <s v="Pascal Heberlein"/>
    <n v="350683009"/>
    <n v="1"/>
    <x v="5"/>
    <m/>
    <s v=""/>
    <s v=""/>
    <m/>
    <n v="52"/>
    <n v="32"/>
    <n v="0"/>
    <n v="300"/>
    <n v="210"/>
    <n v="13"/>
    <n v="3"/>
    <n v="20"/>
    <n v="6"/>
    <n v="2"/>
    <d v="2022-07-23T00:00:00"/>
    <n v="5"/>
    <s v="DEL"/>
    <x v="1"/>
    <x v="0"/>
    <m/>
  </r>
  <r>
    <m/>
    <m/>
    <m/>
    <m/>
    <m/>
    <x v="6"/>
    <m/>
    <m/>
    <m/>
    <m/>
    <m/>
    <m/>
    <m/>
    <m/>
    <m/>
    <m/>
    <m/>
    <m/>
    <m/>
    <m/>
    <m/>
    <m/>
    <m/>
    <x v="2"/>
    <x v="1"/>
    <m/>
  </r>
  <r>
    <m/>
    <m/>
    <m/>
    <m/>
    <m/>
    <x v="6"/>
    <m/>
    <m/>
    <m/>
    <m/>
    <m/>
    <m/>
    <m/>
    <m/>
    <m/>
    <m/>
    <m/>
    <m/>
    <m/>
    <m/>
    <m/>
    <m/>
    <m/>
    <x v="2"/>
    <x v="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España"/>
    <n v="33"/>
    <x v="0"/>
    <n v="458489979"/>
    <m/>
    <x v="0"/>
    <n v="1"/>
    <s v=""/>
    <m/>
    <s v=""/>
    <n v="23"/>
    <n v="57"/>
    <n v="200"/>
    <n v="250"/>
    <n v="76"/>
    <n v="2"/>
    <n v="5"/>
    <n v="20"/>
    <n v="5"/>
    <n v="8"/>
    <d v="2022-04-02T00:00:00"/>
    <n v="25"/>
    <s v="MC"/>
    <x v="0"/>
    <x v="0"/>
    <x v="0"/>
  </r>
  <r>
    <s v="España"/>
    <n v="33"/>
    <x v="0"/>
    <n v="458489979"/>
    <m/>
    <x v="0"/>
    <n v="1"/>
    <s v=""/>
    <m/>
    <m/>
    <n v="23"/>
    <n v="53"/>
    <n v="210"/>
    <n v="250"/>
    <n v="76"/>
    <n v="2"/>
    <n v="5"/>
    <n v="20"/>
    <n v="5"/>
    <n v="8"/>
    <d v="2022-04-02T00:00:00"/>
    <n v="2.5"/>
    <s v="MC"/>
    <x v="0"/>
    <x v="1"/>
    <x v="0"/>
  </r>
  <r>
    <s v="Uzbekistán"/>
    <n v="8"/>
    <x v="1"/>
    <n v="435478159"/>
    <m/>
    <x v="1"/>
    <m/>
    <s v=""/>
    <m/>
    <m/>
    <n v="31"/>
    <n v="7"/>
    <n v="157410"/>
    <n v="35172"/>
    <n v="18"/>
    <n v="13"/>
    <n v="1"/>
    <n v="12"/>
    <n v="6"/>
    <n v="8"/>
    <d v="2022-07-30T00:00:00"/>
    <n v="9"/>
    <s v="LD"/>
    <x v="1"/>
    <x v="1"/>
    <x v="1"/>
  </r>
  <r>
    <s v="Uzbekistán"/>
    <n v="8"/>
    <x v="1"/>
    <n v="435478159"/>
    <m/>
    <x v="1"/>
    <m/>
    <s v=""/>
    <m/>
    <s v=""/>
    <n v="31"/>
    <n v="11"/>
    <n v="170060"/>
    <n v="35172"/>
    <n v="18"/>
    <n v="13"/>
    <n v="1"/>
    <n v="12"/>
    <n v="6"/>
    <n v="8"/>
    <d v="2022-08-03T00:00:00"/>
    <n v="8"/>
    <s v="ED"/>
    <x v="1"/>
    <x v="0"/>
    <x v="1"/>
  </r>
  <r>
    <s v="España"/>
    <n v="13"/>
    <x v="2"/>
    <n v="440189964"/>
    <m/>
    <x v="0"/>
    <n v="1"/>
    <s v=""/>
    <m/>
    <s v=""/>
    <n v="29"/>
    <n v="6"/>
    <n v="60"/>
    <n v="660"/>
    <n v="192"/>
    <n v="5"/>
    <n v="3"/>
    <n v="20"/>
    <n v="2"/>
    <n v="7"/>
    <d v="2022-06-15T00:00:00"/>
    <n v="15"/>
    <s v="POR"/>
    <x v="0"/>
    <x v="0"/>
    <x v="0"/>
  </r>
  <r>
    <s v="España"/>
    <n v="13"/>
    <x v="2"/>
    <n v="440189964"/>
    <m/>
    <x v="0"/>
    <n v="1"/>
    <s v=""/>
    <m/>
    <m/>
    <n v="29"/>
    <n v="2"/>
    <n v="70"/>
    <n v="660"/>
    <n v="192"/>
    <n v="5"/>
    <n v="3"/>
    <n v="20"/>
    <n v="3"/>
    <n v="7"/>
    <d v="2022-06-15T00:00:00"/>
    <n v="1.5"/>
    <s v="POR"/>
    <x v="0"/>
    <x v="1"/>
    <x v="0"/>
  </r>
  <r>
    <s v="España"/>
    <m/>
    <x v="3"/>
    <n v="455234086"/>
    <m/>
    <x v="1"/>
    <n v="1"/>
    <s v=""/>
    <m/>
    <m/>
    <n v="25"/>
    <n v="4"/>
    <n v="560"/>
    <n v="350"/>
    <n v="98"/>
    <n v="2"/>
    <n v="4"/>
    <n v="20"/>
    <n v="2"/>
    <n v="8"/>
    <d v="2022-07-13T00:00:00"/>
    <n v="3"/>
    <s v="DC"/>
    <x v="0"/>
    <x v="1"/>
    <x v="0"/>
  </r>
  <r>
    <s v="España"/>
    <m/>
    <x v="3"/>
    <n v="455234086"/>
    <m/>
    <x v="1"/>
    <n v="1"/>
    <s v=""/>
    <m/>
    <s v=""/>
    <n v="25"/>
    <n v="8"/>
    <n v="580"/>
    <n v="350"/>
    <n v="98"/>
    <n v="2"/>
    <n v="4"/>
    <n v="20"/>
    <n v="2"/>
    <n v="8"/>
    <d v="2022-07-13T00:00:00"/>
    <n v="3"/>
    <s v="DC"/>
    <x v="0"/>
    <x v="0"/>
    <x v="0"/>
  </r>
  <r>
    <s v="Italia"/>
    <n v="11"/>
    <x v="4"/>
    <n v="434457086"/>
    <m/>
    <x v="2"/>
    <m/>
    <s v=""/>
    <m/>
    <s v=""/>
    <n v="31"/>
    <n v="66"/>
    <n v="197460"/>
    <n v="45528"/>
    <n v="25"/>
    <n v="9"/>
    <n v="7"/>
    <n v="14"/>
    <n v="5"/>
    <n v="7"/>
    <d v="2022-07-30T00:00:00"/>
    <n v="95"/>
    <s v="DEL"/>
    <x v="1"/>
    <x v="0"/>
    <x v="2"/>
  </r>
  <r>
    <s v="Italia"/>
    <n v="11"/>
    <x v="4"/>
    <n v="434457086"/>
    <m/>
    <x v="2"/>
    <m/>
    <s v=""/>
    <m/>
    <m/>
    <n v="31"/>
    <n v="62"/>
    <n v="208980"/>
    <n v="45528"/>
    <n v="24"/>
    <n v="9"/>
    <n v="7"/>
    <n v="14"/>
    <n v="5"/>
    <n v="7"/>
    <d v="2022-07-30T00:00:00"/>
    <n v="9.5"/>
    <s v="DEL"/>
    <x v="1"/>
    <x v="1"/>
    <x v="2"/>
  </r>
  <r>
    <s v="España"/>
    <m/>
    <x v="5"/>
    <n v="468952531"/>
    <m/>
    <x v="0"/>
    <n v="1"/>
    <s v=""/>
    <m/>
    <m/>
    <n v="17"/>
    <n v="106"/>
    <n v="720"/>
    <n v="310"/>
    <n v="14"/>
    <n v="1"/>
    <n v="3"/>
    <n v="20"/>
    <n v="6"/>
    <n v="7"/>
    <d v="2022-07-16T00:00:00"/>
    <n v="3"/>
    <s v="DC"/>
    <x v="0"/>
    <x v="1"/>
    <x v="0"/>
  </r>
  <r>
    <s v="España"/>
    <m/>
    <x v="5"/>
    <n v="468952531"/>
    <m/>
    <x v="0"/>
    <n v="1"/>
    <s v=""/>
    <m/>
    <s v=""/>
    <n v="17"/>
    <n v="110"/>
    <n v="740"/>
    <n v="310"/>
    <n v="14"/>
    <n v="1"/>
    <n v="3"/>
    <n v="20"/>
    <n v="7"/>
    <n v="7"/>
    <d v="2022-07-16T00:00:00"/>
    <n v="3"/>
    <s v="DC"/>
    <x v="0"/>
    <x v="0"/>
    <x v="0"/>
  </r>
  <r>
    <s v="España"/>
    <m/>
    <x v="6"/>
    <n v="469295839"/>
    <m/>
    <x v="0"/>
    <n v="1"/>
    <s v=""/>
    <m/>
    <s v=""/>
    <n v="18"/>
    <n v="29"/>
    <n v="1460"/>
    <n v="310"/>
    <n v="11"/>
    <n v="2"/>
    <n v="3"/>
    <n v="20"/>
    <n v="5"/>
    <n v="7"/>
    <d v="2022-07-16T00:00:00"/>
    <n v="4"/>
    <s v="DEL"/>
    <x v="0"/>
    <x v="0"/>
    <x v="0"/>
  </r>
  <r>
    <s v="España"/>
    <m/>
    <x v="6"/>
    <n v="469295839"/>
    <m/>
    <x v="0"/>
    <n v="1"/>
    <s v=""/>
    <m/>
    <m/>
    <n v="18"/>
    <n v="25"/>
    <n v="1740"/>
    <n v="310"/>
    <n v="10"/>
    <n v="2"/>
    <n v="3"/>
    <n v="20"/>
    <n v="6"/>
    <n v="7"/>
    <d v="2022-07-16T00:00:00"/>
    <n v="4"/>
    <s v="DEL"/>
    <x v="0"/>
    <x v="1"/>
    <x v="0"/>
  </r>
  <r>
    <s v="España"/>
    <m/>
    <x v="7"/>
    <n v="460128913"/>
    <m/>
    <x v="0"/>
    <n v="1"/>
    <s v=""/>
    <m/>
    <m/>
    <n v="23"/>
    <n v="35"/>
    <n v="1310"/>
    <n v="310"/>
    <n v="65"/>
    <n v="2"/>
    <n v="5"/>
    <n v="20"/>
    <n v="6"/>
    <n v="8"/>
    <d v="2022-06-08T00:00:00"/>
    <n v="2.5"/>
    <s v="DC"/>
    <x v="0"/>
    <x v="1"/>
    <x v="0"/>
  </r>
  <r>
    <s v="España"/>
    <m/>
    <x v="7"/>
    <n v="460128913"/>
    <m/>
    <x v="0"/>
    <n v="1"/>
    <s v=""/>
    <m/>
    <s v=""/>
    <n v="23"/>
    <n v="39"/>
    <n v="1380"/>
    <n v="310"/>
    <n v="66"/>
    <n v="2"/>
    <n v="5"/>
    <n v="20"/>
    <n v="6"/>
    <n v="8"/>
    <d v="2022-06-08T00:00:00"/>
    <n v="25"/>
    <s v="DC"/>
    <x v="0"/>
    <x v="0"/>
    <x v="0"/>
  </r>
  <r>
    <s v="España"/>
    <m/>
    <x v="8"/>
    <n v="470168916"/>
    <m/>
    <x v="0"/>
    <n v="1"/>
    <s v=""/>
    <m/>
    <m/>
    <n v="19"/>
    <n v="47"/>
    <n v="590"/>
    <n v="350"/>
    <n v="5"/>
    <n v="1"/>
    <n v="4"/>
    <n v="20"/>
    <n v="5"/>
    <n v="7"/>
    <d v="2022-07-20T00:00:00"/>
    <n v="3"/>
    <s v="ED"/>
    <x v="0"/>
    <x v="1"/>
    <x v="0"/>
  </r>
  <r>
    <s v="España"/>
    <m/>
    <x v="8"/>
    <n v="470168916"/>
    <m/>
    <x v="0"/>
    <n v="1"/>
    <s v=""/>
    <m/>
    <s v=""/>
    <n v="19"/>
    <n v="51"/>
    <n v="650"/>
    <n v="350"/>
    <n v="6"/>
    <n v="1"/>
    <n v="4"/>
    <n v="20"/>
    <n v="6"/>
    <n v="7"/>
    <d v="2022-07-20T00:00:00"/>
    <n v="3"/>
    <s v="ED"/>
    <x v="0"/>
    <x v="0"/>
    <x v="0"/>
  </r>
  <r>
    <s v="España"/>
    <m/>
    <x v="9"/>
    <n v="461519189"/>
    <m/>
    <x v="3"/>
    <n v="1"/>
    <s v=""/>
    <m/>
    <m/>
    <n v="22"/>
    <n v="42"/>
    <n v="640"/>
    <n v="290"/>
    <n v="54"/>
    <n v="2"/>
    <n v="6"/>
    <n v="20"/>
    <n v="4"/>
    <n v="8"/>
    <d v="2022-07-20T00:00:00"/>
    <n v="2"/>
    <s v="DEL"/>
    <x v="0"/>
    <x v="1"/>
    <x v="0"/>
  </r>
  <r>
    <s v="España"/>
    <m/>
    <x v="9"/>
    <n v="461519189"/>
    <m/>
    <x v="3"/>
    <n v="1"/>
    <s v=""/>
    <m/>
    <s v=""/>
    <n v="22"/>
    <n v="46"/>
    <n v="720"/>
    <n v="290"/>
    <n v="54"/>
    <n v="2"/>
    <n v="6"/>
    <n v="20"/>
    <n v="4"/>
    <n v="8"/>
    <d v="2022-07-20T00:00:00"/>
    <n v="2"/>
    <s v="DEL"/>
    <x v="0"/>
    <x v="0"/>
    <x v="0"/>
  </r>
  <r>
    <s v="Polonia"/>
    <n v="12"/>
    <x v="10"/>
    <n v="440240188"/>
    <m/>
    <x v="3"/>
    <m/>
    <s v=""/>
    <m/>
    <s v=""/>
    <n v="29"/>
    <n v="54"/>
    <n v="92110"/>
    <n v="23232"/>
    <n v="33"/>
    <n v="7"/>
    <n v="1"/>
    <n v="16"/>
    <n v="6"/>
    <n v="8"/>
    <d v="2022-08-03T00:00:00"/>
    <n v="75"/>
    <s v="MC"/>
    <x v="1"/>
    <x v="0"/>
    <x v="3"/>
  </r>
  <r>
    <s v="Polonia"/>
    <n v="12"/>
    <x v="10"/>
    <n v="440240188"/>
    <m/>
    <x v="3"/>
    <m/>
    <s v=""/>
    <m/>
    <m/>
    <n v="29"/>
    <n v="50"/>
    <n v="94160"/>
    <n v="23232"/>
    <n v="32"/>
    <n v="7"/>
    <n v="1"/>
    <n v="16"/>
    <n v="6"/>
    <n v="8"/>
    <d v="2022-07-27T00:00:00"/>
    <n v="4.5"/>
    <s v="DEL"/>
    <x v="1"/>
    <x v="1"/>
    <x v="3"/>
  </r>
  <r>
    <s v="España"/>
    <n v="27"/>
    <x v="11"/>
    <n v="459575678"/>
    <m/>
    <x v="4"/>
    <n v="1"/>
    <s v=""/>
    <m/>
    <m/>
    <n v="21"/>
    <n v="65"/>
    <n v="710"/>
    <n v="310"/>
    <n v="69"/>
    <n v="2"/>
    <n v="2"/>
    <n v="20"/>
    <n v="5"/>
    <n v="8"/>
    <d v="2022-06-15T00:00:00"/>
    <n v="2.5"/>
    <s v="ED"/>
    <x v="0"/>
    <x v="1"/>
    <x v="0"/>
  </r>
  <r>
    <s v="España"/>
    <n v="27"/>
    <x v="11"/>
    <n v="459575678"/>
    <m/>
    <x v="4"/>
    <n v="1"/>
    <s v=""/>
    <m/>
    <s v=""/>
    <n v="21"/>
    <n v="69"/>
    <n v="770"/>
    <n v="310"/>
    <n v="69"/>
    <n v="2"/>
    <n v="2"/>
    <n v="20"/>
    <n v="6"/>
    <n v="8"/>
    <d v="2022-06-15T00:00:00"/>
    <n v="25"/>
    <s v="ED"/>
    <x v="0"/>
    <x v="0"/>
    <x v="0"/>
  </r>
  <r>
    <s v="España"/>
    <n v="28"/>
    <x v="12"/>
    <n v="462466686"/>
    <m/>
    <x v="0"/>
    <n v="1"/>
    <s v=""/>
    <m/>
    <s v=""/>
    <n v="22"/>
    <n v="4"/>
    <n v="760"/>
    <n v="330"/>
    <n v="48"/>
    <n v="2"/>
    <n v="4"/>
    <n v="20"/>
    <n v="4"/>
    <n v="8"/>
    <d v="2022-07-13T00:00:00"/>
    <n v="2"/>
    <s v="POR"/>
    <x v="0"/>
    <x v="0"/>
    <x v="0"/>
  </r>
  <r>
    <s v="España"/>
    <n v="28"/>
    <x v="12"/>
    <n v="462466686"/>
    <m/>
    <x v="0"/>
    <n v="1"/>
    <s v=""/>
    <m/>
    <m/>
    <n v="22"/>
    <n v="0"/>
    <n v="850"/>
    <n v="330"/>
    <n v="48"/>
    <n v="2"/>
    <n v="4"/>
    <n v="20"/>
    <n v="5"/>
    <n v="8"/>
    <d v="2022-07-13T00:00:00"/>
    <n v="2"/>
    <s v="POR"/>
    <x v="0"/>
    <x v="1"/>
    <x v="0"/>
  </r>
  <r>
    <s v="España"/>
    <n v="29"/>
    <x v="13"/>
    <n v="452941201"/>
    <m/>
    <x v="0"/>
    <n v="1"/>
    <s v=""/>
    <m/>
    <s v=""/>
    <n v="24"/>
    <n v="44"/>
    <n v="520"/>
    <n v="290"/>
    <n v="111"/>
    <n v="2"/>
    <n v="1"/>
    <n v="20"/>
    <n v="3"/>
    <n v="8"/>
    <d v="2022-04-02T00:00:00"/>
    <n v="2"/>
    <s v="ED"/>
    <x v="0"/>
    <x v="0"/>
    <x v="0"/>
  </r>
  <r>
    <s v="España"/>
    <n v="29"/>
    <x v="13"/>
    <n v="452941201"/>
    <m/>
    <x v="0"/>
    <n v="1"/>
    <s v=""/>
    <m/>
    <m/>
    <n v="24"/>
    <n v="40"/>
    <n v="600"/>
    <n v="290"/>
    <n v="111"/>
    <n v="2"/>
    <n v="1"/>
    <n v="20"/>
    <n v="4"/>
    <n v="8"/>
    <d v="2022-04-02T00:00:00"/>
    <n v="2"/>
    <s v="ED"/>
    <x v="0"/>
    <x v="1"/>
    <x v="0"/>
  </r>
  <r>
    <s v="Suiza"/>
    <n v="15"/>
    <x v="14"/>
    <n v="432095172"/>
    <m/>
    <x v="3"/>
    <m/>
    <s v=""/>
    <m/>
    <m/>
    <n v="32"/>
    <n v="41"/>
    <n v="53750"/>
    <n v="18060"/>
    <n v="56"/>
    <n v="10"/>
    <n v="5"/>
    <n v="20"/>
    <n v="4"/>
    <n v="7"/>
    <d v="2022-07-27T00:00:00"/>
    <n v="6"/>
    <s v="DC"/>
    <x v="1"/>
    <x v="1"/>
    <x v="3"/>
  </r>
  <r>
    <s v="Suiza"/>
    <n v="15"/>
    <x v="14"/>
    <n v="432095172"/>
    <m/>
    <x v="3"/>
    <m/>
    <s v=""/>
    <m/>
    <s v=""/>
    <n v="32"/>
    <n v="45"/>
    <n v="62100"/>
    <n v="18060"/>
    <n v="57"/>
    <n v="10"/>
    <n v="5"/>
    <n v="20"/>
    <n v="5"/>
    <n v="7"/>
    <d v="2022-08-03T00:00:00"/>
    <n v="45"/>
    <s v="MC"/>
    <x v="1"/>
    <x v="0"/>
    <x v="3"/>
  </r>
  <r>
    <s v="España"/>
    <m/>
    <x v="15"/>
    <n v="444552328"/>
    <m/>
    <x v="3"/>
    <n v="1"/>
    <s v=""/>
    <m/>
    <s v=""/>
    <n v="27"/>
    <n v="46"/>
    <n v="790"/>
    <n v="310"/>
    <n v="159"/>
    <n v="2"/>
    <n v="5"/>
    <n v="20"/>
    <n v="2"/>
    <n v="7"/>
    <d v="2021-01-10T00:00:00"/>
    <n v="35"/>
    <s v="DEL"/>
    <x v="0"/>
    <x v="0"/>
    <x v="0"/>
  </r>
  <r>
    <s v="España"/>
    <m/>
    <x v="15"/>
    <n v="444552328"/>
    <m/>
    <x v="3"/>
    <n v="1"/>
    <s v=""/>
    <m/>
    <m/>
    <n v="27"/>
    <n v="42"/>
    <n v="880"/>
    <n v="310"/>
    <n v="158"/>
    <n v="2"/>
    <n v="5"/>
    <n v="20"/>
    <n v="3"/>
    <n v="7"/>
    <d v="2021-01-10T00:00:00"/>
    <n v="3.5"/>
    <s v="DEL"/>
    <x v="0"/>
    <x v="1"/>
    <x v="0"/>
  </r>
  <r>
    <s v="Perú"/>
    <n v="7"/>
    <x v="16"/>
    <n v="433647180"/>
    <m/>
    <x v="3"/>
    <m/>
    <s v=""/>
    <m/>
    <m/>
    <n v="31"/>
    <n v="102"/>
    <n v="255790"/>
    <n v="45036"/>
    <n v="157"/>
    <n v="11"/>
    <n v="5"/>
    <n v="20"/>
    <n v="6"/>
    <n v="7"/>
    <d v="2022-07-30T00:00:00"/>
    <n v="9.5"/>
    <s v="DEL"/>
    <x v="1"/>
    <x v="1"/>
    <x v="4"/>
  </r>
  <r>
    <s v="Perú"/>
    <n v="7"/>
    <x v="16"/>
    <n v="433647180"/>
    <m/>
    <x v="3"/>
    <m/>
    <s v=""/>
    <m/>
    <s v=""/>
    <n v="31"/>
    <n v="106"/>
    <n v="256950"/>
    <n v="45036"/>
    <n v="158"/>
    <n v="11"/>
    <n v="5"/>
    <n v="20"/>
    <n v="6"/>
    <n v="7"/>
    <d v="2022-07-30T00:00:00"/>
    <n v="95"/>
    <s v="DEL"/>
    <x v="1"/>
    <x v="0"/>
    <x v="4"/>
  </r>
  <r>
    <s v="Angola"/>
    <n v="2"/>
    <x v="17"/>
    <n v="434021655"/>
    <n v="1"/>
    <x v="2"/>
    <m/>
    <s v=""/>
    <m/>
    <m/>
    <n v="31"/>
    <n v="75"/>
    <n v="218640"/>
    <n v="45624"/>
    <n v="161"/>
    <n v="13"/>
    <n v="6"/>
    <n v="20"/>
    <n v="6"/>
    <n v="7"/>
    <d v="2022-07-30T00:00:00"/>
    <n v="9.5"/>
    <s v="MC"/>
    <x v="1"/>
    <x v="1"/>
    <x v="5"/>
  </r>
  <r>
    <s v="Angola"/>
    <n v="2"/>
    <x v="17"/>
    <n v="434021655"/>
    <n v="1"/>
    <x v="2"/>
    <m/>
    <s v=""/>
    <m/>
    <s v=""/>
    <n v="31"/>
    <n v="79"/>
    <n v="224500"/>
    <n v="45624"/>
    <n v="161"/>
    <n v="13"/>
    <n v="6"/>
    <n v="20"/>
    <n v="6"/>
    <n v="7"/>
    <d v="2022-07-30T00:00:00"/>
    <n v="95"/>
    <s v="MC"/>
    <x v="1"/>
    <x v="0"/>
    <x v="5"/>
  </r>
  <r>
    <s v="El Salvador"/>
    <n v="3"/>
    <x v="18"/>
    <n v="435673860"/>
    <m/>
    <x v="2"/>
    <m/>
    <s v=""/>
    <n v="1"/>
    <s v=""/>
    <n v="30"/>
    <n v="110"/>
    <n v="300420"/>
    <n v="52752"/>
    <n v="223"/>
    <n v="20"/>
    <n v="4"/>
    <n v="20"/>
    <n v="5"/>
    <n v="8"/>
    <d v="2022-07-30T00:00:00"/>
    <n v="10"/>
    <s v="EI"/>
    <x v="1"/>
    <x v="0"/>
    <x v="6"/>
  </r>
  <r>
    <s v="El Salvador"/>
    <n v="3"/>
    <x v="18"/>
    <n v="435673860"/>
    <m/>
    <x v="2"/>
    <m/>
    <s v=""/>
    <n v="1"/>
    <m/>
    <n v="30"/>
    <n v="106"/>
    <n v="306640"/>
    <n v="52752"/>
    <n v="222"/>
    <n v="20"/>
    <n v="4"/>
    <n v="20"/>
    <n v="6"/>
    <n v="8"/>
    <d v="2022-07-30T00:00:00"/>
    <n v="10"/>
    <s v="EI"/>
    <x v="1"/>
    <x v="1"/>
    <x v="6"/>
  </r>
  <r>
    <s v="Costa de Marfil"/>
    <n v="6"/>
    <x v="19"/>
    <n v="435287357"/>
    <m/>
    <x v="5"/>
    <m/>
    <s v=""/>
    <n v="1"/>
    <s v=""/>
    <n v="31"/>
    <n v="20"/>
    <n v="281280"/>
    <n v="46260"/>
    <n v="226"/>
    <n v="17"/>
    <n v="1"/>
    <n v="20"/>
    <n v="7"/>
    <n v="8"/>
    <d v="2022-07-30T00:00:00"/>
    <n v="12"/>
    <s v="MC"/>
    <x v="1"/>
    <x v="0"/>
    <x v="5"/>
  </r>
  <r>
    <s v="Costa de Marfil"/>
    <n v="6"/>
    <x v="19"/>
    <n v="435287357"/>
    <m/>
    <x v="5"/>
    <m/>
    <s v=""/>
    <n v="1"/>
    <m/>
    <n v="31"/>
    <n v="16"/>
    <n v="294830"/>
    <n v="46260"/>
    <n v="225"/>
    <n v="17"/>
    <n v="1"/>
    <n v="20"/>
    <n v="7"/>
    <n v="8"/>
    <d v="2022-07-30T00:00:00"/>
    <n v="12"/>
    <s v="MC"/>
    <x v="1"/>
    <x v="1"/>
    <x v="5"/>
  </r>
  <r>
    <s v="España"/>
    <m/>
    <x v="20"/>
    <n v="469197459"/>
    <m/>
    <x v="0"/>
    <n v="1"/>
    <s v=""/>
    <m/>
    <m/>
    <n v="20"/>
    <n v="9"/>
    <n v="470"/>
    <n v="330"/>
    <n v="11"/>
    <n v="2"/>
    <n v="5"/>
    <n v="20"/>
    <n v="6"/>
    <n v="7"/>
    <d v="2022-07-13T00:00:00"/>
    <n v="2.5"/>
    <s v="DEL"/>
    <x v="0"/>
    <x v="1"/>
    <x v="0"/>
  </r>
  <r>
    <s v="España"/>
    <m/>
    <x v="20"/>
    <n v="469197459"/>
    <m/>
    <x v="0"/>
    <n v="1"/>
    <s v=""/>
    <m/>
    <s v=""/>
    <n v="20"/>
    <n v="13"/>
    <n v="490"/>
    <n v="330"/>
    <n v="12"/>
    <n v="2"/>
    <n v="5"/>
    <n v="20"/>
    <n v="7"/>
    <n v="7"/>
    <d v="2022-07-13T00:00:00"/>
    <n v="25"/>
    <s v="DEL"/>
    <x v="0"/>
    <x v="0"/>
    <x v="0"/>
  </r>
  <r>
    <s v="España"/>
    <m/>
    <x v="21"/>
    <n v="455749117"/>
    <m/>
    <x v="0"/>
    <n v="1"/>
    <s v=""/>
    <m/>
    <s v=""/>
    <n v="26"/>
    <n v="42"/>
    <n v="750"/>
    <n v="390"/>
    <n v="94"/>
    <n v="2"/>
    <n v="7"/>
    <n v="20"/>
    <n v="2"/>
    <n v="7"/>
    <d v="2021-01-10T00:00:00"/>
    <n v="2"/>
    <s v="MC"/>
    <x v="0"/>
    <x v="0"/>
    <x v="0"/>
  </r>
  <r>
    <s v="España"/>
    <m/>
    <x v="21"/>
    <n v="455749117"/>
    <m/>
    <x v="0"/>
    <n v="1"/>
    <s v=""/>
    <m/>
    <m/>
    <n v="26"/>
    <n v="38"/>
    <n v="820"/>
    <n v="390"/>
    <n v="94"/>
    <n v="2"/>
    <n v="7"/>
    <n v="20"/>
    <n v="3"/>
    <n v="7"/>
    <d v="2021-01-10T00:00:00"/>
    <n v="2"/>
    <s v="MC"/>
    <x v="0"/>
    <x v="1"/>
    <x v="0"/>
  </r>
  <r>
    <s v="España"/>
    <m/>
    <x v="22"/>
    <n v="470002012"/>
    <m/>
    <x v="0"/>
    <n v="1"/>
    <s v=""/>
    <m/>
    <s v=""/>
    <n v="18"/>
    <n v="42"/>
    <n v="1230"/>
    <n v="310"/>
    <n v="8"/>
    <n v="1"/>
    <n v="5"/>
    <n v="20"/>
    <n v="6"/>
    <n v="7"/>
    <d v="2022-07-16T00:00:00"/>
    <n v="35"/>
    <s v="MC"/>
    <x v="0"/>
    <x v="0"/>
    <x v="0"/>
  </r>
  <r>
    <s v="España"/>
    <m/>
    <x v="22"/>
    <n v="470002012"/>
    <m/>
    <x v="0"/>
    <n v="1"/>
    <s v=""/>
    <m/>
    <m/>
    <n v="18"/>
    <n v="38"/>
    <n v="1280"/>
    <n v="310"/>
    <n v="7"/>
    <n v="1"/>
    <n v="5"/>
    <n v="20"/>
    <n v="6"/>
    <n v="7"/>
    <d v="2022-07-16T00:00:00"/>
    <n v="3.5"/>
    <s v="MC"/>
    <x v="0"/>
    <x v="1"/>
    <x v="0"/>
  </r>
  <r>
    <s v="España"/>
    <m/>
    <x v="23"/>
    <n v="450071872"/>
    <m/>
    <x v="3"/>
    <n v="1"/>
    <s v=""/>
    <m/>
    <s v=""/>
    <n v="26"/>
    <n v="67"/>
    <n v="540"/>
    <n v="350"/>
    <n v="125"/>
    <n v="2"/>
    <n v="2"/>
    <n v="20"/>
    <n v="1"/>
    <n v="7"/>
    <d v="2022-03-30T00:00:00"/>
    <n v="2"/>
    <s v="MC"/>
    <x v="0"/>
    <x v="0"/>
    <x v="0"/>
  </r>
  <r>
    <s v="España"/>
    <m/>
    <x v="23"/>
    <n v="450071872"/>
    <m/>
    <x v="3"/>
    <n v="1"/>
    <s v=""/>
    <m/>
    <m/>
    <n v="26"/>
    <n v="63"/>
    <n v="560"/>
    <n v="350"/>
    <n v="124"/>
    <n v="2"/>
    <n v="2"/>
    <n v="20"/>
    <n v="1"/>
    <n v="7"/>
    <d v="2022-03-30T00:00:00"/>
    <n v="2"/>
    <s v="MC"/>
    <x v="0"/>
    <x v="1"/>
    <x v="0"/>
  </r>
  <r>
    <s v="España"/>
    <m/>
    <x v="24"/>
    <n v="440480860"/>
    <m/>
    <x v="0"/>
    <n v="1"/>
    <s v=""/>
    <m/>
    <s v=""/>
    <n v="29"/>
    <n v="25"/>
    <n v="370"/>
    <n v="290"/>
    <n v="190"/>
    <n v="2"/>
    <n v="3"/>
    <n v="20"/>
    <n v="4"/>
    <n v="7"/>
    <d v="2021-11-17T00:00:00"/>
    <n v="3"/>
    <s v="DEL"/>
    <x v="0"/>
    <x v="0"/>
    <x v="0"/>
  </r>
  <r>
    <s v="España"/>
    <m/>
    <x v="24"/>
    <n v="440480860"/>
    <m/>
    <x v="0"/>
    <n v="1"/>
    <s v=""/>
    <m/>
    <m/>
    <n v="29"/>
    <n v="21"/>
    <n v="390"/>
    <n v="290"/>
    <n v="189"/>
    <n v="2"/>
    <n v="3"/>
    <n v="20"/>
    <n v="4"/>
    <n v="7"/>
    <d v="2021-11-17T00:00:00"/>
    <n v="3"/>
    <s v="DEL"/>
    <x v="0"/>
    <x v="1"/>
    <x v="0"/>
  </r>
  <r>
    <s v="Ucrania"/>
    <n v="4"/>
    <x v="25"/>
    <n v="436494782"/>
    <m/>
    <x v="3"/>
    <m/>
    <s v=""/>
    <m/>
    <s v=""/>
    <n v="30"/>
    <n v="68"/>
    <n v="281740"/>
    <n v="55032"/>
    <n v="155"/>
    <n v="12"/>
    <n v="4"/>
    <n v="20"/>
    <n v="6"/>
    <n v="8"/>
    <d v="2022-07-30T00:00:00"/>
    <n v="105"/>
    <s v="MC"/>
    <x v="1"/>
    <x v="0"/>
    <x v="7"/>
  </r>
  <r>
    <s v="Ucrania"/>
    <n v="4"/>
    <x v="25"/>
    <n v="436494782"/>
    <m/>
    <x v="3"/>
    <m/>
    <s v=""/>
    <m/>
    <m/>
    <n v="30"/>
    <n v="64"/>
    <n v="283770"/>
    <n v="55032"/>
    <n v="154"/>
    <n v="12"/>
    <n v="4"/>
    <n v="20"/>
    <n v="6"/>
    <n v="8"/>
    <d v="2022-07-30T00:00:00"/>
    <n v="10.5"/>
    <s v="MC"/>
    <x v="1"/>
    <x v="1"/>
    <x v="7"/>
  </r>
  <r>
    <s v="España"/>
    <n v="80"/>
    <x v="26"/>
    <n v="427395500"/>
    <m/>
    <x v="1"/>
    <n v="1"/>
    <s v=""/>
    <m/>
    <s v=""/>
    <n v="35"/>
    <n v="2"/>
    <n v="130"/>
    <n v="280"/>
    <n v="275"/>
    <n v="3"/>
    <n v="3"/>
    <n v="20"/>
    <n v="4"/>
    <n v="5"/>
    <d v="2022-05-14T00:00:00"/>
    <n v="5"/>
    <s v="EI"/>
    <x v="0"/>
    <x v="0"/>
    <x v="0"/>
  </r>
  <r>
    <s v="España"/>
    <n v="80"/>
    <x v="26"/>
    <n v="427395500"/>
    <m/>
    <x v="1"/>
    <n v="1"/>
    <s v=""/>
    <m/>
    <m/>
    <n v="34"/>
    <n v="110"/>
    <n v="140"/>
    <n v="310"/>
    <n v="274"/>
    <n v="3"/>
    <n v="3"/>
    <n v="20"/>
    <n v="4"/>
    <n v="5"/>
    <d v="2022-05-14T00:00:00"/>
    <n v="5"/>
    <s v="EI"/>
    <x v="0"/>
    <x v="1"/>
    <x v="0"/>
  </r>
  <r>
    <s v="Irán"/>
    <n v="21"/>
    <x v="27"/>
    <n v="416724524"/>
    <m/>
    <x v="5"/>
    <m/>
    <s v=""/>
    <m/>
    <s v=""/>
    <n v="37"/>
    <n v="94"/>
    <n v="2620"/>
    <n v="648"/>
    <n v="116"/>
    <n v="13"/>
    <n v="1"/>
    <n v="20"/>
    <n v="7"/>
    <n v="5"/>
    <d v="2022-08-03T00:00:00"/>
    <n v="65"/>
    <s v="DEL"/>
    <x v="0"/>
    <x v="0"/>
    <x v="0"/>
  </r>
  <r>
    <s v="Irán"/>
    <n v="21"/>
    <x v="27"/>
    <n v="416724524"/>
    <m/>
    <x v="5"/>
    <m/>
    <s v=""/>
    <m/>
    <m/>
    <n v="37"/>
    <n v="90"/>
    <n v="2720"/>
    <n v="648"/>
    <n v="115"/>
    <n v="13"/>
    <n v="1"/>
    <n v="20"/>
    <n v="7"/>
    <n v="5"/>
    <d v="2022-07-27T00:00:00"/>
    <n v="3"/>
    <s v="DC"/>
    <x v="0"/>
    <x v="1"/>
    <x v="0"/>
  </r>
  <r>
    <s v="Portugal"/>
    <n v="10"/>
    <x v="28"/>
    <n v="427125745"/>
    <m/>
    <x v="2"/>
    <m/>
    <s v=""/>
    <m/>
    <m/>
    <n v="34"/>
    <n v="22"/>
    <n v="50970"/>
    <n v="22656"/>
    <n v="40"/>
    <n v="15"/>
    <n v="3"/>
    <n v="18"/>
    <n v="7"/>
    <n v="7"/>
    <d v="2022-07-30T00:00:00"/>
    <n v="9.5"/>
    <s v="DC"/>
    <x v="1"/>
    <x v="1"/>
    <x v="7"/>
  </r>
  <r>
    <s v="Portugal"/>
    <n v="10"/>
    <x v="28"/>
    <n v="427125745"/>
    <m/>
    <x v="2"/>
    <m/>
    <s v=""/>
    <m/>
    <s v=""/>
    <n v="34"/>
    <n v="26"/>
    <n v="51400"/>
    <n v="22656"/>
    <n v="41"/>
    <n v="15"/>
    <n v="3"/>
    <n v="18"/>
    <n v="7"/>
    <n v="7"/>
    <d v="2022-08-03T00:00:00"/>
    <n v="95"/>
    <s v="MC"/>
    <x v="1"/>
    <x v="0"/>
    <x v="7"/>
  </r>
  <r>
    <s v="Alemania"/>
    <n v="23"/>
    <x v="29"/>
    <n v="432131108"/>
    <m/>
    <x v="1"/>
    <m/>
    <s v=""/>
    <m/>
    <m/>
    <n v="32"/>
    <n v="68"/>
    <n v="76000"/>
    <n v="10452"/>
    <n v="81"/>
    <n v="10"/>
    <n v="6"/>
    <n v="20"/>
    <n v="5"/>
    <n v="7"/>
    <d v="2022-07-27T00:00:00"/>
    <n v="9"/>
    <s v="DEL"/>
    <x v="1"/>
    <x v="1"/>
    <x v="8"/>
  </r>
  <r>
    <s v="Alemania"/>
    <n v="23"/>
    <x v="29"/>
    <n v="432131108"/>
    <m/>
    <x v="1"/>
    <m/>
    <s v=""/>
    <m/>
    <s v=""/>
    <n v="32"/>
    <n v="72"/>
    <n v="80270"/>
    <n v="10452"/>
    <n v="82"/>
    <n v="10"/>
    <n v="6"/>
    <n v="20"/>
    <n v="6"/>
    <n v="7"/>
    <d v="2022-08-03T00:00:00"/>
    <n v="9"/>
    <s v="DEL"/>
    <x v="1"/>
    <x v="0"/>
    <x v="8"/>
  </r>
  <r>
    <s v="España"/>
    <n v="26"/>
    <x v="30"/>
    <n v="460847842"/>
    <m/>
    <x v="1"/>
    <n v="1"/>
    <s v=""/>
    <m/>
    <s v=""/>
    <n v="21"/>
    <n v="21"/>
    <n v="250"/>
    <n v="270"/>
    <n v="59"/>
    <n v="2"/>
    <n v="4"/>
    <n v="20"/>
    <n v="2"/>
    <n v="8"/>
    <d v="2022-06-15T00:00:00"/>
    <n v="15"/>
    <s v="MC"/>
    <x v="0"/>
    <x v="0"/>
    <x v="0"/>
  </r>
  <r>
    <s v="España"/>
    <n v="26"/>
    <x v="30"/>
    <n v="460847842"/>
    <m/>
    <x v="1"/>
    <n v="1"/>
    <s v=""/>
    <m/>
    <m/>
    <n v="21"/>
    <n v="17"/>
    <n v="300"/>
    <n v="270"/>
    <n v="58"/>
    <n v="2"/>
    <n v="4"/>
    <n v="20"/>
    <n v="3"/>
    <n v="8"/>
    <d v="2022-06-15T00:00:00"/>
    <n v="1.5"/>
    <s v="MC"/>
    <x v="0"/>
    <x v="1"/>
    <x v="0"/>
  </r>
  <r>
    <s v="Polonia"/>
    <n v="20"/>
    <x v="31"/>
    <n v="414268403"/>
    <m/>
    <x v="1"/>
    <m/>
    <s v=""/>
    <m/>
    <s v=""/>
    <n v="39"/>
    <n v="0"/>
    <n v="2190"/>
    <n v="468"/>
    <n v="98"/>
    <n v="12"/>
    <n v="4"/>
    <n v="20"/>
    <n v="5"/>
    <n v="4"/>
    <d v="2022-08-03T00:00:00"/>
    <n v="45"/>
    <s v="DC"/>
    <x v="0"/>
    <x v="0"/>
    <x v="0"/>
  </r>
  <r>
    <s v="Polonia"/>
    <n v="20"/>
    <x v="31"/>
    <n v="414268403"/>
    <m/>
    <x v="1"/>
    <m/>
    <s v=""/>
    <m/>
    <m/>
    <n v="38"/>
    <n v="108"/>
    <n v="2660"/>
    <n v="696"/>
    <n v="98"/>
    <n v="12"/>
    <n v="4"/>
    <n v="20"/>
    <n v="6"/>
    <n v="4"/>
    <d v="2022-07-20T00:00:00"/>
    <n v="2"/>
    <s v="POR"/>
    <x v="0"/>
    <x v="1"/>
    <x v="0"/>
  </r>
  <r>
    <s v="Palestina"/>
    <n v="5"/>
    <x v="32"/>
    <n v="435437953"/>
    <m/>
    <x v="2"/>
    <m/>
    <s v=""/>
    <m/>
    <s v=""/>
    <n v="31"/>
    <n v="37"/>
    <n v="331140"/>
    <n v="46848"/>
    <n v="225"/>
    <n v="17"/>
    <n v="1"/>
    <n v="20"/>
    <n v="7"/>
    <n v="8"/>
    <d v="2022-08-03T00:00:00"/>
    <n v="85"/>
    <s v="DC"/>
    <x v="1"/>
    <x v="0"/>
    <x v="9"/>
  </r>
  <r>
    <s v="Palestina"/>
    <n v="5"/>
    <x v="32"/>
    <n v="435437953"/>
    <m/>
    <x v="2"/>
    <m/>
    <s v=""/>
    <m/>
    <m/>
    <n v="31"/>
    <n v="33"/>
    <n v="340090"/>
    <n v="46848"/>
    <n v="224"/>
    <n v="17"/>
    <n v="1"/>
    <n v="20"/>
    <n v="7"/>
    <n v="8"/>
    <d v="2022-07-30T00:00:00"/>
    <n v="11.5"/>
    <s v="ED"/>
    <x v="1"/>
    <x v="1"/>
    <x v="9"/>
  </r>
  <r>
    <s v="España"/>
    <m/>
    <x v="33"/>
    <n v="471121858"/>
    <m/>
    <x v="4"/>
    <n v="1"/>
    <s v=""/>
    <m/>
    <n v="1"/>
    <n v="17"/>
    <n v="97"/>
    <n v="1000"/>
    <n v="290"/>
    <n v="0"/>
    <n v="2"/>
    <n v="6"/>
    <n v="20"/>
    <n v="6"/>
    <n v="4"/>
    <m/>
    <m/>
    <s v=""/>
    <x v="0"/>
    <x v="1"/>
    <x v="9"/>
  </r>
  <r>
    <s v="Argentina"/>
    <n v="1"/>
    <x v="34"/>
    <n v="435755456"/>
    <m/>
    <x v="0"/>
    <m/>
    <s v=""/>
    <m/>
    <m/>
    <n v="31"/>
    <n v="66"/>
    <n v="52730"/>
    <n v="31128"/>
    <n v="18"/>
    <n v="11"/>
    <n v="4"/>
    <n v="12"/>
    <n v="5"/>
    <n v="7"/>
    <d v="2022-07-30T00:00:00"/>
    <n v="8"/>
    <s v="POR"/>
    <x v="1"/>
    <x v="1"/>
    <x v="10"/>
  </r>
  <r>
    <s v="Argentina"/>
    <n v="1"/>
    <x v="34"/>
    <n v="435755456"/>
    <m/>
    <x v="0"/>
    <m/>
    <s v=""/>
    <m/>
    <s v=""/>
    <n v="31"/>
    <n v="70"/>
    <n v="56750"/>
    <n v="31128"/>
    <n v="19"/>
    <n v="11"/>
    <n v="4"/>
    <n v="13"/>
    <n v="5"/>
    <n v="7"/>
    <d v="2022-08-03T00:00:00"/>
    <n v="8"/>
    <s v="POR"/>
    <x v="1"/>
    <x v="0"/>
    <x v="10"/>
  </r>
  <r>
    <s v="Suecia"/>
    <n v="14"/>
    <x v="35"/>
    <n v="436420259"/>
    <m/>
    <x v="5"/>
    <m/>
    <s v=""/>
    <m/>
    <m/>
    <n v="30"/>
    <n v="74"/>
    <n v="264900"/>
    <n v="35892"/>
    <n v="2"/>
    <n v="11"/>
    <n v="2"/>
    <n v="4"/>
    <n v="8"/>
    <n v="7"/>
    <d v="2022-07-30T00:00:00"/>
    <n v="9.5"/>
    <s v="LI"/>
    <x v="1"/>
    <x v="1"/>
    <x v="1"/>
  </r>
  <r>
    <s v="Suecia"/>
    <n v="14"/>
    <x v="35"/>
    <n v="436420259"/>
    <m/>
    <x v="5"/>
    <m/>
    <s v=""/>
    <m/>
    <s v=""/>
    <n v="30"/>
    <n v="78"/>
    <n v="270320"/>
    <n v="35892"/>
    <n v="2"/>
    <n v="11"/>
    <n v="2"/>
    <n v="5"/>
    <n v="8"/>
    <n v="7"/>
    <d v="2022-08-03T00:00:00"/>
    <n v="9"/>
    <s v="EI"/>
    <x v="1"/>
    <x v="0"/>
    <x v="1"/>
  </r>
  <r>
    <s v="Dinamarca"/>
    <n v="9"/>
    <x v="36"/>
    <n v="435557103"/>
    <m/>
    <x v="2"/>
    <m/>
    <s v=""/>
    <m/>
    <m/>
    <n v="31"/>
    <n v="5"/>
    <n v="150760"/>
    <n v="56568"/>
    <n v="2"/>
    <n v="10"/>
    <n v="2"/>
    <n v="5"/>
    <n v="5"/>
    <n v="7"/>
    <d v="2022-07-23T00:00:00"/>
    <n v="6.5"/>
    <s v="ED"/>
    <x v="1"/>
    <x v="1"/>
    <x v="5"/>
  </r>
  <r>
    <s v="Dinamarca"/>
    <n v="9"/>
    <x v="36"/>
    <n v="435557103"/>
    <m/>
    <x v="2"/>
    <m/>
    <s v=""/>
    <m/>
    <s v=""/>
    <n v="31"/>
    <n v="9"/>
    <n v="158870"/>
    <n v="56568"/>
    <n v="2"/>
    <n v="10"/>
    <n v="2"/>
    <n v="5"/>
    <n v="6"/>
    <n v="7"/>
    <d v="2022-08-03T00:00:00"/>
    <n v="45"/>
    <s v="DEL"/>
    <x v="1"/>
    <x v="0"/>
    <x v="5"/>
  </r>
  <r>
    <m/>
    <m/>
    <x v="37"/>
    <m/>
    <m/>
    <x v="6"/>
    <m/>
    <m/>
    <m/>
    <m/>
    <m/>
    <m/>
    <m/>
    <m/>
    <m/>
    <m/>
    <m/>
    <m/>
    <m/>
    <m/>
    <m/>
    <m/>
    <m/>
    <x v="2"/>
    <x v="2"/>
    <x v="0"/>
  </r>
  <r>
    <m/>
    <m/>
    <x v="37"/>
    <m/>
    <m/>
    <x v="6"/>
    <m/>
    <m/>
    <m/>
    <m/>
    <m/>
    <m/>
    <m/>
    <m/>
    <m/>
    <m/>
    <m/>
    <m/>
    <m/>
    <m/>
    <m/>
    <m/>
    <m/>
    <x v="2"/>
    <x v="2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Argentina"/>
    <n v="11"/>
    <x v="0"/>
    <n v="442222377"/>
    <m/>
    <x v="0"/>
    <m/>
    <m/>
    <s v=""/>
    <s v=""/>
    <n v="28"/>
    <n v="11"/>
    <n v="308240"/>
    <n v="71364"/>
    <n v="177"/>
    <n v="11"/>
    <n v="6"/>
    <n v="20"/>
    <x v="0"/>
    <n v="8"/>
    <d v="2022-07-27T00:00:00"/>
    <n v="10.5"/>
    <s v="MC"/>
    <x v="0"/>
    <x v="0"/>
    <x v="0"/>
  </r>
  <r>
    <s v="Argentina"/>
    <n v="11"/>
    <x v="0"/>
    <n v="442222377"/>
    <m/>
    <x v="0"/>
    <m/>
    <m/>
    <s v=""/>
    <s v=""/>
    <n v="28"/>
    <n v="21"/>
    <n v="302680"/>
    <n v="71364"/>
    <n v="178"/>
    <n v="11"/>
    <n v="6"/>
    <n v="20"/>
    <x v="1"/>
    <n v="8"/>
    <d v="2022-08-06T00:00:00"/>
    <n v="10"/>
    <s v="MC"/>
    <x v="0"/>
    <x v="1"/>
    <x v="0"/>
  </r>
  <r>
    <s v="Azerbaiyán"/>
    <n v="10"/>
    <x v="1"/>
    <n v="441405607"/>
    <m/>
    <x v="0"/>
    <m/>
    <n v="1"/>
    <s v=""/>
    <s v=""/>
    <n v="28"/>
    <n v="59"/>
    <n v="295170"/>
    <n v="64608"/>
    <n v="183"/>
    <n v="14"/>
    <n v="2"/>
    <n v="20"/>
    <x v="2"/>
    <n v="8"/>
    <d v="2022-08-06T00:00:00"/>
    <n v="9"/>
    <s v="MC"/>
    <x v="0"/>
    <x v="1"/>
    <x v="0"/>
  </r>
  <r>
    <s v="Azerbaiyán"/>
    <n v="10"/>
    <x v="1"/>
    <n v="441405607"/>
    <m/>
    <x v="0"/>
    <m/>
    <m/>
    <s v=""/>
    <s v=""/>
    <n v="28"/>
    <n v="49"/>
    <n v="294780"/>
    <n v="64608"/>
    <n v="182"/>
    <n v="14"/>
    <n v="2"/>
    <n v="20"/>
    <x v="2"/>
    <n v="8"/>
    <d v="2022-07-27T00:00:00"/>
    <n v="7.5"/>
    <s v="MC"/>
    <x v="0"/>
    <x v="0"/>
    <x v="0"/>
  </r>
  <r>
    <s v="Rumanía"/>
    <n v="5"/>
    <x v="2"/>
    <n v="442176787"/>
    <m/>
    <x v="0"/>
    <m/>
    <m/>
    <s v=""/>
    <s v=""/>
    <n v="28"/>
    <n v="57"/>
    <n v="284910"/>
    <n v="50352"/>
    <n v="177"/>
    <n v="9"/>
    <n v="4"/>
    <n v="20"/>
    <x v="0"/>
    <n v="8"/>
    <d v="2022-07-27T00:00:00"/>
    <n v="7"/>
    <s v="DEL"/>
    <x v="0"/>
    <x v="0"/>
    <x v="0"/>
  </r>
  <r>
    <s v="España"/>
    <n v="8"/>
    <x v="3"/>
    <n v="442222936"/>
    <m/>
    <x v="0"/>
    <m/>
    <m/>
    <s v=""/>
    <s v=""/>
    <n v="28"/>
    <n v="21"/>
    <n v="273360"/>
    <n v="61170"/>
    <n v="178"/>
    <n v="11"/>
    <n v="7"/>
    <n v="20"/>
    <x v="2"/>
    <n v="8"/>
    <d v="2022-08-06T00:00:00"/>
    <n v="9"/>
    <s v="MC"/>
    <x v="0"/>
    <x v="1"/>
    <x v="0"/>
  </r>
  <r>
    <s v="Alemania"/>
    <n v="4"/>
    <x v="4"/>
    <n v="441501946"/>
    <m/>
    <x v="0"/>
    <m/>
    <m/>
    <s v=""/>
    <s v=""/>
    <n v="28"/>
    <n v="54"/>
    <n v="272510"/>
    <n v="51240"/>
    <n v="178"/>
    <n v="10"/>
    <n v="5"/>
    <n v="20"/>
    <x v="1"/>
    <n v="8"/>
    <d v="2022-08-06T00:00:00"/>
    <n v="8"/>
    <s v="DC"/>
    <x v="0"/>
    <x v="1"/>
    <x v="0"/>
  </r>
  <r>
    <s v="Rumanía"/>
    <n v="5"/>
    <x v="2"/>
    <n v="442176787"/>
    <m/>
    <x v="0"/>
    <m/>
    <m/>
    <s v=""/>
    <s v=""/>
    <n v="28"/>
    <n v="67"/>
    <n v="271890"/>
    <n v="50352"/>
    <n v="178"/>
    <n v="9"/>
    <n v="4"/>
    <n v="20"/>
    <x v="1"/>
    <n v="8"/>
    <d v="2022-08-06T00:00:00"/>
    <n v="7"/>
    <s v="LD"/>
    <x v="0"/>
    <x v="1"/>
    <x v="0"/>
  </r>
  <r>
    <s v="Alemania"/>
    <n v="4"/>
    <x v="4"/>
    <n v="441501946"/>
    <m/>
    <x v="0"/>
    <m/>
    <m/>
    <s v=""/>
    <s v=""/>
    <n v="28"/>
    <n v="44"/>
    <n v="259970"/>
    <n v="51240"/>
    <n v="177"/>
    <n v="10"/>
    <n v="5"/>
    <n v="20"/>
    <x v="1"/>
    <n v="8"/>
    <d v="2022-07-27T00:00:00"/>
    <n v="7"/>
    <s v="DEL"/>
    <x v="0"/>
    <x v="0"/>
    <x v="0"/>
  </r>
  <r>
    <s v="España"/>
    <n v="8"/>
    <x v="3"/>
    <n v="442222936"/>
    <m/>
    <x v="0"/>
    <m/>
    <m/>
    <s v=""/>
    <s v=""/>
    <n v="28"/>
    <n v="11"/>
    <n v="245390"/>
    <n v="61170"/>
    <n v="177"/>
    <n v="11"/>
    <n v="7"/>
    <n v="20"/>
    <x v="3"/>
    <n v="8"/>
    <d v="2022-07-27T00:00:00"/>
    <n v="8.5"/>
    <s v="MC"/>
    <x v="0"/>
    <x v="0"/>
    <x v="0"/>
  </r>
  <r>
    <s v="España"/>
    <n v="6"/>
    <x v="5"/>
    <n v="441463617"/>
    <m/>
    <x v="0"/>
    <m/>
    <m/>
    <s v=""/>
    <s v=""/>
    <n v="28"/>
    <n v="46"/>
    <n v="235780"/>
    <n v="37660"/>
    <n v="182"/>
    <n v="9"/>
    <n v="5"/>
    <n v="20"/>
    <x v="0"/>
    <n v="8"/>
    <d v="2022-07-27T00:00:00"/>
    <n v="6.5"/>
    <s v="DEL"/>
    <x v="0"/>
    <x v="0"/>
    <x v="0"/>
  </r>
  <r>
    <s v="España"/>
    <n v="6"/>
    <x v="5"/>
    <n v="441463617"/>
    <m/>
    <x v="0"/>
    <m/>
    <m/>
    <s v=""/>
    <s v=""/>
    <n v="28"/>
    <n v="56"/>
    <n v="218520"/>
    <n v="37660"/>
    <n v="183"/>
    <n v="9"/>
    <n v="5"/>
    <n v="20"/>
    <x v="2"/>
    <n v="8"/>
    <d v="2022-08-06T00:00:00"/>
    <n v="8"/>
    <s v="DC"/>
    <x v="0"/>
    <x v="1"/>
    <x v="0"/>
  </r>
  <r>
    <s v="República Checa"/>
    <m/>
    <x v="6"/>
    <n v="436089834"/>
    <m/>
    <x v="0"/>
    <m/>
    <m/>
    <s v=""/>
    <s v=""/>
    <n v="30"/>
    <n v="106"/>
    <n v="109350"/>
    <n v="35100"/>
    <n v="67"/>
    <n v="11"/>
    <n v="3"/>
    <n v="20"/>
    <x v="2"/>
    <n v="7"/>
    <d v="2022-07-27T00:00:00"/>
    <n v="7"/>
    <s v="ED"/>
    <x v="0"/>
    <x v="0"/>
    <x v="0"/>
  </r>
  <r>
    <s v="Islandia"/>
    <m/>
    <x v="7"/>
    <n v="435449364"/>
    <m/>
    <x v="1"/>
    <m/>
    <m/>
    <s v=""/>
    <s v=""/>
    <n v="31"/>
    <n v="16"/>
    <n v="97050"/>
    <n v="38052"/>
    <n v="68"/>
    <n v="11"/>
    <n v="5"/>
    <n v="20"/>
    <x v="1"/>
    <n v="7"/>
    <d v="2022-08-06T00:00:00"/>
    <n v="6.5"/>
    <s v="DC"/>
    <x v="0"/>
    <x v="1"/>
    <x v="0"/>
  </r>
  <r>
    <s v="Islandia"/>
    <m/>
    <x v="7"/>
    <n v="435449364"/>
    <m/>
    <x v="1"/>
    <m/>
    <m/>
    <s v=""/>
    <s v=""/>
    <n v="31"/>
    <n v="6"/>
    <n v="95930"/>
    <n v="38052"/>
    <n v="67"/>
    <n v="11"/>
    <n v="5"/>
    <n v="20"/>
    <x v="1"/>
    <n v="7"/>
    <d v="2022-07-27T00:00:00"/>
    <n v="7"/>
    <s v="EI"/>
    <x v="0"/>
    <x v="0"/>
    <x v="0"/>
  </r>
  <r>
    <s v="Holanda"/>
    <m/>
    <x v="8"/>
    <n v="435688371"/>
    <m/>
    <x v="2"/>
    <m/>
    <m/>
    <s v=""/>
    <s v=""/>
    <n v="31"/>
    <n v="33"/>
    <n v="89310"/>
    <n v="33036"/>
    <n v="68"/>
    <n v="11"/>
    <n v="2"/>
    <n v="20"/>
    <x v="1"/>
    <n v="7"/>
    <d v="2022-08-06T00:00:00"/>
    <n v="6.5"/>
    <s v="ED"/>
    <x v="0"/>
    <x v="1"/>
    <x v="0"/>
  </r>
  <r>
    <s v="Holanda"/>
    <m/>
    <x v="8"/>
    <n v="435688371"/>
    <m/>
    <x v="2"/>
    <m/>
    <m/>
    <s v=""/>
    <s v=""/>
    <n v="31"/>
    <n v="23"/>
    <n v="88360"/>
    <n v="33036"/>
    <n v="67"/>
    <n v="11"/>
    <n v="2"/>
    <n v="20"/>
    <x v="1"/>
    <n v="7"/>
    <d v="2022-07-27T00:00:00"/>
    <n v="6.5"/>
    <s v="DC"/>
    <x v="0"/>
    <x v="0"/>
    <x v="0"/>
  </r>
  <r>
    <s v="República Checa"/>
    <m/>
    <x v="6"/>
    <n v="436089834"/>
    <m/>
    <x v="0"/>
    <m/>
    <m/>
    <s v=""/>
    <s v=""/>
    <n v="31"/>
    <n v="4"/>
    <n v="86450"/>
    <n v="33984"/>
    <n v="68"/>
    <n v="11"/>
    <n v="3"/>
    <n v="20"/>
    <x v="2"/>
    <n v="7"/>
    <d v="2022-08-06T00:00:00"/>
    <n v="7"/>
    <s v="EI"/>
    <x v="0"/>
    <x v="1"/>
    <x v="0"/>
  </r>
  <r>
    <s v="Polonia"/>
    <m/>
    <x v="9"/>
    <n v="438527029"/>
    <m/>
    <x v="1"/>
    <m/>
    <m/>
    <s v=""/>
    <s v=""/>
    <n v="30"/>
    <n v="40"/>
    <n v="86400"/>
    <n v="34080"/>
    <n v="46"/>
    <n v="7"/>
    <n v="6"/>
    <n v="19"/>
    <x v="2"/>
    <n v="7"/>
    <d v="2022-07-27T00:00:00"/>
    <n v="8.5"/>
    <s v="POR"/>
    <x v="0"/>
    <x v="0"/>
    <x v="1"/>
  </r>
  <r>
    <s v="Polonia"/>
    <m/>
    <x v="9"/>
    <n v="438527029"/>
    <m/>
    <x v="1"/>
    <m/>
    <n v="1"/>
    <s v=""/>
    <s v=""/>
    <n v="30"/>
    <n v="50"/>
    <n v="82670"/>
    <n v="34080"/>
    <n v="47"/>
    <n v="7"/>
    <n v="6"/>
    <n v="19"/>
    <x v="2"/>
    <n v="7"/>
    <d v="2022-08-06T00:00:00"/>
    <n v="8"/>
    <s v="POR"/>
    <x v="0"/>
    <x v="1"/>
    <x v="1"/>
  </r>
  <r>
    <s v="Letonia"/>
    <m/>
    <x v="10"/>
    <n v="431224460"/>
    <m/>
    <x v="1"/>
    <m/>
    <m/>
    <s v=""/>
    <s v=""/>
    <n v="32"/>
    <n v="107"/>
    <n v="67700"/>
    <n v="26796"/>
    <n v="17"/>
    <n v="11"/>
    <n v="3"/>
    <n v="12"/>
    <x v="1"/>
    <n v="6"/>
    <d v="2022-07-23T00:00:00"/>
    <n v="8"/>
    <s v="MC"/>
    <x v="0"/>
    <x v="0"/>
    <x v="0"/>
  </r>
  <r>
    <s v="Suiza"/>
    <m/>
    <x v="11"/>
    <n v="434933625"/>
    <m/>
    <x v="1"/>
    <m/>
    <m/>
    <s v=""/>
    <s v=""/>
    <n v="31"/>
    <n v="32"/>
    <n v="63030"/>
    <n v="24348"/>
    <n v="68"/>
    <n v="11"/>
    <n v="3"/>
    <n v="20"/>
    <x v="2"/>
    <n v="7"/>
    <d v="2022-08-06T00:00:00"/>
    <n v="7.5"/>
    <s v="LI"/>
    <x v="0"/>
    <x v="1"/>
    <x v="0"/>
  </r>
  <r>
    <s v="Suiza"/>
    <m/>
    <x v="11"/>
    <n v="434933625"/>
    <m/>
    <x v="1"/>
    <m/>
    <m/>
    <s v=""/>
    <s v=""/>
    <n v="31"/>
    <n v="22"/>
    <n v="60950"/>
    <n v="24348"/>
    <n v="66"/>
    <n v="11"/>
    <n v="3"/>
    <n v="20"/>
    <x v="2"/>
    <n v="7"/>
    <d v="2022-07-23T00:00:00"/>
    <n v="7.5"/>
    <s v="DC"/>
    <x v="0"/>
    <x v="0"/>
    <x v="0"/>
  </r>
  <r>
    <s v="Letonia"/>
    <m/>
    <x v="10"/>
    <n v="431224460"/>
    <m/>
    <x v="1"/>
    <m/>
    <m/>
    <s v=""/>
    <s v=""/>
    <n v="33"/>
    <n v="5"/>
    <n v="46250"/>
    <n v="22464"/>
    <n v="19"/>
    <n v="11"/>
    <n v="3"/>
    <n v="12"/>
    <x v="0"/>
    <n v="6"/>
    <d v="2022-08-06T00:00:00"/>
    <n v="3"/>
    <s v="POR"/>
    <x v="0"/>
    <x v="1"/>
    <x v="0"/>
  </r>
  <r>
    <s v="España"/>
    <m/>
    <x v="12"/>
    <n v="468907924"/>
    <m/>
    <x v="3"/>
    <n v="1"/>
    <m/>
    <s v=""/>
    <s v=""/>
    <n v="18"/>
    <n v="3"/>
    <n v="440"/>
    <n v="310"/>
    <n v="15"/>
    <n v="1"/>
    <n v="4"/>
    <n v="20"/>
    <x v="1"/>
    <n v="7"/>
    <d v="2022-07-23T00:00:00"/>
    <n v="3"/>
    <s v="ED"/>
    <x v="1"/>
    <x v="1"/>
    <x v="2"/>
  </r>
  <r>
    <s v="España"/>
    <m/>
    <x v="12"/>
    <n v="468907924"/>
    <m/>
    <x v="3"/>
    <n v="1"/>
    <m/>
    <s v=""/>
    <s v=""/>
    <n v="17"/>
    <n v="105"/>
    <n v="420"/>
    <n v="290"/>
    <n v="13"/>
    <n v="1"/>
    <n v="4"/>
    <n v="20"/>
    <x v="2"/>
    <n v="7"/>
    <d v="2022-07-23T00:00:00"/>
    <n v="3"/>
    <s v="ED"/>
    <x v="1"/>
    <x v="0"/>
    <x v="2"/>
  </r>
  <r>
    <s v="Italia"/>
    <m/>
    <x v="13"/>
    <n v="422339587"/>
    <m/>
    <x v="1"/>
    <m/>
    <m/>
    <s v=""/>
    <s v=""/>
    <n v="35"/>
    <n v="107"/>
    <n v="380"/>
    <n v="816"/>
    <n v="60"/>
    <n v="8"/>
    <n v="7"/>
    <n v="20"/>
    <x v="1"/>
    <n v="5"/>
    <d v="2022-07-27T00:00:00"/>
    <n v="1.5"/>
    <s v="DC"/>
    <x v="1"/>
    <x v="0"/>
    <x v="2"/>
  </r>
  <r>
    <s v="Italia"/>
    <m/>
    <x v="13"/>
    <n v="422339587"/>
    <n v="1"/>
    <x v="1"/>
    <m/>
    <m/>
    <s v=""/>
    <s v=""/>
    <n v="36"/>
    <n v="5"/>
    <n v="370"/>
    <n v="492"/>
    <n v="61"/>
    <n v="8"/>
    <n v="7"/>
    <n v="20"/>
    <x v="1"/>
    <n v="5"/>
    <d v="2022-07-27T00:00:00"/>
    <n v="1.5"/>
    <s v="DC"/>
    <x v="1"/>
    <x v="1"/>
    <x v="2"/>
  </r>
  <r>
    <s v="España"/>
    <m/>
    <x v="14"/>
    <n v="469826787"/>
    <m/>
    <x v="1"/>
    <n v="1"/>
    <m/>
    <s v=""/>
    <s v=""/>
    <n v="19"/>
    <n v="43"/>
    <n v="120"/>
    <n v="250"/>
    <n v="8"/>
    <n v="1"/>
    <n v="2"/>
    <n v="20"/>
    <x v="2"/>
    <n v="7"/>
    <d v="2022-07-23T00:00:00"/>
    <n v="1"/>
    <s v="POR"/>
    <x v="1"/>
    <x v="0"/>
    <x v="2"/>
  </r>
  <r>
    <s v="Francia"/>
    <m/>
    <x v="15"/>
    <n v="446635122"/>
    <m/>
    <x v="1"/>
    <m/>
    <n v="3"/>
    <s v=""/>
    <s v=""/>
    <n v="39"/>
    <n v="69"/>
    <n v="0"/>
    <n v="300"/>
    <n v="60"/>
    <n v="7"/>
    <n v="7"/>
    <n v="20"/>
    <x v="2"/>
    <n v="3"/>
    <d v="2022-06-22T00:00:00"/>
    <n v="1"/>
    <s v="DC"/>
    <x v="1"/>
    <x v="0"/>
    <x v="2"/>
  </r>
  <r>
    <s v="Polonia"/>
    <m/>
    <x v="16"/>
    <n v="419134956"/>
    <n v="1"/>
    <x v="4"/>
    <m/>
    <m/>
    <s v=""/>
    <s v=""/>
    <n v="50"/>
    <n v="26"/>
    <n v="0"/>
    <n v="300"/>
    <n v="275"/>
    <n v="9"/>
    <n v="5"/>
    <n v="20"/>
    <x v="4"/>
    <n v="2"/>
    <d v="2022-07-09T00:00:00"/>
    <n v="5"/>
    <s v="LD"/>
    <x v="1"/>
    <x v="0"/>
    <x v="2"/>
  </r>
  <r>
    <s v="Polonia"/>
    <m/>
    <x v="17"/>
    <n v="453102601"/>
    <m/>
    <x v="1"/>
    <m/>
    <m/>
    <s v=""/>
    <s v=""/>
    <n v="39"/>
    <n v="102"/>
    <n v="0"/>
    <n v="300"/>
    <n v="60"/>
    <n v="7"/>
    <n v="7"/>
    <n v="20"/>
    <x v="1"/>
    <n v="3"/>
    <d v="2022-07-20T00:00:00"/>
    <n v="5"/>
    <s v="DC"/>
    <x v="1"/>
    <x v="0"/>
    <x v="2"/>
  </r>
  <r>
    <s v="Arabia Saudí"/>
    <m/>
    <x v="18"/>
    <n v="451067371"/>
    <m/>
    <x v="1"/>
    <m/>
    <m/>
    <s v=""/>
    <s v=""/>
    <n v="40"/>
    <n v="94"/>
    <n v="0"/>
    <n v="300"/>
    <n v="60"/>
    <n v="7"/>
    <n v="7"/>
    <n v="20"/>
    <x v="3"/>
    <n v="2"/>
    <d v="2022-07-23T00:00:00"/>
    <n v="5"/>
    <s v="ED"/>
    <x v="1"/>
    <x v="0"/>
    <x v="2"/>
  </r>
  <r>
    <s v="Francia"/>
    <m/>
    <x v="15"/>
    <n v="446635122"/>
    <m/>
    <x v="1"/>
    <m/>
    <n v="2"/>
    <s v=""/>
    <s v=""/>
    <n v="39"/>
    <n v="79"/>
    <n v="0"/>
    <n v="300"/>
    <n v="61"/>
    <n v="7"/>
    <n v="7"/>
    <n v="20"/>
    <x v="2"/>
    <n v="3"/>
    <d v="2022-06-22T00:00:00"/>
    <n v="1"/>
    <s v="DC"/>
    <x v="1"/>
    <x v="1"/>
    <x v="2"/>
  </r>
  <r>
    <s v="Polonia"/>
    <m/>
    <x v="17"/>
    <n v="453102601"/>
    <m/>
    <x v="1"/>
    <m/>
    <m/>
    <s v=""/>
    <s v=""/>
    <n v="40"/>
    <n v="0"/>
    <n v="0"/>
    <n v="300"/>
    <n v="61"/>
    <n v="7"/>
    <n v="7"/>
    <n v="20"/>
    <x v="1"/>
    <n v="3"/>
    <d v="2022-07-20T00:00:00"/>
    <n v="5"/>
    <s v="DC"/>
    <x v="1"/>
    <x v="1"/>
    <x v="2"/>
  </r>
  <r>
    <s v="Arabia Saudí"/>
    <m/>
    <x v="18"/>
    <n v="451067371"/>
    <m/>
    <x v="1"/>
    <m/>
    <m/>
    <s v=""/>
    <s v=""/>
    <n v="40"/>
    <n v="104"/>
    <n v="0"/>
    <n v="300"/>
    <n v="61"/>
    <n v="7"/>
    <n v="7"/>
    <n v="20"/>
    <x v="3"/>
    <n v="2"/>
    <d v="2022-07-23T00:00:00"/>
    <n v="5"/>
    <s v="ED"/>
    <x v="1"/>
    <x v="1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  <r>
    <m/>
    <m/>
    <x v="19"/>
    <m/>
    <m/>
    <x v="5"/>
    <m/>
    <m/>
    <m/>
    <m/>
    <m/>
    <m/>
    <m/>
    <m/>
    <m/>
    <m/>
    <m/>
    <m/>
    <x v="5"/>
    <m/>
    <m/>
    <m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2F785-8657-4AB2-99E6-A5574EF9AE5F}" name="TablaDinámica2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1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8">
        <item x="5"/>
        <item x="1"/>
        <item x="4"/>
        <item x="3"/>
        <item x="0"/>
        <item x="2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3" item="1" hier="-1"/>
    <pageField fld="24" item="0" hier="-1"/>
  </pageFields>
  <dataFields count="8">
    <dataField name="Cuenta de Nombre" fld="2" subtotal="count" baseField="0" baseItem="0"/>
    <dataField name="Promedio de Edad" fld="10" subtotal="average" baseField="5" baseItem="4" numFmtId="172"/>
    <dataField name="Promedio de Días" fld="11" subtotal="average" baseField="5" baseItem="3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3" numFmtId="172"/>
    <dataField name="Promedio de Experiencia" fld="15" subtotal="average" baseField="5" baseItem="2" numFmtId="172"/>
    <dataField name="Promedio de Resistencia" fld="19" subtotal="average" baseField="5" baseItem="3" numFmtId="172"/>
  </dataFields>
  <formats count="1">
    <format dxfId="54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EC0F9-841E-48F7-AD31-288AD88BEB41}" name="TablaDinámica6" cacheId="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0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8">
        <item x="3"/>
        <item x="1"/>
        <item x="0"/>
        <item x="5"/>
        <item x="2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0" hier="-1"/>
  </pageFields>
  <dataFields count="8">
    <dataField name="Cuenta de Nombre" fld="2" subtotal="count" baseField="0" baseItem="0"/>
    <dataField name="Promedio de Edad" fld="10" subtotal="average" baseField="5" baseItem="0" numFmtId="172"/>
    <dataField name="Promedio de Días" fld="11" subtotal="average" baseField="5" baseItem="0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0" numFmtId="172"/>
    <dataField name="Promedio de Experiencia" fld="15" subtotal="average" baseField="5" baseItem="0" numFmtId="172"/>
    <dataField name="Promedio de Resistencia" fld="19" subtotal="average" baseField="5" baseItem="0" numFmtId="172"/>
  </dataFields>
  <formats count="1">
    <format dxfId="7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B6DE3-8391-4E37-ACD0-CC0F2134A0E3}" name="TablaDinámica2" cacheId="20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N4:AS31" firstHeaderRow="1" firstDataRow="3" firstDataCol="2" rowPageCount="1" colPageCount="1"/>
  <pivotFields count="26">
    <pivotField showAll="0"/>
    <pivotField showAll="0"/>
    <pivotField axis="axisRow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/>
    <pivotField showAll="0"/>
    <pivotField axis="axisRow" showAll="0">
      <items count="8">
        <item x="0"/>
        <item x="5"/>
        <item x="2"/>
        <item x="3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 defaultSubtotal="0">
      <items count="11">
        <item x="10"/>
        <item x="8"/>
        <item x="2"/>
        <item x="4"/>
        <item x="6"/>
        <item x="9"/>
        <item x="1"/>
        <item x="5"/>
        <item x="7"/>
        <item x="3"/>
        <item x="0"/>
      </items>
    </pivotField>
  </pivotFields>
  <rowFields count="3">
    <field x="25"/>
    <field x="2"/>
    <field x="5"/>
  </rowFields>
  <rowItems count="25">
    <i>
      <x/>
    </i>
    <i r="1">
      <x v="34"/>
      <x/>
    </i>
    <i>
      <x v="1"/>
    </i>
    <i r="1">
      <x v="29"/>
      <x v="4"/>
    </i>
    <i>
      <x v="2"/>
    </i>
    <i r="1">
      <x v="4"/>
      <x v="2"/>
    </i>
    <i>
      <x v="3"/>
    </i>
    <i r="1">
      <x v="16"/>
      <x v="3"/>
    </i>
    <i>
      <x v="4"/>
    </i>
    <i r="1">
      <x v="18"/>
      <x v="2"/>
    </i>
    <i>
      <x v="5"/>
    </i>
    <i r="1">
      <x v="32"/>
      <x v="2"/>
    </i>
    <i>
      <x v="6"/>
    </i>
    <i r="1">
      <x v="1"/>
      <x v="4"/>
    </i>
    <i r="1">
      <x v="35"/>
      <x v="1"/>
    </i>
    <i>
      <x v="7"/>
    </i>
    <i r="1">
      <x v="17"/>
      <x v="2"/>
    </i>
    <i r="1">
      <x v="19"/>
      <x v="1"/>
    </i>
    <i r="1">
      <x v="36"/>
      <x v="2"/>
    </i>
    <i>
      <x v="8"/>
    </i>
    <i r="1">
      <x v="25"/>
      <x v="3"/>
    </i>
    <i r="1">
      <x v="28"/>
      <x v="2"/>
    </i>
    <i>
      <x v="9"/>
    </i>
    <i r="1">
      <x v="10"/>
      <x v="3"/>
    </i>
    <i r="1">
      <x v="14"/>
      <x v="3"/>
    </i>
  </rowItems>
  <colFields count="2">
    <field x="24"/>
    <field x="-2"/>
  </colFields>
  <colItems count="4">
    <i>
      <x/>
      <x/>
    </i>
    <i r="1" i="1">
      <x v="1"/>
    </i>
    <i>
      <x v="2"/>
      <x/>
    </i>
    <i r="1" i="1">
      <x v="1"/>
    </i>
  </colItems>
  <pageFields count="1">
    <pageField fld="23" item="1" hier="-1"/>
  </pageFields>
  <dataFields count="2">
    <dataField name="Suma de Forma" fld="18" baseField="0" baseItem="0"/>
    <dataField name="Suma de TSI" fld="12" baseField="0" baseItem="0"/>
  </dataFields>
  <formats count="1">
    <format dxfId="45">
      <pivotArea type="origin" dataOnly="0" labelOnly="1" outline="0" offset="A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973F4-BA40-4B66-B18E-A8236B89EB72}" name="TablaDinámica1" cacheId="2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0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8">
        <item x="0"/>
        <item x="5"/>
        <item x="2"/>
        <item x="3"/>
        <item x="1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2" hier="-1"/>
    <pageField fld="23" item="1" hier="-1"/>
  </pageFields>
  <dataFields count="8">
    <dataField name="Cuenta de Nombre" fld="2" subtotal="count" baseField="0" baseItem="0"/>
    <dataField name="Promedio de Edad" fld="10" subtotal="average" baseField="5" baseItem="0" numFmtId="172"/>
    <dataField name="Promedio de Días" fld="11" subtotal="average" baseField="5" baseItem="0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0" numFmtId="172"/>
    <dataField name="Promedio de Experiencia" fld="15" subtotal="average" baseField="5" baseItem="0" numFmtId="172"/>
    <dataField name="Promedio de Resistencia" fld="19" subtotal="average" baseField="5" baseItem="0" numFmtId="172"/>
  </dataFields>
  <formats count="1">
    <format dxfId="46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9050D-26F1-4D5F-9601-45A615BBCD7E}" name="TablaDinámica2" cacheId="1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23:AL32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showAll="0">
      <items count="11">
        <item x="6"/>
        <item x="3"/>
        <item x="5"/>
        <item x="7"/>
        <item x="0"/>
        <item x="1"/>
        <item x="2"/>
        <item x="8"/>
        <item x="4"/>
        <item x="9"/>
        <item t="default"/>
      </items>
    </pivotField>
    <pivotField showAll="0">
      <items count="24">
        <item x="13"/>
        <item x="16"/>
        <item x="20"/>
        <item x="2"/>
        <item x="15"/>
        <item x="11"/>
        <item x="5"/>
        <item x="10"/>
        <item x="17"/>
        <item x="12"/>
        <item x="6"/>
        <item x="4"/>
        <item x="0"/>
        <item x="3"/>
        <item x="9"/>
        <item x="14"/>
        <item x="18"/>
        <item x="7"/>
        <item x="1"/>
        <item x="21"/>
        <item x="8"/>
        <item x="19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2"/>
        <item x="3"/>
        <item x="6"/>
        <item x="7"/>
        <item x="4"/>
        <item x="0"/>
        <item x="1"/>
        <item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2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24" item="0" hier="-1"/>
    <pageField fld="23" item="1" hier="-1"/>
  </pageFields>
  <dataFields count="1">
    <dataField name="Suma de TSI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4D113-F047-4588-B52B-7BC901204C12}" name="TablaDinámica1" cacheId="1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8:AO13" firstHeaderRow="0" firstDataRow="1" firstDataCol="1" rowPageCount="2" colPageCount="1"/>
  <pivotFields count="25">
    <pivotField showAll="0"/>
    <pivotField showAll="0"/>
    <pivotField dataField="1" showAll="0"/>
    <pivotField showAll="0"/>
    <pivotField showAll="0"/>
    <pivotField axis="axisRow"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dataField="1" showAll="0">
      <items count="11">
        <item x="6"/>
        <item x="3"/>
        <item x="5"/>
        <item x="7"/>
        <item x="0"/>
        <item x="1"/>
        <item x="2"/>
        <item x="8"/>
        <item x="4"/>
        <item x="9"/>
        <item t="default"/>
      </items>
    </pivotField>
    <pivotField dataField="1" showAll="0">
      <items count="24">
        <item x="13"/>
        <item x="16"/>
        <item x="20"/>
        <item x="2"/>
        <item x="15"/>
        <item x="11"/>
        <item x="5"/>
        <item x="10"/>
        <item x="17"/>
        <item x="12"/>
        <item x="6"/>
        <item x="4"/>
        <item x="0"/>
        <item x="3"/>
        <item x="9"/>
        <item x="14"/>
        <item x="18"/>
        <item x="7"/>
        <item x="1"/>
        <item x="21"/>
        <item x="8"/>
        <item x="19"/>
        <item x="22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1" hier="-1"/>
  </pageFields>
  <dataFields count="8">
    <dataField name="Cuenta de Nombre" fld="2" subtotal="count" baseField="0" baseItem="0"/>
    <dataField name="Promedio de Edad" fld="10" subtotal="average" baseField="5" baseItem="1" numFmtId="172"/>
    <dataField name="Promedio de Días" fld="11" subtotal="average" baseField="5" baseItem="1" numFmtId="172"/>
    <dataField name="Suma de TSI" fld="12" baseField="0" baseItem="0"/>
    <dataField name="Suma de Salario" fld="13" baseField="0" baseItem="0"/>
    <dataField name="Promedio de Forma" fld="18" subtotal="average" baseField="5" baseItem="1" numFmtId="172"/>
    <dataField name="Promedio de Experiencia" fld="15" subtotal="average" baseField="5" baseItem="1" numFmtId="172"/>
    <dataField name="Promedio de Resistencia" fld="19" subtotal="average" baseField="5" baseItem="1" numFmtId="172"/>
  </dataFields>
  <formats count="2">
    <format dxfId="38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3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6CC43-D0B4-4CDB-9905-9CB4C91FB5A2}" name="TablaDinámica3" cacheId="2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5:AO11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0" hier="-1"/>
  </pageFields>
  <dataFields count="8">
    <dataField name="Cuenta de Nombre" fld="2" subtotal="count" baseField="0" baseItem="0"/>
    <dataField name="Suma de TSI" fld="12" baseField="0" baseItem="0"/>
    <dataField name="Suma de Salario" fld="13" baseField="0" baseItem="0"/>
    <dataField name="Promedio de Edad" fld="10" subtotal="average" baseField="5" baseItem="2" numFmtId="172"/>
    <dataField name="Promedio de Días" fld="11" subtotal="average" baseField="5" baseItem="0" numFmtId="172"/>
    <dataField name="Promedio de Forma" fld="18" subtotal="average" baseField="5" baseItem="3" numFmtId="172"/>
    <dataField name="Promedio de Experiencia" fld="15" subtotal="average" baseField="5" baseItem="0" numFmtId="172"/>
    <dataField name="Promedio de Resistencia" fld="19" subtotal="average" baseField="5" baseItem="0" numFmtId="172"/>
  </dataFields>
  <formats count="2">
    <format dxfId="30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29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70468-6544-420C-9665-4513CE37FCDC}" name="TablaDinámica4" cacheId="20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8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7"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1" hier="-1"/>
  </pageFields>
  <dataFields count="8">
    <dataField name="Cuenta de Nombre" fld="2" subtotal="count" baseField="0" baseItem="0"/>
    <dataField name="Promedio de Edad" fld="10" subtotal="average" baseField="5" baseItem="1" numFmtId="172"/>
    <dataField name="Promedio de Días" fld="11" subtotal="average" baseField="5" baseItem="1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1" numFmtId="172"/>
    <dataField name="Promedio de Experiencia" fld="15" subtotal="average" baseField="5" baseItem="1" numFmtId="172"/>
    <dataField name="Promedio de Resistencia" fld="19" subtotal="average" baseField="5" baseItem="1" numFmtId="172"/>
  </dataFields>
  <formats count="1">
    <format dxfId="22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F0648-B5BB-4078-B321-59A9918374C1}" name="TablaDinámica1" cacheId="20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16:AG32" firstHeaderRow="1" firstDataRow="2" firstDataCol="2" rowPageCount="1" colPageCount="1"/>
  <pivotFields count="26">
    <pivotField showAll="0"/>
    <pivotField showAll="0"/>
    <pivotField axis="axisRow" outline="0" showAll="0" defaultSubtotal="0">
      <items count="20">
        <item x="13"/>
        <item x="3"/>
        <item x="2"/>
        <item x="15"/>
        <item x="16"/>
        <item x="0"/>
        <item x="17"/>
        <item x="11"/>
        <item x="10"/>
        <item x="18"/>
        <item x="9"/>
        <item x="5"/>
        <item x="8"/>
        <item x="6"/>
        <item x="12"/>
        <item x="1"/>
        <item x="4"/>
        <item x="7"/>
        <item x="14"/>
        <item x="19"/>
      </items>
    </pivotField>
    <pivotField showAll="0"/>
    <pivotField showAll="0"/>
    <pivotField axis="axisRow" showAll="0">
      <items count="7"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25"/>
    <field x="2"/>
    <field x="5"/>
  </rowFields>
  <rowItems count="15">
    <i>
      <x/>
    </i>
    <i r="1">
      <x v="1"/>
      <x v="1"/>
    </i>
    <i r="1">
      <x v="2"/>
      <x v="1"/>
    </i>
    <i r="1">
      <x v="5"/>
      <x v="1"/>
    </i>
    <i r="1">
      <x v="7"/>
      <x/>
    </i>
    <i r="1">
      <x v="8"/>
      <x/>
    </i>
    <i r="1">
      <x v="11"/>
      <x v="1"/>
    </i>
    <i r="1">
      <x v="12"/>
      <x v="3"/>
    </i>
    <i r="1">
      <x v="13"/>
      <x v="1"/>
    </i>
    <i r="1">
      <x v="15"/>
      <x v="1"/>
    </i>
    <i r="1">
      <x v="16"/>
      <x v="1"/>
    </i>
    <i r="1">
      <x v="17"/>
      <x/>
    </i>
    <i>
      <x v="1"/>
    </i>
    <i r="1">
      <x v="10"/>
      <x/>
    </i>
    <i t="grand">
      <x/>
    </i>
  </rowItems>
  <colFields count="1">
    <field x="24"/>
  </colFields>
  <colItems count="3">
    <i>
      <x/>
    </i>
    <i>
      <x v="2"/>
    </i>
    <i t="grand">
      <x/>
    </i>
  </colItems>
  <pageFields count="1">
    <pageField fld="23" item="1" hier="-1"/>
  </pageFields>
  <dataFields count="1">
    <dataField name="Suma de Forma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5E89A-5FDA-43C6-A958-B417BCF50748}" name="TablaDinámica5" cacheId="2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4:AK10" firstHeaderRow="0" firstDataRow="1" firstDataCol="1" rowPageCount="2" colPageCount="1"/>
  <pivotFields count="26">
    <pivotField showAll="0"/>
    <pivotField showAll="0"/>
    <pivotField dataField="1" showAll="0"/>
    <pivotField showAll="0"/>
    <pivotField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4" item="0" hier="-1"/>
    <pageField fld="23" item="0" hier="-1"/>
  </pageFields>
  <dataFields count="8">
    <dataField name="Cuenta de Nombre" fld="2" subtotal="count" baseField="0" baseItem="0"/>
    <dataField name="Promedio de Edad" fld="10" subtotal="average" baseField="5" baseItem="3" numFmtId="172"/>
    <dataField name="Promedio de Días" fld="11" subtotal="average" baseField="5" baseItem="1" numFmtId="172"/>
    <dataField name="Suma de TSI" fld="12" baseField="0" baseItem="0" numFmtId="172"/>
    <dataField name="Suma de Salario" fld="13" baseField="0" baseItem="0" numFmtId="172"/>
    <dataField name="Promedio de Forma" fld="18" subtotal="average" baseField="5" baseItem="0" numFmtId="172"/>
    <dataField name="Promedio de Experiencia" fld="15" subtotal="average" baseField="5" baseItem="1" numFmtId="172"/>
    <dataField name="Promedio de Resistencia" fld="19" subtotal="average" baseField="5" baseItem="1" numFmtId="172"/>
  </dataFields>
  <formats count="1">
    <format dxfId="14">
      <pivotArea outline="0" collapsedLevelsAreSubtotals="1" fieldPosition="0">
        <references count="1">
          <reference field="4294967294" count="7" selected="0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A99C52D-FC7D-42D7-9E92-63D8425DC8B0}" autoFormatId="16" applyNumberFormats="0" applyBorderFormats="0" applyFontFormats="0" applyPatternFormats="0" applyAlignmentFormats="0" applyWidthHeightFormats="0">
  <queryTableRefresh nextId="28" unboundColumnsRight="4">
    <queryTableFields count="27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9ECE940-BD69-4072-99BC-50ACA489A858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2183669-3BEF-42E5-BEE4-B1DD784F4518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563A8D1-F37A-472B-9CB4-F7DA66DB82A8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9"/>
      <queryTableField id="25" dataBound="0" tableColumnId="30"/>
      <queryTableField id="26" dataBound="0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1B1FC2E7-946C-4216-B414-7E0C63B24273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E93B0C4C-AF90-417E-A6FB-123B67A5F2B2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7328DA67-CFFA-4A5E-9214-95FEDB02BF6B}" autoFormatId="16" applyNumberFormats="0" applyBorderFormats="0" applyFontFormats="0" applyPatternFormats="0" applyAlignmentFormats="0" applyWidthHeightFormats="0">
  <queryTableRefresh nextId="27" unboundColumnsRight="3">
    <queryTableFields count="26">
      <queryTableField id="1" name="Nacionalidad" tableColumnId="1"/>
      <queryTableField id="2" name="Dorsal" tableColumnId="2"/>
      <queryTableField id="3" name="Nombre" tableColumnId="3"/>
      <queryTableField id="4" name="ID del jugador" tableColumnId="4"/>
      <queryTableField id="5" name="Entrenador" tableColumnId="5"/>
      <queryTableField id="6" name="Especialidad" tableColumnId="6"/>
      <queryTableField id="7" name="Bonificación por club de origen" tableColumnId="7"/>
      <queryTableField id="8" name="Lesiones" tableColumnId="8"/>
      <queryTableField id="9" name="Amonestaciones" tableColumnId="9"/>
      <queryTableField id="10" name="En la lista de transferencias" tableColumnId="10"/>
      <queryTableField id="11" name="Edad" tableColumnId="11"/>
      <queryTableField id="12" name="Días" tableColumnId="12"/>
      <queryTableField id="13" name="TSI" tableColumnId="13"/>
      <queryTableField id="14" name="Salario" tableColumnId="14"/>
      <queryTableField id="15" name="Semanas en el club" tableColumnId="15"/>
      <queryTableField id="16" name="Experiencia" tableColumnId="16"/>
      <queryTableField id="17" name="Liderazgo" tableColumnId="17"/>
      <queryTableField id="18" name="Fidelidad" tableColumnId="18"/>
      <queryTableField id="19" name="Forma" tableColumnId="19"/>
      <queryTableField id="20" name="Resistencia" tableColumnId="20"/>
      <queryTableField id="21" name="Fecha último partido" tableColumnId="21"/>
      <queryTableField id="22" name="Rendimiento último partido" tableColumnId="22"/>
      <queryTableField id="23" name="Demarcación último partido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8B0643-4D45-4DBD-8CFF-B15C009FAF3F}" name="players_1_8_2022__10_08_04" displayName="players_1_8_2022__10_08_04" ref="A1:AA20" tableType="queryTable" totalsRowShown="0">
  <autoFilter ref="A1:AA20" xr:uid="{708B0643-4D45-4DBD-8CFF-B15C009FAF3F}"/>
  <sortState xmlns:xlrd2="http://schemas.microsoft.com/office/spreadsheetml/2017/richdata2" ref="A2:W20">
    <sortCondition descending="1" ref="M4:M20"/>
  </sortState>
  <tableColumns count="27">
    <tableColumn id="1" xr3:uid="{B7834DF5-B458-4F16-A41D-66050A3D7F37}" uniqueName="1" name="Nacionalidad" queryTableFieldId="1" dataDxfId="53"/>
    <tableColumn id="2" xr3:uid="{3ED1B463-6E39-4A86-BA69-4925BAF1E107}" uniqueName="2" name="Dorsal" queryTableFieldId="2"/>
    <tableColumn id="3" xr3:uid="{42C7DF85-71D3-4F68-834B-9E37E576B776}" uniqueName="3" name="Nombre" queryTableFieldId="3" dataDxfId="52"/>
    <tableColumn id="4" xr3:uid="{6553F07C-AD9D-475C-B83B-2C2719DC6745}" uniqueName="4" name="ID del jugador" queryTableFieldId="4"/>
    <tableColumn id="5" xr3:uid="{EFF3AA0A-BFE1-4E70-B31D-834739010E8C}" uniqueName="5" name="Entrenador" queryTableFieldId="5"/>
    <tableColumn id="6" xr3:uid="{F366FB13-59EC-452D-A80C-7A38287E03E3}" uniqueName="6" name="Especialidad" queryTableFieldId="6" dataDxfId="51"/>
    <tableColumn id="7" xr3:uid="{36691114-01F6-4466-BA12-38E9454E0D05}" uniqueName="7" name="Bonificación por club de origen" queryTableFieldId="7"/>
    <tableColumn id="8" xr3:uid="{63DA3112-6F71-4563-824C-C3D98524296B}" uniqueName="8" name="Lesiones" queryTableFieldId="8" dataDxfId="50"/>
    <tableColumn id="9" xr3:uid="{FB52EB16-4EDE-4D8B-8AD3-AD5B36428C76}" uniqueName="9" name="Amonestaciones" queryTableFieldId="9" dataDxfId="49"/>
    <tableColumn id="10" xr3:uid="{026772A0-8692-4DAA-914A-DDBD4D474280}" uniqueName="10" name="En la lista de transferencias" queryTableFieldId="10"/>
    <tableColumn id="11" xr3:uid="{A82BC955-9AA9-453E-B021-A3C1D164A491}" uniqueName="11" name="Edad" queryTableFieldId="11"/>
    <tableColumn id="12" xr3:uid="{D61DAB09-CD25-40EB-9082-405DF5921E98}" uniqueName="12" name="Días" queryTableFieldId="12"/>
    <tableColumn id="13" xr3:uid="{90CB34BB-1870-4F0A-A05A-4DE1E4B3D0C2}" uniqueName="13" name="TSI" queryTableFieldId="13"/>
    <tableColumn id="14" xr3:uid="{5AEB05C0-75DA-4140-B94A-6308E93A6979}" uniqueName="14" name="Salario" queryTableFieldId="14"/>
    <tableColumn id="15" xr3:uid="{710E8729-6AFE-4008-A05F-C1884C135A7C}" uniqueName="15" name="Semanas en el club" queryTableFieldId="15"/>
    <tableColumn id="16" xr3:uid="{A09B19CE-F052-4029-817A-A8584B4BC3C9}" uniqueName="16" name="Experiencia" queryTableFieldId="16"/>
    <tableColumn id="17" xr3:uid="{6D999E15-A8E5-4235-9EAC-EE1EB2E9F5FD}" uniqueName="17" name="Liderazgo" queryTableFieldId="17"/>
    <tableColumn id="18" xr3:uid="{04317605-1FAB-4C38-9333-34678ED88922}" uniqueName="18" name="Fidelidad" queryTableFieldId="18"/>
    <tableColumn id="19" xr3:uid="{A1C59A8B-D84B-4ADE-B96A-CC3E7A130DAF}" uniqueName="19" name="Forma" queryTableFieldId="19"/>
    <tableColumn id="20" xr3:uid="{5A3BEC32-846D-4C0E-9D0C-B4AC76084147}" uniqueName="20" name="Resistencia" queryTableFieldId="20"/>
    <tableColumn id="21" xr3:uid="{525B3125-2529-4D3E-896F-6EC2A635E2D9}" uniqueName="21" name="Fecha último partido" queryTableFieldId="21" dataDxfId="48"/>
    <tableColumn id="22" xr3:uid="{B6468DA2-B493-4985-892E-AD89D1A85FBA}" uniqueName="22" name="Rendimiento último partido" queryTableFieldId="22"/>
    <tableColumn id="23" xr3:uid="{5A6635DD-AC35-4312-9D96-A3055C5C1A0D}" uniqueName="23" name="Demarcación último partido" queryTableFieldId="23" dataDxfId="47"/>
    <tableColumn id="24" xr3:uid="{D3BD5646-EEBE-4BF2-B93C-A18232D35800}" uniqueName="24" name="Importante" queryTableFieldId="24"/>
    <tableColumn id="25" xr3:uid="{727325BA-B805-4B99-B368-267F5377C3B6}" uniqueName="25" name="Semana" queryTableFieldId="25"/>
    <tableColumn id="26" xr3:uid="{E211BCB8-BA95-4DDE-BB23-B9FAB9774DDD}" uniqueName="26" name="POS" queryTableFieldId="26"/>
    <tableColumn id="27" xr3:uid="{C5C1E331-E205-44C6-A563-F56D2CEA7443}" uniqueName="27" name="Comentario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02E18B-09E2-482A-B216-D70F8CA2964D}" name="players_1_8_2022__10_00_33" displayName="players_1_8_2022__10_00_33" ref="A1:Z74" tableType="queryTable" totalsRowShown="0">
  <autoFilter ref="A1:Z74" xr:uid="{6102E18B-09E2-482A-B216-D70F8CA2964D}"/>
  <sortState xmlns:xlrd2="http://schemas.microsoft.com/office/spreadsheetml/2017/richdata2" ref="A2:Z74">
    <sortCondition ref="C2:C74"/>
  </sortState>
  <tableColumns count="26">
    <tableColumn id="1" xr3:uid="{D9B57684-0AB7-4C8C-A418-959CDE93337B}" uniqueName="1" name="Nacionalidad" queryTableFieldId="1" dataDxfId="44"/>
    <tableColumn id="2" xr3:uid="{BD5AF11B-07FA-498F-B98C-5F30144D81CB}" uniqueName="2" name="Dorsal" queryTableFieldId="2"/>
    <tableColumn id="3" xr3:uid="{96D02DDD-F914-49C8-AE5E-AEDFD1DF98BF}" uniqueName="3" name="Nombre" queryTableFieldId="3" dataDxfId="43"/>
    <tableColumn id="4" xr3:uid="{EDE0A98C-6426-4243-93E2-88B5BC4BEDF8}" uniqueName="4" name="ID del jugador" queryTableFieldId="4"/>
    <tableColumn id="5" xr3:uid="{BDCC4AC5-C831-48B0-A968-3043FECEA23A}" uniqueName="5" name="Entrenador" queryTableFieldId="5"/>
    <tableColumn id="6" xr3:uid="{A2583C25-BF8C-4DF7-B824-7482C705B327}" uniqueName="6" name="Especialidad" queryTableFieldId="6" dataDxfId="42"/>
    <tableColumn id="7" xr3:uid="{DDC92586-A502-4823-8E84-141F25CD287F}" uniqueName="7" name="Bonificación por club de origen" queryTableFieldId="7"/>
    <tableColumn id="8" xr3:uid="{EF9AE125-D84E-4C07-BA5F-E9B752342CA8}" uniqueName="8" name="Lesiones" queryTableFieldId="8" dataDxfId="41"/>
    <tableColumn id="9" xr3:uid="{5DC4EEA5-10C0-4FF3-912F-35BC16DDD60F}" uniqueName="9" name="Amonestaciones" queryTableFieldId="9"/>
    <tableColumn id="10" xr3:uid="{B233B471-22F6-4ED6-9D3A-B19AE030D78E}" uniqueName="10" name="En la lista de transferencias" queryTableFieldId="10"/>
    <tableColumn id="11" xr3:uid="{DD74E2B5-7C89-407F-B3ED-60DBADB4D570}" uniqueName="11" name="Edad" queryTableFieldId="11"/>
    <tableColumn id="12" xr3:uid="{8B63AD36-49C5-4B2E-8EEC-1B9C88FA4ECB}" uniqueName="12" name="Días" queryTableFieldId="12"/>
    <tableColumn id="13" xr3:uid="{F8661542-8F1C-4CB1-A456-B9A5CC00373E}" uniqueName="13" name="TSI" queryTableFieldId="13"/>
    <tableColumn id="14" xr3:uid="{144E9EA8-250F-42E3-905C-C8FB2D0B6762}" uniqueName="14" name="Salario" queryTableFieldId="14"/>
    <tableColumn id="15" xr3:uid="{1B958F5B-A157-4E1E-AE53-E87874CC2E7E}" uniqueName="15" name="Semanas en el club" queryTableFieldId="15"/>
    <tableColumn id="16" xr3:uid="{B368AAAA-5676-4F9F-A979-94E76FF729D4}" uniqueName="16" name="Experiencia" queryTableFieldId="16"/>
    <tableColumn id="17" xr3:uid="{510EA146-4102-4D28-B6DC-189CB5D5B8B5}" uniqueName="17" name="Liderazgo" queryTableFieldId="17"/>
    <tableColumn id="18" xr3:uid="{8721A619-B236-4527-AFAB-38CD706B64B0}" uniqueName="18" name="Fidelidad" queryTableFieldId="18"/>
    <tableColumn id="19" xr3:uid="{8A7BFC4A-1AE0-4DEB-8CC3-2D2207929653}" uniqueName="19" name="Forma" queryTableFieldId="19"/>
    <tableColumn id="20" xr3:uid="{AB79670C-9C98-4913-A8A5-EEE18803AD6F}" uniqueName="20" name="Resistencia" queryTableFieldId="20"/>
    <tableColumn id="21" xr3:uid="{FF446614-82ED-4D90-8F19-2F1FA6B9FEED}" uniqueName="21" name="Fecha último partido" queryTableFieldId="21" dataDxfId="40"/>
    <tableColumn id="22" xr3:uid="{18196895-E412-4B30-B408-4C8102A3F796}" uniqueName="22" name="Rendimiento último partido" queryTableFieldId="22"/>
    <tableColumn id="23" xr3:uid="{ED608A5B-4A8C-4DA8-A17A-63034DB1B944}" uniqueName="23" name="Demarcación último partido" queryTableFieldId="23" dataDxfId="39"/>
    <tableColumn id="24" xr3:uid="{8B882F89-57B6-4706-A537-0CCA93808487}" uniqueName="24" name="Importante" queryTableFieldId="24"/>
    <tableColumn id="25" xr3:uid="{22A577A7-6445-46FA-A163-EEE2F3199C7E}" uniqueName="25" name="Semana" queryTableFieldId="25"/>
    <tableColumn id="26" xr3:uid="{470D5617-80E2-41D5-86B1-82C8DA00F0BA}" uniqueName="26" name="POS" queryTableField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8661D-2E86-4FB4-94D3-8C3A345ED50D}" name="players_29_7_2022__16_34_44" displayName="players_29_7_2022__16_34_44" ref="F5:AE27" tableType="queryTable" totalsRowShown="0">
  <autoFilter ref="F5:AE27" xr:uid="{CB78661D-2E86-4FB4-94D3-8C3A345ED50D}"/>
  <sortState xmlns:xlrd2="http://schemas.microsoft.com/office/spreadsheetml/2017/richdata2" ref="F6:AE27">
    <sortCondition descending="1" ref="R6:R27"/>
  </sortState>
  <tableColumns count="26">
    <tableColumn id="1" xr3:uid="{7EE0D959-1C38-462B-9825-CF64773A1B39}" uniqueName="1" name="Nacionalidad" queryTableFieldId="1" dataDxfId="36"/>
    <tableColumn id="2" xr3:uid="{C57E3D57-9E58-40C7-9368-FDBB86FA13FB}" uniqueName="2" name="Dorsal" queryTableFieldId="2"/>
    <tableColumn id="3" xr3:uid="{2B1A0D4F-0342-415E-A408-752D20EA1141}" uniqueName="3" name="Nombre" queryTableFieldId="3" dataDxfId="35"/>
    <tableColumn id="4" xr3:uid="{3AB68031-5B2D-4C7F-9479-4FD9BD18EB84}" uniqueName="4" name="ID del jugador" queryTableFieldId="4"/>
    <tableColumn id="5" xr3:uid="{3208DF40-993A-476C-B3F3-CC4A4BEF6BB6}" uniqueName="5" name="Entrenador" queryTableFieldId="5"/>
    <tableColumn id="6" xr3:uid="{5EC6E59B-9A16-43C1-A138-25EBA94CB6D8}" uniqueName="6" name="Especialidad" queryTableFieldId="6" dataDxfId="34"/>
    <tableColumn id="7" xr3:uid="{C74673A3-6226-4D9C-A899-F8CC5637D3CC}" uniqueName="7" name="Bonificación por club de origen" queryTableFieldId="7"/>
    <tableColumn id="8" xr3:uid="{0D97B4C1-9235-4FAF-BFF4-F93089FCCDA5}" uniqueName="8" name="Lesiones" queryTableFieldId="8" dataDxfId="33"/>
    <tableColumn id="9" xr3:uid="{7CEE9FCD-6731-4DB0-81CD-E53C41768C37}" uniqueName="9" name="Amonestaciones" queryTableFieldId="9"/>
    <tableColumn id="10" xr3:uid="{8D4D17F0-42F9-4E2D-B95B-618C9D7E967C}" uniqueName="10" name="En la lista de transferencias" queryTableFieldId="10"/>
    <tableColumn id="11" xr3:uid="{CE5924E6-E335-4D02-AE32-4807B00673DB}" uniqueName="11" name="Edad" queryTableFieldId="11"/>
    <tableColumn id="12" xr3:uid="{458FEC77-D275-40A1-A24E-B86DF4113862}" uniqueName="12" name="Días" queryTableFieldId="12"/>
    <tableColumn id="13" xr3:uid="{6B91190E-5D5A-4D68-8268-C23A036B9BEB}" uniqueName="13" name="TSI" queryTableFieldId="13"/>
    <tableColumn id="14" xr3:uid="{039B71E6-CE7E-4646-AAF5-5C9639B56ECD}" uniqueName="14" name="Salario" queryTableFieldId="14"/>
    <tableColumn id="15" xr3:uid="{6373605F-281B-463E-B66B-421EB1CB6379}" uniqueName="15" name="Semanas en el club" queryTableFieldId="15"/>
    <tableColumn id="16" xr3:uid="{625683DE-14CE-4449-863A-0ACCE687A39F}" uniqueName="16" name="Experiencia" queryTableFieldId="16"/>
    <tableColumn id="17" xr3:uid="{0081023D-110E-4FA7-908A-ED99A60FB5C7}" uniqueName="17" name="Liderazgo" queryTableFieldId="17"/>
    <tableColumn id="18" xr3:uid="{A2F0FEFF-5684-42B1-BF16-953B82F32826}" uniqueName="18" name="Fidelidad" queryTableFieldId="18"/>
    <tableColumn id="19" xr3:uid="{4CFDD1B8-E795-45FB-9C74-C8CCF51FD7CF}" uniqueName="19" name="Forma" queryTableFieldId="19"/>
    <tableColumn id="20" xr3:uid="{10EC2D20-8009-4406-9EC6-307E225ADF6B}" uniqueName="20" name="Resistencia" queryTableFieldId="20"/>
    <tableColumn id="21" xr3:uid="{A5A299AE-501E-45B2-93CE-60EF68EE2692}" uniqueName="21" name="Fecha último partido" queryTableFieldId="21" dataDxfId="32"/>
    <tableColumn id="22" xr3:uid="{FB9D08B9-D36C-4EDF-BC27-C56A5F07FEF4}" uniqueName="22" name="Rendimiento último partido" queryTableFieldId="22"/>
    <tableColumn id="23" xr3:uid="{8859FB08-65B8-45E8-BF48-59BA9E401A9F}" uniqueName="23" name="Demarcación último partido" queryTableFieldId="23" dataDxfId="31"/>
    <tableColumn id="24" xr3:uid="{82426A45-8E2C-45CF-9B28-850B28D311DE}" uniqueName="24" name="Importante" queryTableFieldId="24"/>
    <tableColumn id="25" xr3:uid="{2844ADF9-D2BB-4DF9-9CA8-399C0942DB49}" uniqueName="25" name="Semana" queryTableFieldId="25"/>
    <tableColumn id="26" xr3:uid="{54378784-DDA6-462B-AFA9-C9CB44504949}" uniqueName="26" name="POS" queryTableField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D31F6-CC54-4BA9-A58A-E9BC1800A8F7}" name="players_29_7_2022__17_38_32" displayName="players_29_7_2022__17_38_32" ref="F5:AE26" tableType="queryTable" totalsRowShown="0">
  <autoFilter ref="F5:AE26" xr:uid="{023D31F6-CC54-4BA9-A58A-E9BC1800A8F7}"/>
  <sortState xmlns:xlrd2="http://schemas.microsoft.com/office/spreadsheetml/2017/richdata2" ref="F6:AE26">
    <sortCondition descending="1" ref="R6:R26"/>
  </sortState>
  <tableColumns count="26">
    <tableColumn id="1" xr3:uid="{20B4B2F7-4B6E-482F-972F-1D56AB3FCD21}" uniqueName="1" name="Nacionalidad" queryTableFieldId="1" dataDxfId="28"/>
    <tableColumn id="2" xr3:uid="{27B6336A-C4C6-4ACC-9F64-0AF9E65D7EAC}" uniqueName="2" name="Dorsal" queryTableFieldId="2"/>
    <tableColumn id="3" xr3:uid="{B7EA370C-EAB1-47B4-83DF-36F5194C6FBF}" uniqueName="3" name="Nombre" queryTableFieldId="3" dataDxfId="27"/>
    <tableColumn id="4" xr3:uid="{0088CC1B-8D34-4104-BD46-9CE9270D5970}" uniqueName="4" name="ID del jugador" queryTableFieldId="4"/>
    <tableColumn id="5" xr3:uid="{74FBDBB8-1680-4F23-B227-4284269EF7DF}" uniqueName="5" name="Entrenador" queryTableFieldId="5"/>
    <tableColumn id="6" xr3:uid="{21825F83-E076-4026-947E-4A7AD3EE11DD}" uniqueName="6" name="Especialidad" queryTableFieldId="6" dataDxfId="26"/>
    <tableColumn id="7" xr3:uid="{A20C214C-6E23-4337-850D-81A349A94861}" uniqueName="7" name="Bonificación por club de origen" queryTableFieldId="7"/>
    <tableColumn id="8" xr3:uid="{2E01EBB1-8D77-4CFA-9C87-355A1586EA68}" uniqueName="8" name="Lesiones" queryTableFieldId="8"/>
    <tableColumn id="9" xr3:uid="{FDD0D401-A80C-48A1-9AB2-4321497694CD}" uniqueName="9" name="Amonestaciones" queryTableFieldId="9" dataDxfId="25"/>
    <tableColumn id="10" xr3:uid="{8A56FB34-4D2F-4217-BBCA-B8861DDCBC71}" uniqueName="10" name="En la lista de transferencias" queryTableFieldId="10"/>
    <tableColumn id="11" xr3:uid="{532B0E2A-29BE-4C4F-923E-5178034641E0}" uniqueName="11" name="Edad" queryTableFieldId="11"/>
    <tableColumn id="12" xr3:uid="{FFC4B39E-630C-484D-9412-80E6D8F83030}" uniqueName="12" name="Días" queryTableFieldId="12"/>
    <tableColumn id="13" xr3:uid="{B84DE024-9281-4CB5-A7C9-E1D985C029EC}" uniqueName="13" name="TSI" queryTableFieldId="13"/>
    <tableColumn id="14" xr3:uid="{41C80FC9-0B2D-432A-89F6-ACDCEAF45BC7}" uniqueName="14" name="Salario" queryTableFieldId="14"/>
    <tableColumn id="15" xr3:uid="{E4B2E901-699D-4E4E-9A85-1EB14B76EA6D}" uniqueName="15" name="Semanas en el club" queryTableFieldId="15"/>
    <tableColumn id="16" xr3:uid="{993B7C40-D9C0-4AD9-8D16-B11F8A2EF4F9}" uniqueName="16" name="Experiencia" queryTableFieldId="16"/>
    <tableColumn id="17" xr3:uid="{C66342D7-B8BA-48A5-B46B-0BEF35D6CC3C}" uniqueName="17" name="Liderazgo" queryTableFieldId="17"/>
    <tableColumn id="18" xr3:uid="{F753FDEC-0D41-415B-8B44-E28E8B54EC13}" uniqueName="18" name="Fidelidad" queryTableFieldId="18"/>
    <tableColumn id="19" xr3:uid="{250E6B84-2745-4770-B3B0-9E3B868813B5}" uniqueName="19" name="Forma" queryTableFieldId="19"/>
    <tableColumn id="20" xr3:uid="{24C2CF35-0DAB-4C98-9A00-3B62D1E3C606}" uniqueName="20" name="Resistencia" queryTableFieldId="20"/>
    <tableColumn id="21" xr3:uid="{61884970-24BB-435E-87B4-B5B3013CAEE2}" uniqueName="21" name="Fecha último partido" queryTableFieldId="21" dataDxfId="24"/>
    <tableColumn id="22" xr3:uid="{A10D1E33-0739-4F18-91A7-2EE182E318C2}" uniqueName="22" name="Rendimiento último partido" queryTableFieldId="22"/>
    <tableColumn id="23" xr3:uid="{A88D1E67-D06A-4E63-9E17-B5B525A51BEF}" uniqueName="23" name="Demarcación último partido" queryTableFieldId="23" dataDxfId="23"/>
    <tableColumn id="29" xr3:uid="{C73FB2FE-366A-4165-B72E-58642C90E0C6}" uniqueName="29" name="Importante" queryTableFieldId="24"/>
    <tableColumn id="30" xr3:uid="{99F1B470-0609-428B-9F34-82714473490A}" uniqueName="30" name="Semana" queryTableFieldId="25"/>
    <tableColumn id="31" xr3:uid="{C6DCE7A9-5519-41DD-8CA8-C185E1876285}" uniqueName="31" name="POS" queryTableField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7F33E3-E20D-4132-A7DC-303A0434EE8A}" name="players_29_7_2022__17_49_51" displayName="players_29_7_2022__17_49_51" ref="A1:Z37" tableType="queryTable" totalsRowShown="0">
  <autoFilter ref="A1:Z37" xr:uid="{637F33E3-E20D-4132-A7DC-303A0434EE8A}"/>
  <sortState xmlns:xlrd2="http://schemas.microsoft.com/office/spreadsheetml/2017/richdata2" ref="A2:Z37">
    <sortCondition descending="1" ref="M2:M37"/>
  </sortState>
  <tableColumns count="26">
    <tableColumn id="1" xr3:uid="{0E449238-7AAD-4545-B6CE-4F04FF0BBC14}" uniqueName="1" name="Nacionalidad" queryTableFieldId="1" dataDxfId="21"/>
    <tableColumn id="2" xr3:uid="{529EC1C2-4E37-43F2-95FE-E87035996050}" uniqueName="2" name="Dorsal" queryTableFieldId="2"/>
    <tableColumn id="3" xr3:uid="{51227DF2-95D5-473F-B8A5-B8672B13CDA3}" uniqueName="3" name="Nombre" queryTableFieldId="3" dataDxfId="20"/>
    <tableColumn id="4" xr3:uid="{08E32460-2526-473E-B3AA-9AE8933A4147}" uniqueName="4" name="ID del jugador" queryTableFieldId="4"/>
    <tableColumn id="5" xr3:uid="{1632B1B0-6ADC-4D79-BAE5-21E027F5A450}" uniqueName="5" name="Entrenador" queryTableFieldId="5"/>
    <tableColumn id="6" xr3:uid="{3E1022E3-7439-4685-98B8-DACDC34B03ED}" uniqueName="6" name="Especialidad" queryTableFieldId="6" dataDxfId="19"/>
    <tableColumn id="7" xr3:uid="{49DC36DA-89B5-4AEE-84B6-0B5372E8D8C9}" uniqueName="7" name="Bonificación por club de origen" queryTableFieldId="7"/>
    <tableColumn id="8" xr3:uid="{90F498D4-06A9-4598-A615-ED1B523242B8}" uniqueName="8" name="Lesiones" queryTableFieldId="8"/>
    <tableColumn id="9" xr3:uid="{0F572480-3EC3-4998-9E62-894CA969A059}" uniqueName="9" name="Amonestaciones" queryTableFieldId="9" dataDxfId="18"/>
    <tableColumn id="10" xr3:uid="{F91DAD2E-6CAD-42AA-9B2C-D8F15DDBCD83}" uniqueName="10" name="En la lista de transferencias" queryTableFieldId="10" dataDxfId="17"/>
    <tableColumn id="11" xr3:uid="{73D12DCF-D1A5-47C2-9BA8-946257FB4AED}" uniqueName="11" name="Edad" queryTableFieldId="11"/>
    <tableColumn id="12" xr3:uid="{49C4C97F-D584-470E-BDE8-4875A7BD6A73}" uniqueName="12" name="Días" queryTableFieldId="12"/>
    <tableColumn id="13" xr3:uid="{262FF7FF-2090-4783-A7F1-55D9B9C34923}" uniqueName="13" name="TSI" queryTableFieldId="13"/>
    <tableColumn id="14" xr3:uid="{7932BF5E-C6E2-4739-8DE8-18C7B25EA8F4}" uniqueName="14" name="Salario" queryTableFieldId="14"/>
    <tableColumn id="15" xr3:uid="{F551DC89-44D1-433C-B59B-E124EE0E2E5B}" uniqueName="15" name="Semanas en el club" queryTableFieldId="15"/>
    <tableColumn id="16" xr3:uid="{6DAF3764-89F0-4B92-AD5E-DB0BE74AB96C}" uniqueName="16" name="Experiencia" queryTableFieldId="16"/>
    <tableColumn id="17" xr3:uid="{A3556610-32CD-4641-8FBF-D43E287209C0}" uniqueName="17" name="Liderazgo" queryTableFieldId="17"/>
    <tableColumn id="18" xr3:uid="{D90CF74C-4592-4D1C-9EAE-5B8B055AA3FC}" uniqueName="18" name="Fidelidad" queryTableFieldId="18"/>
    <tableColumn id="19" xr3:uid="{12928ECD-84DD-4168-91DC-75F08AFA2D31}" uniqueName="19" name="Forma" queryTableFieldId="19"/>
    <tableColumn id="20" xr3:uid="{65220EEA-F379-496C-AC2C-8E529B5EE31F}" uniqueName="20" name="Resistencia" queryTableFieldId="20"/>
    <tableColumn id="21" xr3:uid="{F18464EA-8F3D-40E9-AB45-95677A36ACF7}" uniqueName="21" name="Fecha último partido" queryTableFieldId="21" dataDxfId="16"/>
    <tableColumn id="22" xr3:uid="{1BED9A6C-7E77-430F-950C-681A013AED6B}" uniqueName="22" name="Rendimiento último partido" queryTableFieldId="22"/>
    <tableColumn id="23" xr3:uid="{5FD98C47-5EB3-44FD-8400-C603FE471E59}" uniqueName="23" name="Demarcación último partido" queryTableFieldId="23" dataDxfId="15"/>
    <tableColumn id="24" xr3:uid="{95B66269-4290-4B17-9E40-1B91375B26F3}" uniqueName="24" name="Importante" queryTableFieldId="24"/>
    <tableColumn id="25" xr3:uid="{259B42F5-B406-4E02-AF7A-1F6CA894B690}" uniqueName="25" name="Semana" queryTableFieldId="25"/>
    <tableColumn id="26" xr3:uid="{BF2B4967-010F-4972-98E6-D903DB9D7036}" uniqueName="26" name="POS" queryTableField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7A7D5E-4C6A-4F6B-B6AE-70FCC32AAF77}" name="players_29_7_2022__17_55_47" displayName="players_29_7_2022__17_55_47" ref="A1:Z26" tableType="queryTable" totalsRowShown="0">
  <autoFilter ref="A1:Z26" xr:uid="{AE7A7D5E-4C6A-4F6B-B6AE-70FCC32AAF77}"/>
  <sortState xmlns:xlrd2="http://schemas.microsoft.com/office/spreadsheetml/2017/richdata2" ref="A2:Z26">
    <sortCondition descending="1" ref="M2:M26"/>
  </sortState>
  <tableColumns count="26">
    <tableColumn id="1" xr3:uid="{761A34C1-D8D3-4B84-85AC-BA17C4E9A49B}" uniqueName="1" name="Nacionalidad" queryTableFieldId="1" dataDxfId="13"/>
    <tableColumn id="2" xr3:uid="{DC48F163-BFF4-44EB-B80C-AE6C13FBAF61}" uniqueName="2" name="Dorsal" queryTableFieldId="2"/>
    <tableColumn id="3" xr3:uid="{84188C65-D320-407D-AA48-F1CF723EA9DA}" uniqueName="3" name="Nombre" queryTableFieldId="3" dataDxfId="12"/>
    <tableColumn id="4" xr3:uid="{D1B57E1A-1A5E-44EF-8748-4BE5CFBBD540}" uniqueName="4" name="ID del jugador" queryTableFieldId="4"/>
    <tableColumn id="5" xr3:uid="{C329EFDE-580B-480D-855C-8DD49E265890}" uniqueName="5" name="Entrenador" queryTableFieldId="5"/>
    <tableColumn id="6" xr3:uid="{B2E510E0-DEED-44C9-8693-F4D77252EE13}" uniqueName="6" name="Especialidad" queryTableFieldId="6" dataDxfId="11"/>
    <tableColumn id="7" xr3:uid="{75ECE203-60CF-4BB1-8A19-9AE1E30A3C84}" uniqueName="7" name="Bonificación por club de origen" queryTableFieldId="7"/>
    <tableColumn id="8" xr3:uid="{A873E5D4-386F-4EBB-BA19-0F58B0F4E426}" uniqueName="8" name="Lesiones" queryTableFieldId="8"/>
    <tableColumn id="9" xr3:uid="{7769CEE3-4ACB-4D09-84B0-4C8002AF242B}" uniqueName="9" name="Amonestaciones" queryTableFieldId="9"/>
    <tableColumn id="10" xr3:uid="{C689C364-31BD-4085-A689-A1E999AF1216}" uniqueName="10" name="En la lista de transferencias" queryTableFieldId="10" dataDxfId="10"/>
    <tableColumn id="11" xr3:uid="{D2F795D8-0F32-4727-8802-FB5D7E0C48B2}" uniqueName="11" name="Edad" queryTableFieldId="11"/>
    <tableColumn id="12" xr3:uid="{DCAA8BEE-CDD9-4A95-8E4B-F8C1F918F513}" uniqueName="12" name="Días" queryTableFieldId="12"/>
    <tableColumn id="13" xr3:uid="{05D82C61-E9F7-4B39-81D8-E7F11537D3F6}" uniqueName="13" name="TSI" queryTableFieldId="13"/>
    <tableColumn id="14" xr3:uid="{3E6BC8AF-2AEC-40F2-A713-96D16F1B1F73}" uniqueName="14" name="Salario" queryTableFieldId="14"/>
    <tableColumn id="15" xr3:uid="{9E7AE84B-E68F-4645-9BAF-70F6F181E915}" uniqueName="15" name="Semanas en el club" queryTableFieldId="15"/>
    <tableColumn id="16" xr3:uid="{407686F9-83D3-4160-812B-A9E761EB9652}" uniqueName="16" name="Experiencia" queryTableFieldId="16"/>
    <tableColumn id="17" xr3:uid="{2DC13E5D-378A-4FD0-8D08-BC5F895BF552}" uniqueName="17" name="Liderazgo" queryTableFieldId="17"/>
    <tableColumn id="18" xr3:uid="{E6C8052D-8226-46A0-8B80-F9ACB969F3C4}" uniqueName="18" name="Fidelidad" queryTableFieldId="18"/>
    <tableColumn id="19" xr3:uid="{1EAF88B9-489E-4237-B9E9-05D06E68CE0E}" uniqueName="19" name="Forma" queryTableFieldId="19"/>
    <tableColumn id="20" xr3:uid="{D543AC0A-0911-4384-8360-2A5702A4696F}" uniqueName="20" name="Resistencia" queryTableFieldId="20"/>
    <tableColumn id="21" xr3:uid="{45BCEAE9-1353-4474-A9B5-CF42710B6B85}" uniqueName="21" name="Fecha último partido" queryTableFieldId="21" dataDxfId="9"/>
    <tableColumn id="22" xr3:uid="{453DB785-D95F-4BE2-937A-72971CA25C0F}" uniqueName="22" name="Rendimiento último partido" queryTableFieldId="22"/>
    <tableColumn id="23" xr3:uid="{6BCD64A3-5782-4228-A9EF-F3C8C3AC1B5F}" uniqueName="23" name="Demarcación último partido" queryTableFieldId="23" dataDxfId="8"/>
    <tableColumn id="24" xr3:uid="{A8054906-2685-4E5A-BD8F-593897C66363}" uniqueName="24" name="Importante" queryTableFieldId="24"/>
    <tableColumn id="25" xr3:uid="{96FA4D63-3DC3-4087-8FB5-AB397C8A0C48}" uniqueName="25" name="Semana" queryTableFieldId="25"/>
    <tableColumn id="26" xr3:uid="{293D60AF-23D0-49F7-BA70-FC88C44A629E}" uniqueName="26" name="POS" queryTableField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56A456-9DC9-4D9A-9EB3-66322067CACC}" name="players_29_7_2022__18_02_31" displayName="players_29_7_2022__18_02_31" ref="A1:Z26" tableType="queryTable" totalsRowShown="0">
  <autoFilter ref="A1:Z26" xr:uid="{BD56A456-9DC9-4D9A-9EB3-66322067CACC}"/>
  <sortState xmlns:xlrd2="http://schemas.microsoft.com/office/spreadsheetml/2017/richdata2" ref="A2:Z26">
    <sortCondition descending="1" ref="M5:M26"/>
  </sortState>
  <tableColumns count="26">
    <tableColumn id="1" xr3:uid="{4F12A21B-9F45-40D8-A70A-EBB02958809B}" uniqueName="1" name="Nacionalidad" queryTableFieldId="1" dataDxfId="6"/>
    <tableColumn id="2" xr3:uid="{04860D57-062E-420A-929A-4121F6568A28}" uniqueName="2" name="Dorsal" queryTableFieldId="2" dataDxfId="5"/>
    <tableColumn id="3" xr3:uid="{12C2F19D-A58F-4B64-8B3C-422A94A7505A}" uniqueName="3" name="Nombre" queryTableFieldId="3" dataDxfId="4"/>
    <tableColumn id="4" xr3:uid="{8216F06B-49F7-44CB-8C05-AFAA8CDF6E60}" uniqueName="4" name="ID del jugador" queryTableFieldId="4"/>
    <tableColumn id="5" xr3:uid="{8F169C0C-7A4D-4E5E-8824-1A2C17D12804}" uniqueName="5" name="Entrenador" queryTableFieldId="5"/>
    <tableColumn id="6" xr3:uid="{78026D92-A413-4DD8-96B7-A44586CB03CF}" uniqueName="6" name="Especialidad" queryTableFieldId="6" dataDxfId="3"/>
    <tableColumn id="7" xr3:uid="{26687A9A-69EF-4D54-B9AB-2BD097B09E8E}" uniqueName="7" name="Bonificación por club de origen" queryTableFieldId="7"/>
    <tableColumn id="8" xr3:uid="{43E73170-1B71-4605-AB7D-4A27F76F87A3}" uniqueName="8" name="Lesiones" queryTableFieldId="8"/>
    <tableColumn id="9" xr3:uid="{0E57D14C-6705-42B6-A465-894EA36109E4}" uniqueName="9" name="Amonestaciones" queryTableFieldId="9"/>
    <tableColumn id="10" xr3:uid="{4FD83DC1-D962-448E-9EAA-C45AEA4C874E}" uniqueName="10" name="En la lista de transferencias" queryTableFieldId="10" dataDxfId="2"/>
    <tableColumn id="11" xr3:uid="{A1862F09-BCEE-4E32-816F-C3724DCA4A3B}" uniqueName="11" name="Edad" queryTableFieldId="11"/>
    <tableColumn id="12" xr3:uid="{14E25359-A67B-4DBB-A154-97B4E2BA453F}" uniqueName="12" name="Días" queryTableFieldId="12"/>
    <tableColumn id="13" xr3:uid="{FA66EF31-0FE6-4900-9F76-7D8A8C69E3D8}" uniqueName="13" name="TSI" queryTableFieldId="13"/>
    <tableColumn id="14" xr3:uid="{A233CD46-4E69-463F-8940-A9CC040AB419}" uniqueName="14" name="Salario" queryTableFieldId="14"/>
    <tableColumn id="15" xr3:uid="{AE68919F-C0DA-4A8F-98D0-C8D1EC1E7B1B}" uniqueName="15" name="Semanas en el club" queryTableFieldId="15"/>
    <tableColumn id="16" xr3:uid="{687AC0CD-7005-43AD-ACEB-B9D380C88BAA}" uniqueName="16" name="Experiencia" queryTableFieldId="16"/>
    <tableColumn id="17" xr3:uid="{1E97373A-09D1-47C3-80E8-0D5209924C2E}" uniqueName="17" name="Liderazgo" queryTableFieldId="17"/>
    <tableColumn id="18" xr3:uid="{9B7E001C-01DB-4D31-8766-9404579716F9}" uniqueName="18" name="Fidelidad" queryTableFieldId="18"/>
    <tableColumn id="19" xr3:uid="{10D65A87-E766-4F11-8487-B4A4FF288C41}" uniqueName="19" name="Forma" queryTableFieldId="19"/>
    <tableColumn id="20" xr3:uid="{637CE5B0-26A5-4442-9B82-2DBD03FB39AA}" uniqueName="20" name="Resistencia" queryTableFieldId="20"/>
    <tableColumn id="21" xr3:uid="{FF250F76-685A-40F3-B02C-DB9C730F494B}" uniqueName="21" name="Fecha último partido" queryTableFieldId="21" dataDxfId="1"/>
    <tableColumn id="22" xr3:uid="{CD26AFF1-63AC-42C7-B747-2406F3D0D600}" uniqueName="22" name="Rendimiento último partido" queryTableFieldId="22"/>
    <tableColumn id="23" xr3:uid="{2B390E11-25BF-408B-8A68-D8702B3521CC}" uniqueName="23" name="Demarcación último partido" queryTableFieldId="23" dataDxfId="0"/>
    <tableColumn id="24" xr3:uid="{C6295466-9200-4D9A-BA2A-0A5BA6DC0BCA}" uniqueName="24" name="Importante" queryTableFieldId="24"/>
    <tableColumn id="25" xr3:uid="{BFF8A481-6720-4E45-B37B-801AE222C43D}" uniqueName="25" name="Semana" queryTableFieldId="25"/>
    <tableColumn id="26" xr3:uid="{9916B477-393E-4CEB-A45E-6BB6E9F722B7}" uniqueName="26" name="PO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C59-116D-4AB2-9CAE-8185765738B6}">
  <sheetPr>
    <tabColor theme="0" tint="-4.9989318521683403E-2"/>
  </sheetPr>
  <dimension ref="A1:BS59"/>
  <sheetViews>
    <sheetView zoomScale="90" zoomScaleNormal="90" workbookViewId="0">
      <selection activeCell="E17" sqref="E17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121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2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120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0.62110527492469647</v>
      </c>
      <c r="U2" s="159">
        <f>SUM(U4:U16)</f>
        <v>1.3949166006030838</v>
      </c>
      <c r="V2" s="4"/>
      <c r="W2" s="4"/>
      <c r="X2" s="158">
        <f>SUM(X4:X16)</f>
        <v>0.36222608168530185</v>
      </c>
      <c r="Y2" s="157">
        <f>SUM(Y4:Y16)</f>
        <v>0.78075718547079365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6" t="s">
        <v>4</v>
      </c>
      <c r="C3" s="186"/>
      <c r="D3" s="1" t="str">
        <f>IF(B3="Sol","SI",IF(B3="Lluvia","SI","NO"))</f>
        <v>SI</v>
      </c>
      <c r="E3" s="142"/>
      <c r="F3" s="127"/>
      <c r="G3" s="143" t="s">
        <v>93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94</v>
      </c>
      <c r="F4" s="143" t="s">
        <v>87</v>
      </c>
      <c r="G4" s="143" t="s">
        <v>131</v>
      </c>
      <c r="H4" s="143" t="s">
        <v>87</v>
      </c>
      <c r="I4" s="143" t="s">
        <v>131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0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8.9657980456026062E-2</v>
      </c>
      <c r="U4" s="124">
        <f t="shared" ref="U4:U9" si="4">IF(S4=0,0,S4*Q4^2.7/(P4^2.7+Q4^2.7)*Q4/L4)</f>
        <v>0</v>
      </c>
      <c r="V4" s="123">
        <f>$G$17</f>
        <v>0.56999999999999995</v>
      </c>
      <c r="W4" s="117">
        <f>$H$17</f>
        <v>0.56999999999999995</v>
      </c>
      <c r="X4" s="122">
        <f t="shared" ref="X4:X16" si="5">V4*T4</f>
        <v>5.1105048859934853E-2</v>
      </c>
      <c r="Y4" s="121">
        <f t="shared" ref="Y4:Y16" si="6">W4*U4</f>
        <v>0</v>
      </c>
      <c r="Z4" s="146"/>
      <c r="AA4" s="120">
        <f t="shared" ref="AA4:AA16" si="7">X4</f>
        <v>5.1105048859934853E-2</v>
      </c>
      <c r="AB4" s="119">
        <f t="shared" ref="AB4:AB16" si="8">1-AA4</f>
        <v>0.94889495114006517</v>
      </c>
      <c r="AC4" s="119">
        <f>PRODUCT(AB5:AB16)*AA4</f>
        <v>3.712644987271612E-2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9">Y4</f>
        <v>0</v>
      </c>
      <c r="AH4" s="117">
        <f t="shared" ref="AH4:AH16" si="10">(1-AG4)</f>
        <v>1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1">$H$25*H40</f>
        <v>6.0419602284918798E-3</v>
      </c>
      <c r="BM4" s="1">
        <v>0</v>
      </c>
      <c r="BN4" s="1">
        <v>0</v>
      </c>
      <c r="BO4" s="2">
        <f>H25*H39</f>
        <v>9.7473895119732886E-4</v>
      </c>
      <c r="BQ4" s="1">
        <v>1</v>
      </c>
      <c r="BR4" s="1">
        <v>0</v>
      </c>
      <c r="BS4" s="2">
        <f>$H$26*H39</f>
        <v>1.9757823899103706E-3</v>
      </c>
    </row>
    <row r="5" spans="1:71" ht="15.75" x14ac:dyDescent="0.25">
      <c r="A5" s="65" t="s">
        <v>97</v>
      </c>
      <c r="B5" s="145">
        <v>352</v>
      </c>
      <c r="C5" s="145">
        <v>352</v>
      </c>
      <c r="E5" s="143" t="s">
        <v>93</v>
      </c>
      <c r="F5" s="143" t="s">
        <v>131</v>
      </c>
      <c r="G5" s="143" t="s">
        <v>94</v>
      </c>
      <c r="H5" s="143" t="s">
        <v>93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2</v>
      </c>
      <c r="Q5" s="126">
        <f>COUNTIF(E10:I11,"IMP")</f>
        <v>0</v>
      </c>
      <c r="R5" s="96">
        <f t="shared" si="1"/>
        <v>0.35</v>
      </c>
      <c r="S5" s="96">
        <f t="shared" si="2"/>
        <v>0.41840390879478823</v>
      </c>
      <c r="T5" s="125">
        <f t="shared" si="3"/>
        <v>0.10460097719869706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5.9622557003257318E-2</v>
      </c>
      <c r="Y5" s="121">
        <f t="shared" si="6"/>
        <v>0</v>
      </c>
      <c r="Z5" s="102"/>
      <c r="AA5" s="120">
        <f t="shared" si="7"/>
        <v>5.9622557003257318E-2</v>
      </c>
      <c r="AB5" s="119">
        <f t="shared" si="8"/>
        <v>0.94037744299674264</v>
      </c>
      <c r="AC5" s="119">
        <f>PRODUCT(AB6:AB16)*AA5*PRODUCT(AB4)</f>
        <v>4.3706511625084328E-2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1.1578427462148731E-2</v>
      </c>
      <c r="AF5" s="100"/>
      <c r="AG5" s="118">
        <f t="shared" si="9"/>
        <v>0</v>
      </c>
      <c r="AH5" s="117">
        <f t="shared" si="10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1"/>
        <v>1.7227393337116152E-2</v>
      </c>
      <c r="BM5" s="1">
        <v>1</v>
      </c>
      <c r="BN5" s="1">
        <v>1</v>
      </c>
      <c r="BO5" s="2">
        <f>$H$26*H40</f>
        <v>1.2246969924952155E-2</v>
      </c>
      <c r="BQ5" s="1">
        <f>BQ4+1</f>
        <v>2</v>
      </c>
      <c r="BR5" s="1">
        <v>0</v>
      </c>
      <c r="BS5" s="2">
        <f>$H$27*H39</f>
        <v>1.8432878145363957E-3</v>
      </c>
    </row>
    <row r="6" spans="1:71" ht="15.75" x14ac:dyDescent="0.25">
      <c r="A6" s="144" t="s">
        <v>95</v>
      </c>
      <c r="B6" s="135">
        <v>10</v>
      </c>
      <c r="C6" s="134">
        <v>10</v>
      </c>
      <c r="E6" s="142"/>
      <c r="F6" s="143" t="s">
        <v>94</v>
      </c>
      <c r="G6" s="143" t="s">
        <v>87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2</v>
      </c>
      <c r="Q6" s="126">
        <f>COUNTIF(E9:I11,"IMP")</f>
        <v>0</v>
      </c>
      <c r="R6" s="96">
        <f t="shared" si="1"/>
        <v>0.45</v>
      </c>
      <c r="S6" s="96">
        <f t="shared" si="2"/>
        <v>0.53794788273615635</v>
      </c>
      <c r="T6" s="125">
        <f t="shared" si="3"/>
        <v>8.2761212728639441E-2</v>
      </c>
      <c r="U6" s="124">
        <f t="shared" si="4"/>
        <v>0</v>
      </c>
      <c r="V6" s="123">
        <f>$G$18</f>
        <v>0.45</v>
      </c>
      <c r="W6" s="117">
        <f>$H$18</f>
        <v>0.45</v>
      </c>
      <c r="X6" s="122">
        <f t="shared" si="5"/>
        <v>3.7242545727887752E-2</v>
      </c>
      <c r="Y6" s="121">
        <f t="shared" si="6"/>
        <v>0</v>
      </c>
      <c r="Z6" s="102"/>
      <c r="AA6" s="120">
        <f t="shared" si="7"/>
        <v>3.7242545727887752E-2</v>
      </c>
      <c r="AB6" s="119">
        <f t="shared" si="8"/>
        <v>0.96275745427211223</v>
      </c>
      <c r="AC6" s="119">
        <f>PRODUCT(AB7:AB16)*AA6*PRODUCT(AB4:AB5)</f>
        <v>2.666614403952967E-2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6.0326789035853199E-3</v>
      </c>
      <c r="AF6" s="100"/>
      <c r="AG6" s="118">
        <f t="shared" si="9"/>
        <v>0</v>
      </c>
      <c r="AH6" s="117">
        <f t="shared" si="10"/>
        <v>1</v>
      </c>
      <c r="AI6" s="117">
        <f>AG6*PRODUCT(AH3:AH5)*PRODUCT(AH7:AH17)</f>
        <v>0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L6" s="98"/>
      <c r="AN6" s="97"/>
      <c r="AO6" s="96"/>
      <c r="BI6" s="1">
        <v>0</v>
      </c>
      <c r="BJ6" s="1">
        <v>3</v>
      </c>
      <c r="BK6" s="2">
        <f t="shared" si="11"/>
        <v>2.9908379994162841E-2</v>
      </c>
      <c r="BM6" s="1">
        <f>BI14+1</f>
        <v>2</v>
      </c>
      <c r="BN6" s="1">
        <v>2</v>
      </c>
      <c r="BO6" s="2">
        <f>$H$27*H41</f>
        <v>3.2577998627760917E-2</v>
      </c>
      <c r="BQ6" s="1">
        <f>BM5+1</f>
        <v>2</v>
      </c>
      <c r="BR6" s="1">
        <v>1</v>
      </c>
      <c r="BS6" s="2">
        <f>$H$27*H40</f>
        <v>1.1425696748254803E-2</v>
      </c>
    </row>
    <row r="7" spans="1:71" ht="15.75" x14ac:dyDescent="0.25">
      <c r="A7" s="141" t="s">
        <v>92</v>
      </c>
      <c r="B7" s="135">
        <v>10</v>
      </c>
      <c r="C7" s="134">
        <v>12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0</v>
      </c>
      <c r="Q7" s="126">
        <f>COUNTIF(E4:I4,"IMP")+COUNTIF(F5:H5,"IMP")</f>
        <v>1</v>
      </c>
      <c r="R7" s="96">
        <f t="shared" si="1"/>
        <v>0.04</v>
      </c>
      <c r="S7" s="96">
        <f t="shared" si="2"/>
        <v>4.7817589576547234E-2</v>
      </c>
      <c r="T7" s="125">
        <f t="shared" si="3"/>
        <v>0</v>
      </c>
      <c r="U7" s="124">
        <f t="shared" si="4"/>
        <v>5.9771986970684043E-3</v>
      </c>
      <c r="V7" s="123">
        <f>$G$18</f>
        <v>0.45</v>
      </c>
      <c r="W7" s="117">
        <f>$H$18</f>
        <v>0.45</v>
      </c>
      <c r="X7" s="122">
        <f t="shared" si="5"/>
        <v>0</v>
      </c>
      <c r="Y7" s="121">
        <f t="shared" si="6"/>
        <v>2.6897394136807819E-3</v>
      </c>
      <c r="Z7" s="102"/>
      <c r="AA7" s="120">
        <f t="shared" si="7"/>
        <v>0</v>
      </c>
      <c r="AB7" s="119">
        <f t="shared" si="8"/>
        <v>1</v>
      </c>
      <c r="AC7" s="119">
        <f>PRODUCT(AB8:AB$16)*AA7*PRODUCT(AB$4:AB6)</f>
        <v>0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F7" s="100"/>
      <c r="AG7" s="118">
        <f t="shared" si="9"/>
        <v>2.6897394136807819E-3</v>
      </c>
      <c r="AH7" s="117">
        <f t="shared" si="10"/>
        <v>0.99731026058631922</v>
      </c>
      <c r="AI7" s="117">
        <f>AG7*PRODUCT(AH3:AH6)*PRODUCT(AH8:AH17)</f>
        <v>1.0664279664677155E-3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1.1910652849909734E-3</v>
      </c>
      <c r="AL7" s="98"/>
      <c r="AN7" s="97"/>
      <c r="AO7" s="96"/>
      <c r="BI7" s="1">
        <v>0</v>
      </c>
      <c r="BJ7" s="1">
        <v>4</v>
      </c>
      <c r="BK7" s="2">
        <f t="shared" si="11"/>
        <v>3.5261103185220861E-2</v>
      </c>
      <c r="BM7" s="1">
        <f>BI23+1</f>
        <v>3</v>
      </c>
      <c r="BN7" s="1">
        <v>3</v>
      </c>
      <c r="BO7" s="2">
        <f>$H$28*H42</f>
        <v>3.2810812347382555E-2</v>
      </c>
      <c r="BQ7" s="1">
        <f>BQ5+1</f>
        <v>3</v>
      </c>
      <c r="BR7" s="1">
        <v>0</v>
      </c>
      <c r="BS7" s="2">
        <f>$H$28*H39</f>
        <v>1.0693316328621576E-3</v>
      </c>
    </row>
    <row r="8" spans="1:71" ht="15.75" x14ac:dyDescent="0.25">
      <c r="A8" s="141" t="s">
        <v>90</v>
      </c>
      <c r="B8" s="135">
        <v>10</v>
      </c>
      <c r="C8" s="134">
        <v>12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2</v>
      </c>
      <c r="Q8" s="126">
        <f>COUNTIF(E10:I11,"RAP")</f>
        <v>8</v>
      </c>
      <c r="R8" s="96">
        <f t="shared" si="1"/>
        <v>0.5</v>
      </c>
      <c r="S8" s="96">
        <f t="shared" si="2"/>
        <v>0.59771986970684043</v>
      </c>
      <c r="T8" s="125">
        <f t="shared" si="3"/>
        <v>3.457086162399545E-3</v>
      </c>
      <c r="U8" s="124">
        <f t="shared" si="4"/>
        <v>0.58389152505724229</v>
      </c>
      <c r="V8" s="123">
        <f>$G$17</f>
        <v>0.56999999999999995</v>
      </c>
      <c r="W8" s="117">
        <f>$H$17</f>
        <v>0.56999999999999995</v>
      </c>
      <c r="X8" s="122">
        <f t="shared" si="5"/>
        <v>1.9705391125677406E-3</v>
      </c>
      <c r="Y8" s="121">
        <f t="shared" si="6"/>
        <v>0.33281816928262808</v>
      </c>
      <c r="Z8" s="102"/>
      <c r="AA8" s="120">
        <f t="shared" si="7"/>
        <v>1.9705391125677406E-3</v>
      </c>
      <c r="AB8" s="119">
        <f t="shared" si="8"/>
        <v>0.99802946088743227</v>
      </c>
      <c r="AC8" s="119">
        <f>PRODUCT(AB9:AB$16)*AA8*PRODUCT(AB$4:AB7)</f>
        <v>1.3610668261648301E-3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3.0522667107310271E-4</v>
      </c>
      <c r="AF8" s="100"/>
      <c r="AG8" s="118">
        <f t="shared" si="9"/>
        <v>0.33281816928262808</v>
      </c>
      <c r="AH8" s="117">
        <f t="shared" si="10"/>
        <v>0.66718183071737192</v>
      </c>
      <c r="AI8" s="117">
        <f>AG8*PRODUCT(AH3:AH7)*PRODUCT(AH9:AH17)</f>
        <v>0.1972488240167303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0.12190605845138075</v>
      </c>
      <c r="AL8" s="98"/>
      <c r="AN8" s="97"/>
      <c r="AO8" s="96"/>
      <c r="BI8" s="1">
        <v>0</v>
      </c>
      <c r="BJ8" s="1">
        <v>5</v>
      </c>
      <c r="BK8" s="2">
        <f t="shared" si="11"/>
        <v>2.9800532330575114E-2</v>
      </c>
      <c r="BM8" s="1">
        <f>BI31+1</f>
        <v>4</v>
      </c>
      <c r="BN8" s="1">
        <v>4</v>
      </c>
      <c r="BO8" s="2">
        <f>$H$29*H43</f>
        <v>1.5925064205194982E-2</v>
      </c>
      <c r="BQ8" s="1">
        <f>BQ6+1</f>
        <v>3</v>
      </c>
      <c r="BR8" s="1">
        <v>1</v>
      </c>
      <c r="BS8" s="2">
        <f>$H$28*H40</f>
        <v>6.628296929024109E-3</v>
      </c>
    </row>
    <row r="9" spans="1:71" ht="15.75" x14ac:dyDescent="0.25">
      <c r="A9" s="141" t="s">
        <v>88</v>
      </c>
      <c r="B9" s="135">
        <v>10</v>
      </c>
      <c r="C9" s="134">
        <v>12</v>
      </c>
      <c r="E9" s="140" t="s">
        <v>87</v>
      </c>
      <c r="F9" s="140" t="s">
        <v>87</v>
      </c>
      <c r="G9" s="140" t="s">
        <v>87</v>
      </c>
      <c r="H9" s="140" t="s">
        <v>87</v>
      </c>
      <c r="I9" s="140" t="s">
        <v>87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2</v>
      </c>
      <c r="Q9" s="126">
        <f>COUNTIF(E10:I11,"RAP")</f>
        <v>8</v>
      </c>
      <c r="R9" s="96">
        <f t="shared" si="1"/>
        <v>0.5</v>
      </c>
      <c r="S9" s="96">
        <f t="shared" si="2"/>
        <v>0.59771986970684043</v>
      </c>
      <c r="T9" s="125">
        <f t="shared" si="3"/>
        <v>3.457086162399545E-3</v>
      </c>
      <c r="U9" s="124">
        <f t="shared" si="4"/>
        <v>0.58389152505724229</v>
      </c>
      <c r="V9" s="123">
        <f>$G$17</f>
        <v>0.56999999999999995</v>
      </c>
      <c r="W9" s="117">
        <f>$H$17</f>
        <v>0.56999999999999995</v>
      </c>
      <c r="X9" s="122">
        <f t="shared" si="5"/>
        <v>1.9705391125677406E-3</v>
      </c>
      <c r="Y9" s="121">
        <f t="shared" si="6"/>
        <v>0.33281816928262808</v>
      </c>
      <c r="Z9" s="102"/>
      <c r="AA9" s="120">
        <f t="shared" si="7"/>
        <v>1.9705391125677406E-3</v>
      </c>
      <c r="AB9" s="119">
        <f t="shared" si="8"/>
        <v>0.99802946088743227</v>
      </c>
      <c r="AC9" s="119">
        <f>PRODUCT(AB10:AB$16)*AA9*PRODUCT(AB$4:AB8)</f>
        <v>1.3610668261648301E-3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3.0253934016666697E-4</v>
      </c>
      <c r="AF9" s="100"/>
      <c r="AG9" s="118">
        <f t="shared" si="9"/>
        <v>0.33281816928262808</v>
      </c>
      <c r="AH9" s="117">
        <f t="shared" si="10"/>
        <v>0.66718183071737192</v>
      </c>
      <c r="AI9" s="117">
        <f>AG9*PRODUCT(AH3:AH8)*PRODUCT(AH10:AH17)</f>
        <v>0.19724882401673033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2.3510104784877306E-2</v>
      </c>
      <c r="AL9" s="98"/>
      <c r="AN9" s="97"/>
      <c r="AO9" s="96"/>
      <c r="BI9" s="1">
        <v>0</v>
      </c>
      <c r="BJ9" s="1">
        <v>6</v>
      </c>
      <c r="BK9" s="2">
        <f t="shared" si="11"/>
        <v>1.8566341750599347E-2</v>
      </c>
      <c r="BM9" s="1">
        <f>BI38+1</f>
        <v>5</v>
      </c>
      <c r="BN9" s="1">
        <v>5</v>
      </c>
      <c r="BO9" s="2">
        <f>$H$30*H44</f>
        <v>4.2324246985241268E-3</v>
      </c>
      <c r="BQ9" s="1">
        <f>BM6+1</f>
        <v>3</v>
      </c>
      <c r="BR9" s="1">
        <v>2</v>
      </c>
      <c r="BS9" s="2">
        <f>$H$28*H41</f>
        <v>1.8899210526580987E-2</v>
      </c>
    </row>
    <row r="10" spans="1:71" ht="15.75" x14ac:dyDescent="0.25">
      <c r="A10" s="138" t="s">
        <v>85</v>
      </c>
      <c r="B10" s="135">
        <v>9</v>
      </c>
      <c r="C10" s="134">
        <v>14</v>
      </c>
      <c r="E10" s="140" t="s">
        <v>3</v>
      </c>
      <c r="F10" s="140" t="s">
        <v>3</v>
      </c>
      <c r="G10" s="140" t="s">
        <v>3</v>
      </c>
      <c r="H10" s="140" t="s">
        <v>3</v>
      </c>
      <c r="I10" s="140" t="s">
        <v>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0.11356677524429967</v>
      </c>
      <c r="U10" s="124">
        <f>S10*G14</f>
        <v>0.11356677524429967</v>
      </c>
      <c r="V10" s="123">
        <f>$G$18</f>
        <v>0.45</v>
      </c>
      <c r="W10" s="117">
        <f>$H$18</f>
        <v>0.45</v>
      </c>
      <c r="X10" s="122">
        <f t="shared" si="5"/>
        <v>5.1105048859934853E-2</v>
      </c>
      <c r="Y10" s="121">
        <f t="shared" si="6"/>
        <v>5.1105048859934853E-2</v>
      </c>
      <c r="Z10" s="102"/>
      <c r="AA10" s="120">
        <f t="shared" si="7"/>
        <v>5.1105048859934853E-2</v>
      </c>
      <c r="AB10" s="119">
        <f t="shared" si="8"/>
        <v>0.94889495114006517</v>
      </c>
      <c r="AC10" s="119">
        <f>PRODUCT(AB11:AB$16)*AA10*PRODUCT(AB$4:AB9)</f>
        <v>3.712644987271612E-2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6.252970242629584E-3</v>
      </c>
      <c r="AF10" s="100"/>
      <c r="AG10" s="118">
        <f t="shared" si="9"/>
        <v>5.1105048859934853E-2</v>
      </c>
      <c r="AH10" s="117">
        <f t="shared" si="10"/>
        <v>0.94889495114006517</v>
      </c>
      <c r="AI10" s="117">
        <f>AG10*PRODUCT(AH3:AH9)*PRODUCT(AH11:AH17)</f>
        <v>2.1295962725142413E-2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1.3913217371325642E-3</v>
      </c>
      <c r="AL10" s="98"/>
      <c r="AN10" s="97"/>
      <c r="AO10" s="96"/>
      <c r="BI10" s="1">
        <v>0</v>
      </c>
      <c r="BJ10" s="1">
        <v>7</v>
      </c>
      <c r="BK10" s="2">
        <f t="shared" si="11"/>
        <v>8.6298871520164907E-3</v>
      </c>
      <c r="BM10" s="1">
        <f>BI44+1</f>
        <v>6</v>
      </c>
      <c r="BN10" s="1">
        <v>6</v>
      </c>
      <c r="BO10" s="2">
        <f>$H$31*H45</f>
        <v>6.5645013837557656E-4</v>
      </c>
      <c r="BQ10" s="1">
        <f>BQ7+1</f>
        <v>4</v>
      </c>
      <c r="BR10" s="1">
        <v>0</v>
      </c>
      <c r="BS10" s="2">
        <f>$H$29*H39</f>
        <v>4.4022390052810408E-4</v>
      </c>
    </row>
    <row r="11" spans="1:71" ht="15.75" x14ac:dyDescent="0.25">
      <c r="A11" s="138" t="s">
        <v>82</v>
      </c>
      <c r="B11" s="135">
        <v>9</v>
      </c>
      <c r="C11" s="134">
        <v>14</v>
      </c>
      <c r="E11" s="139"/>
      <c r="F11" s="140" t="s">
        <v>3</v>
      </c>
      <c r="G11" s="140" t="s">
        <v>3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3</v>
      </c>
      <c r="Q11" s="126">
        <f>COUNTIF(E9:I11,"CAB")</f>
        <v>0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7.5711183496199777E-2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0.83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6.284028230184581E-2</v>
      </c>
      <c r="Y11" s="121">
        <f t="shared" si="6"/>
        <v>0</v>
      </c>
      <c r="Z11" s="102"/>
      <c r="AA11" s="120">
        <f t="shared" si="7"/>
        <v>6.284028230184581E-2</v>
      </c>
      <c r="AB11" s="119">
        <f t="shared" si="8"/>
        <v>0.9371597176981542</v>
      </c>
      <c r="AC11" s="119">
        <f>PRODUCT(AB12:AB$16)*AA11*PRODUCT(AB$4:AB10)</f>
        <v>4.6223440249847009E-2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4.6856527772881525E-3</v>
      </c>
      <c r="AF11" s="100"/>
      <c r="AG11" s="118">
        <f t="shared" si="9"/>
        <v>0</v>
      </c>
      <c r="AH11" s="117">
        <f t="shared" si="10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1"/>
        <v>2.9914374394058542E-3</v>
      </c>
      <c r="BM11" s="1">
        <f>BI50+1</f>
        <v>7</v>
      </c>
      <c r="BN11" s="1">
        <v>7</v>
      </c>
      <c r="BO11" s="2">
        <f>$H$32*H46</f>
        <v>6.0409853336170203E-5</v>
      </c>
      <c r="BQ11" s="1">
        <f>BQ8+1</f>
        <v>4</v>
      </c>
      <c r="BR11" s="1">
        <v>1</v>
      </c>
      <c r="BS11" s="2">
        <f>$H$29*H40</f>
        <v>2.7287462918714426E-3</v>
      </c>
    </row>
    <row r="12" spans="1:71" ht="15.75" x14ac:dyDescent="0.25">
      <c r="A12" s="138" t="s">
        <v>80</v>
      </c>
      <c r="B12" s="135">
        <v>9</v>
      </c>
      <c r="C12" s="134">
        <v>14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1</v>
      </c>
      <c r="Q12" s="126">
        <f>COUNTIF(F11:H11,"IMP")+COUNTIF(E10,"IMP")+COUNTIF(I10,"IMP")</f>
        <v>0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9.5635179153094468E-3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4.3035830618892513E-3</v>
      </c>
      <c r="Y12" s="121">
        <f t="shared" si="6"/>
        <v>0</v>
      </c>
      <c r="Z12" s="102"/>
      <c r="AA12" s="120">
        <f t="shared" si="7"/>
        <v>4.3035830618892513E-3</v>
      </c>
      <c r="AB12" s="119">
        <f t="shared" si="8"/>
        <v>0.99569641693811073</v>
      </c>
      <c r="AC12" s="119">
        <f>PRODUCT(AB13:AB$16)*AA12*PRODUCT(AB$4:AB11)</f>
        <v>2.9794835782584695E-3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2.8915125520830563E-4</v>
      </c>
      <c r="AF12" s="100"/>
      <c r="AG12" s="118">
        <f t="shared" si="9"/>
        <v>0</v>
      </c>
      <c r="AH12" s="117">
        <f t="shared" si="10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1"/>
        <v>7.6353380315098587E-4</v>
      </c>
      <c r="BM12" s="1">
        <f>BI54+1</f>
        <v>8</v>
      </c>
      <c r="BN12" s="1">
        <v>8</v>
      </c>
      <c r="BO12" s="2">
        <f>$H$33*H47</f>
        <v>3.2394940443998428E-6</v>
      </c>
      <c r="BQ12" s="1">
        <f>BQ9+1</f>
        <v>4</v>
      </c>
      <c r="BR12" s="1">
        <v>2</v>
      </c>
      <c r="BS12" s="2">
        <f>$H$29*H41</f>
        <v>7.7804526858000107E-3</v>
      </c>
    </row>
    <row r="13" spans="1:71" ht="15.75" x14ac:dyDescent="0.25">
      <c r="A13" s="136" t="s">
        <v>78</v>
      </c>
      <c r="B13" s="135">
        <v>9</v>
      </c>
      <c r="C13" s="134">
        <v>9</v>
      </c>
      <c r="E13" s="4"/>
      <c r="F13" s="4" t="s">
        <v>77</v>
      </c>
      <c r="G13" s="137">
        <f>B22</f>
        <v>0.5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3.0739879013494648E-2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3.0739879013494648E-2</v>
      </c>
      <c r="Y13" s="121">
        <f t="shared" si="6"/>
        <v>0</v>
      </c>
      <c r="Z13" s="102"/>
      <c r="AA13" s="120">
        <f t="shared" si="7"/>
        <v>3.0739879013494648E-2</v>
      </c>
      <c r="AB13" s="119">
        <f t="shared" si="8"/>
        <v>0.96926012098650538</v>
      </c>
      <c r="AC13" s="119">
        <f>PRODUCT(AB14:AB$16)*AA13*PRODUCT(AB$4:AB12)</f>
        <v>2.1862486793228678E-2</v>
      </c>
      <c r="AD13" s="119">
        <f>AA13*AA14*PRODUCT(AB3:AB12)*PRODUCT(AB15:AB17)+AA13*AA15*PRODUCT(AB3:AB12)*AB14*PRODUCT(AB16:AB17)+AA13*AA16*PRODUCT(AB3:AB12)*AB14*AB15*AB17+AA13*AA17*PRODUCT(AB3:AB12)*AB14*AB15*AB16</f>
        <v>1.4283342573323014E-3</v>
      </c>
      <c r="AF13" s="100"/>
      <c r="AG13" s="118">
        <f t="shared" si="9"/>
        <v>0</v>
      </c>
      <c r="AH13" s="117">
        <f t="shared" si="10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1"/>
        <v>1.3947570012543068E-4</v>
      </c>
      <c r="BM13" s="1">
        <f>BI57+1</f>
        <v>9</v>
      </c>
      <c r="BN13" s="1">
        <v>9</v>
      </c>
      <c r="BO13" s="2">
        <f>$H$34*H48</f>
        <v>9.6890668869995313E-8</v>
      </c>
      <c r="BQ13" s="1">
        <f>BM7+1</f>
        <v>4</v>
      </c>
      <c r="BR13" s="1">
        <v>3</v>
      </c>
      <c r="BS13" s="2">
        <f>$H$29*H42</f>
        <v>1.3507599838227498E-2</v>
      </c>
    </row>
    <row r="14" spans="1:71" ht="15.75" x14ac:dyDescent="0.25">
      <c r="A14" s="136" t="s">
        <v>75</v>
      </c>
      <c r="B14" s="135">
        <v>4</v>
      </c>
      <c r="C14" s="134">
        <v>4</v>
      </c>
      <c r="E14" s="4"/>
      <c r="F14" s="4" t="s">
        <v>74</v>
      </c>
      <c r="G14" s="133">
        <f>C22</f>
        <v>0.5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6"/>
        <v>6.1326058631921816E-2</v>
      </c>
      <c r="Z14" s="102"/>
      <c r="AA14" s="120">
        <f t="shared" si="7"/>
        <v>6.1326058631921816E-2</v>
      </c>
      <c r="AB14" s="119">
        <f t="shared" si="8"/>
        <v>0.93867394136807814</v>
      </c>
      <c r="AC14" s="119">
        <f>PRODUCT(AB15:AB$16)*AA14*PRODUCT(AB$4:AB13)</f>
        <v>4.5036853738536851E-2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9"/>
        <v>6.1326058631921816E-2</v>
      </c>
      <c r="AH14" s="117">
        <f t="shared" si="10"/>
        <v>0.93867394136807814</v>
      </c>
      <c r="AI14" s="117">
        <f>AG14*PRODUCT(AH3:AH13)*PRODUCT(AH15:AH17)</f>
        <v>2.5833419617597407E-2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2">$H$26*H41</f>
        <v>3.4919688330627384E-2</v>
      </c>
      <c r="BM14" s="1">
        <f>BQ39+1</f>
        <v>10</v>
      </c>
      <c r="BN14" s="1">
        <v>10</v>
      </c>
      <c r="BO14" s="2">
        <f>$H$35*H49</f>
        <v>1.5053361393101838E-9</v>
      </c>
      <c r="BQ14" s="1">
        <f>BQ10+1</f>
        <v>5</v>
      </c>
      <c r="BR14" s="1">
        <v>0</v>
      </c>
      <c r="BS14" s="2">
        <f>$H$30*H39</f>
        <v>1.384374334625002E-4</v>
      </c>
    </row>
    <row r="15" spans="1:71" ht="15.75" x14ac:dyDescent="0.25">
      <c r="A15" s="70" t="s">
        <v>72</v>
      </c>
      <c r="B15" s="132">
        <v>5</v>
      </c>
      <c r="C15" s="131">
        <v>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6"/>
        <v>0</v>
      </c>
      <c r="Z15" s="102"/>
      <c r="AA15" s="120">
        <f t="shared" si="7"/>
        <v>0</v>
      </c>
      <c r="AB15" s="119">
        <f t="shared" si="8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9"/>
        <v>0</v>
      </c>
      <c r="AH15" s="117">
        <f t="shared" si="10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2"/>
        <v>6.0623873120724127E-2</v>
      </c>
      <c r="BQ15" s="1">
        <f>BQ11+1</f>
        <v>5</v>
      </c>
      <c r="BR15" s="1">
        <v>1</v>
      </c>
      <c r="BS15" s="2">
        <f>$H$30*H40</f>
        <v>8.5811023155222936E-4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6"/>
        <v>0</v>
      </c>
      <c r="Z16" s="102"/>
      <c r="AA16" s="120">
        <f t="shared" si="7"/>
        <v>0</v>
      </c>
      <c r="AB16" s="119">
        <f t="shared" si="8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9"/>
        <v>0</v>
      </c>
      <c r="AH16" s="117">
        <f t="shared" si="10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2"/>
        <v>7.1473769091297976E-2</v>
      </c>
      <c r="BQ16" s="1">
        <f>BQ12+1</f>
        <v>5</v>
      </c>
      <c r="BR16" s="1">
        <v>2</v>
      </c>
      <c r="BS16" s="2">
        <f>$H$30*H41</f>
        <v>2.4467229055633861E-3</v>
      </c>
    </row>
    <row r="17" spans="1:71" x14ac:dyDescent="0.25">
      <c r="A17" s="116" t="s">
        <v>67</v>
      </c>
      <c r="B17" s="115" t="s">
        <v>66</v>
      </c>
      <c r="C17" s="114" t="s">
        <v>66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2"/>
        <v>6.040526739634236E-2</v>
      </c>
      <c r="BQ17" s="1">
        <f>BQ13+1</f>
        <v>5</v>
      </c>
      <c r="BR17" s="1">
        <v>3</v>
      </c>
      <c r="BS17" s="2">
        <f>$H$30*H42</f>
        <v>4.2477417777622888E-3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0.68934677930801913</v>
      </c>
      <c r="AC18" s="107">
        <f>SUM(AC4:AC16)</f>
        <v>0.26344995342224686</v>
      </c>
      <c r="AD18" s="107">
        <f>SUM(AD3:AD17)</f>
        <v>3.0874980909432165E-2</v>
      </c>
      <c r="AE18" s="107">
        <f>IF((1-AB18-AC18-AD18)&lt;0,(1-AB18-AC18-AD18)-1,1-AB18-AC18-AD18)</f>
        <v>1.6328286360301841E-2</v>
      </c>
      <c r="AF18" s="100"/>
      <c r="AG18" s="4"/>
      <c r="AH18" s="108">
        <f>PRODUCT(AH3:AH17)</f>
        <v>0.39541360316352153</v>
      </c>
      <c r="AI18" s="107">
        <f>SUM(AI3:AI17)</f>
        <v>0.44269345834266816</v>
      </c>
      <c r="AJ18" s="107">
        <f>SUM(AJ3:AJ17)</f>
        <v>0.1479985502583816</v>
      </c>
      <c r="AK18" s="107">
        <f>IF((1-AH18-AI18-AJ18)&lt;0,(1-AH18-AI18-AJ18)-1,(1-AH18-AI18-AJ18))</f>
        <v>1.3894388235428656E-2</v>
      </c>
      <c r="AL18" s="98"/>
      <c r="AN18" s="97"/>
      <c r="AO18" s="96"/>
      <c r="BI18" s="1">
        <v>1</v>
      </c>
      <c r="BJ18" s="1">
        <v>6</v>
      </c>
      <c r="BK18" s="2">
        <f t="shared" si="12"/>
        <v>3.7633718269729478E-2</v>
      </c>
      <c r="BQ18" s="1">
        <f>BM8+1</f>
        <v>5</v>
      </c>
      <c r="BR18" s="1">
        <v>4</v>
      </c>
      <c r="BS18" s="2">
        <f>$H$30*H43</f>
        <v>5.0079630243791817E-3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2"/>
        <v>1.7492662051643133E-2</v>
      </c>
      <c r="BQ19" s="1">
        <f>BQ15+1</f>
        <v>6</v>
      </c>
      <c r="BR19" s="1">
        <v>1</v>
      </c>
      <c r="BS19" s="2">
        <f>$H$31*H40</f>
        <v>2.1362558555323313E-4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2"/>
        <v>6.0636023686511465E-3</v>
      </c>
      <c r="BQ20" s="1">
        <f>BQ16+1</f>
        <v>6</v>
      </c>
      <c r="BR20" s="1">
        <v>2</v>
      </c>
      <c r="BS20" s="2">
        <f>$H$31*H41</f>
        <v>6.0910893981768464E-4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2"/>
        <v>1.5476724722182655E-3</v>
      </c>
      <c r="BQ21" s="1">
        <f>BQ17+1</f>
        <v>6</v>
      </c>
      <c r="BR21" s="1">
        <v>3</v>
      </c>
      <c r="BS21" s="2">
        <f>$H$31*H42</f>
        <v>1.0574705803378704E-3</v>
      </c>
    </row>
    <row r="22" spans="1:71" x14ac:dyDescent="0.25">
      <c r="A22" s="67" t="s">
        <v>60</v>
      </c>
      <c r="B22" s="74">
        <f>(B6)/((B6)+(C6))</f>
        <v>0.5</v>
      </c>
      <c r="C22" s="73">
        <f>1-B22</f>
        <v>0.5</v>
      </c>
      <c r="V22" s="52">
        <f>SUM(V25:V35)</f>
        <v>1</v>
      </c>
      <c r="AS22" s="56">
        <f>Y23+AA23+AC23+AE23+AG23+AI23+AK23+AM23+AO23+AQ23+AS23</f>
        <v>0.99999999999999989</v>
      </c>
      <c r="BI22" s="1">
        <v>1</v>
      </c>
      <c r="BJ22" s="1">
        <v>10</v>
      </c>
      <c r="BK22" s="2">
        <f t="shared" si="12"/>
        <v>2.8271531756245339E-4</v>
      </c>
      <c r="BQ22" s="1">
        <f>BQ18+1</f>
        <v>6</v>
      </c>
      <c r="BR22" s="1">
        <v>4</v>
      </c>
      <c r="BS22" s="2">
        <f>$H$31*H43</f>
        <v>1.2467268122147164E-3</v>
      </c>
    </row>
    <row r="23" spans="1:71" ht="15.75" thickBot="1" x14ac:dyDescent="0.3">
      <c r="A23" s="65" t="s">
        <v>59</v>
      </c>
      <c r="B23" s="64">
        <f>((B22^2.8)/((B22^2.8)+(C22^2.8)))*B21</f>
        <v>2.5</v>
      </c>
      <c r="C23" s="63">
        <f>B21-B23</f>
        <v>2.5</v>
      </c>
      <c r="D23" s="88">
        <f>SUM(D25:D30)</f>
        <v>1</v>
      </c>
      <c r="E23" s="88">
        <f>SUM(E25:E30)</f>
        <v>1</v>
      </c>
      <c r="H23" s="50">
        <f>SUM(H25:H35)</f>
        <v>0.99999990260151328</v>
      </c>
      <c r="I23" s="51"/>
      <c r="J23" s="50">
        <f>SUM(J25:J35)</f>
        <v>0.99999999999999967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</v>
      </c>
      <c r="V23" s="52">
        <f>SUM(V25:V34)</f>
        <v>0.99897460937500004</v>
      </c>
      <c r="Y23" s="50">
        <f>SUM(Y25:Y35)</f>
        <v>9.716796875E-4</v>
      </c>
      <c r="Z23" s="51"/>
      <c r="AA23" s="50">
        <f>SUM(AA25:AA35)</f>
        <v>9.7216796875000001E-3</v>
      </c>
      <c r="AB23" s="51"/>
      <c r="AC23" s="50">
        <f>SUM(AC25:AC35)</f>
        <v>4.3774414062500003E-2</v>
      </c>
      <c r="AD23" s="51"/>
      <c r="AE23" s="50">
        <f>SUM(AE25:AE35)</f>
        <v>0.11682128906250001</v>
      </c>
      <c r="AF23" s="51"/>
      <c r="AG23" s="50">
        <f>SUM(AG25:AG35)</f>
        <v>0.20463867187499998</v>
      </c>
      <c r="AH23" s="51"/>
      <c r="AI23" s="50">
        <f>SUM(AI25:AI35)</f>
        <v>0.24588867187499996</v>
      </c>
      <c r="AJ23" s="51"/>
      <c r="AK23" s="50">
        <f>SUM(AK25:AK35)</f>
        <v>0.20528320312499998</v>
      </c>
      <c r="AL23" s="51"/>
      <c r="AM23" s="50">
        <f>SUM(AM25:AM35)</f>
        <v>0.11762695312499996</v>
      </c>
      <c r="AN23" s="51"/>
      <c r="AO23" s="50">
        <f>SUM(AO25:AO35)</f>
        <v>4.4311523437499993E-2</v>
      </c>
      <c r="AP23" s="51"/>
      <c r="AQ23" s="50">
        <f>SUM(AQ25:AQ35)</f>
        <v>9.9365234374999972E-3</v>
      </c>
      <c r="AR23" s="51"/>
      <c r="AS23" s="50">
        <f>SUM(AS25:AS35)</f>
        <v>1.0253906249999556E-3</v>
      </c>
      <c r="BI23" s="1">
        <f t="shared" ref="BI23:BI30" si="13">BI15+1</f>
        <v>2</v>
      </c>
      <c r="BJ23" s="1">
        <v>3</v>
      </c>
      <c r="BK23" s="2">
        <f t="shared" ref="BK23:BK30" si="14">$H$27*H42</f>
        <v>5.6558478891240965E-2</v>
      </c>
      <c r="BQ23" s="1">
        <f>BM9+1</f>
        <v>6</v>
      </c>
      <c r="BR23" s="1">
        <v>5</v>
      </c>
      <c r="BS23" s="2">
        <f>$H$31*H44</f>
        <v>1.0536574105364817E-3</v>
      </c>
    </row>
    <row r="24" spans="1:71" ht="15.75" thickBot="1" x14ac:dyDescent="0.3">
      <c r="A24" s="67" t="s">
        <v>58</v>
      </c>
      <c r="B24" s="87">
        <f>B23/B21</f>
        <v>0.5</v>
      </c>
      <c r="C24" s="86">
        <f>C23/B21</f>
        <v>0.5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3"/>
        <v>2</v>
      </c>
      <c r="BJ24" s="1">
        <v>4</v>
      </c>
      <c r="BK24" s="2">
        <f t="shared" si="14"/>
        <v>6.6680788480432907E-2</v>
      </c>
      <c r="BQ24" s="1">
        <f>BI49+1</f>
        <v>7</v>
      </c>
      <c r="BR24" s="1">
        <v>0</v>
      </c>
      <c r="BS24" s="2">
        <f t="shared" ref="BS24:BS30" si="15">$H$32*H39</f>
        <v>6.8232453154528199E-6</v>
      </c>
    </row>
    <row r="25" spans="1:71" x14ac:dyDescent="0.25">
      <c r="A25" s="67" t="s">
        <v>32</v>
      </c>
      <c r="B25" s="77">
        <f>1/(1+EXP(-3.1416*4*((B11/(B11+C8))-(3.1416/6))))</f>
        <v>0.23251449252298675</v>
      </c>
      <c r="C25" s="73">
        <f>1/(1+EXP(-3.1416*4*((C11/(C11+B8))-(3.1416/6))))</f>
        <v>0.6793166023460353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0.15032339872587089</v>
      </c>
      <c r="I25" s="36">
        <v>0</v>
      </c>
      <c r="J25" s="34">
        <f t="shared" ref="J25:J35" si="16">Y25+AA25+AC25+AE25+AG25+AI25+AK25+AM25+AO25+AQ25+AS25</f>
        <v>0.21806644092363597</v>
      </c>
      <c r="K25" s="36">
        <v>0</v>
      </c>
      <c r="L25" s="34">
        <f>AB18</f>
        <v>0.68934677930801913</v>
      </c>
      <c r="M25" s="17">
        <v>0</v>
      </c>
      <c r="N25" s="32">
        <f>(1-$B$24)^$B$21</f>
        <v>3.125E-2</v>
      </c>
      <c r="O25" s="16">
        <v>0</v>
      </c>
      <c r="P25" s="32">
        <f t="shared" ref="P25:P30" si="17">N25</f>
        <v>3.125E-2</v>
      </c>
      <c r="Q25" s="10">
        <v>0</v>
      </c>
      <c r="R25" s="11">
        <f>P25*N25</f>
        <v>9.765625E-4</v>
      </c>
      <c r="S25" s="16">
        <v>0</v>
      </c>
      <c r="T25" s="15">
        <f>(1-$B$33)^(INT(C23*2*(1-C31)))</f>
        <v>0.995</v>
      </c>
      <c r="U25" s="24">
        <v>0</v>
      </c>
      <c r="V25" s="23">
        <f>R25*T25</f>
        <v>9.716796875E-4</v>
      </c>
      <c r="W25" s="33">
        <f>B31</f>
        <v>0.28228854946744131</v>
      </c>
      <c r="X25" s="10">
        <v>0</v>
      </c>
      <c r="Y25" s="9">
        <f>V25</f>
        <v>9.716796875E-4</v>
      </c>
      <c r="Z25" s="10">
        <v>0</v>
      </c>
      <c r="AA25" s="9">
        <f>((1-W25)^Z26)*V26</f>
        <v>6.9773608301285373E-3</v>
      </c>
      <c r="AB25" s="10">
        <v>0</v>
      </c>
      <c r="AC25" s="9">
        <f>(((1-$W$25)^AB27))*V27</f>
        <v>2.2548626443418214E-2</v>
      </c>
      <c r="AD25" s="10">
        <v>0</v>
      </c>
      <c r="AE25" s="9">
        <f>(((1-$W$25)^AB28))*V28</f>
        <v>4.3188847948569239E-2</v>
      </c>
      <c r="AF25" s="10">
        <v>0</v>
      </c>
      <c r="AG25" s="9">
        <f>(((1-$W$25)^AB29))*V29</f>
        <v>5.4298422067802943E-2</v>
      </c>
      <c r="AH25" s="10">
        <v>0</v>
      </c>
      <c r="AI25" s="9">
        <f>(((1-$W$25)^AB30))*V30</f>
        <v>4.68260901391572E-2</v>
      </c>
      <c r="AJ25" s="10">
        <v>0</v>
      </c>
      <c r="AK25" s="9">
        <f>(((1-$W$25)^AB31))*V31</f>
        <v>2.8057738696930269E-2</v>
      </c>
      <c r="AL25" s="10">
        <v>0</v>
      </c>
      <c r="AM25" s="9">
        <f>(((1-$W$25)^AB32))*V32</f>
        <v>1.153867586134321E-2</v>
      </c>
      <c r="AN25" s="10">
        <v>0</v>
      </c>
      <c r="AO25" s="9">
        <f>(((1-$W$25)^AB33))*V33</f>
        <v>3.1197204687111713E-3</v>
      </c>
      <c r="AP25" s="10">
        <v>0</v>
      </c>
      <c r="AQ25" s="9">
        <f>(((1-$W$25)^AB34))*V34</f>
        <v>5.0209204124622984E-4</v>
      </c>
      <c r="AR25" s="10">
        <v>0</v>
      </c>
      <c r="AS25" s="9">
        <f>(((1-$W$25)^AB35))*V35</f>
        <v>3.7186738828978154E-5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3"/>
        <v>2</v>
      </c>
      <c r="BJ25" s="1">
        <v>5</v>
      </c>
      <c r="BK25" s="2">
        <f t="shared" si="14"/>
        <v>5.6354532712755652E-2</v>
      </c>
      <c r="BQ25" s="1">
        <f>BQ19+1</f>
        <v>7</v>
      </c>
      <c r="BR25" s="1">
        <v>1</v>
      </c>
      <c r="BS25" s="2">
        <f t="shared" si="15"/>
        <v>4.2294171967345134E-5</v>
      </c>
    </row>
    <row r="26" spans="1:71" x14ac:dyDescent="0.25">
      <c r="A26" s="65" t="s">
        <v>31</v>
      </c>
      <c r="B26" s="74">
        <f>1/(1+EXP(-3.1416*4*((B10/(B10+C9))-(3.1416/6))))</f>
        <v>0.23251449252298675</v>
      </c>
      <c r="C26" s="73">
        <f>1/(1+EXP(-3.1416*4*((C10/(C10+B9))-(3.1416/6))))</f>
        <v>0.6793166023460353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0.30470345278520006</v>
      </c>
      <c r="I26" s="24">
        <v>1</v>
      </c>
      <c r="J26" s="23">
        <f t="shared" si="16"/>
        <v>0.3586784859270854</v>
      </c>
      <c r="K26" s="24">
        <v>1</v>
      </c>
      <c r="L26" s="23">
        <f>AC18</f>
        <v>0.26344995342224686</v>
      </c>
      <c r="M26" s="17">
        <v>1</v>
      </c>
      <c r="N26" s="32">
        <f>(($B$24)^M26)*((1-($B$24))^($B$21-M26))*HLOOKUP($B$21,$AV$24:$BF$34,M26+1)</f>
        <v>0.15625</v>
      </c>
      <c r="O26" s="16">
        <v>1</v>
      </c>
      <c r="P26" s="32">
        <f t="shared" si="17"/>
        <v>0.15625</v>
      </c>
      <c r="Q26" s="10">
        <v>1</v>
      </c>
      <c r="R26" s="11">
        <f>N26*P25+P26*N25</f>
        <v>9.765625E-3</v>
      </c>
      <c r="S26" s="16">
        <v>1</v>
      </c>
      <c r="T26" s="15">
        <f t="shared" ref="T26:T35" si="18">(($B$33)^S26)*((1-($B$33))^(INT($C$23*2*(1-$C$31))-S26))*HLOOKUP(INT($C$23*2*(1-$C$31)),$AV$24:$BF$34,S26+1)</f>
        <v>5.0000000000000001E-3</v>
      </c>
      <c r="U26" s="24">
        <v>1</v>
      </c>
      <c r="V26" s="23">
        <f>R26*T25+T26*R25</f>
        <v>9.7216796875000001E-3</v>
      </c>
      <c r="W26" s="12"/>
      <c r="X26" s="10">
        <v>1</v>
      </c>
      <c r="Y26" s="11"/>
      <c r="Z26" s="10">
        <v>1</v>
      </c>
      <c r="AA26" s="9">
        <f>(1-((1-W25)^Z26))*V26</f>
        <v>2.7443188573714633E-3</v>
      </c>
      <c r="AB26" s="10">
        <v>1</v>
      </c>
      <c r="AC26" s="9">
        <f>((($W$25)^M26)*((1-($W$25))^($U$27-M26))*HLOOKUP($U$27,$AV$24:$BF$34,M26+1))*V27</f>
        <v>1.7737543539182988E-2</v>
      </c>
      <c r="AD26" s="10">
        <v>1</v>
      </c>
      <c r="AE26" s="9">
        <f>((($W$25)^M26)*((1-($W$25))^($U$28-M26))*HLOOKUP($U$28,$AV$24:$BF$34,M26+1))*V28</f>
        <v>5.0960802833192716E-2</v>
      </c>
      <c r="AF26" s="10">
        <v>1</v>
      </c>
      <c r="AG26" s="9">
        <f>((($W$25)^M26)*((1-($W$25))^($U$29-M26))*HLOOKUP($U$29,$AV$24:$BF$34,M26+1))*V29</f>
        <v>8.5426101492556084E-2</v>
      </c>
      <c r="AH26" s="10">
        <v>1</v>
      </c>
      <c r="AI26" s="9">
        <f>((($W$25)^M26)*((1-($W$25))^($U$30-M26))*HLOOKUP($U$30,$AV$24:$BF$34,M26+1))*V30</f>
        <v>9.2087628341486871E-2</v>
      </c>
      <c r="AJ26" s="10">
        <v>1</v>
      </c>
      <c r="AK26" s="9">
        <f>((($W$25)^M26)*((1-($W$25))^($U$31-M26))*HLOOKUP($U$31,$AV$24:$BF$34,M26+1))*V31</f>
        <v>6.6213615671444306E-2</v>
      </c>
      <c r="AL26" s="10">
        <v>1</v>
      </c>
      <c r="AM26" s="9">
        <f>((($W$25)^Q26)*((1-($W$25))^($U$32-Q26))*HLOOKUP($U$32,$AV$24:$BF$34,Q26+1))*V32</f>
        <v>3.1768550557185977E-2</v>
      </c>
      <c r="AN26" s="10">
        <v>1</v>
      </c>
      <c r="AO26" s="9">
        <f>((($W$25)^Q26)*((1-($W$25))^($U$33-Q26))*HLOOKUP($U$33,$AV$24:$BF$34,Q26+1))*V33</f>
        <v>9.8163278872353665E-3</v>
      </c>
      <c r="AP26" s="10">
        <v>1</v>
      </c>
      <c r="AQ26" s="9">
        <f>((($W$25)^Q26)*((1-($W$25))^($U$34-Q26))*HLOOKUP($U$34,$AV$24:$BF$34,Q26+1))*V34</f>
        <v>1.7773347565464774E-3</v>
      </c>
      <c r="AR26" s="10">
        <v>1</v>
      </c>
      <c r="AS26" s="9">
        <f>((($W$25)^Q26)*((1-($W$25))^($U$35-Q26))*HLOOKUP($U$35,$AV$24:$BF$34,Q26+1))*V35</f>
        <v>1.4626199088320959E-4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3"/>
        <v>2</v>
      </c>
      <c r="BJ26" s="1">
        <v>6</v>
      </c>
      <c r="BK26" s="2">
        <f t="shared" si="14"/>
        <v>3.511002763084399E-2</v>
      </c>
      <c r="BQ26" s="1">
        <f>BQ20+1</f>
        <v>7</v>
      </c>
      <c r="BR26" s="1">
        <v>2</v>
      </c>
      <c r="BS26" s="2">
        <f t="shared" si="15"/>
        <v>1.205930374902443E-4</v>
      </c>
    </row>
    <row r="27" spans="1:71" x14ac:dyDescent="0.25">
      <c r="A27" s="67" t="s">
        <v>30</v>
      </c>
      <c r="B27" s="74">
        <f>1/(1+EXP(-3.1416*4*((B12/(B12+C7))-(3.1416/6))))</f>
        <v>0.23251449252298675</v>
      </c>
      <c r="C27" s="73">
        <f>1/(1+EXP(-3.1416*4*((C12/(C12+B7))-(3.1416/6))))</f>
        <v>0.6793166023460353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0.2842702538671803</v>
      </c>
      <c r="I27" s="24">
        <v>2</v>
      </c>
      <c r="J27" s="23">
        <f t="shared" si="16"/>
        <v>0.26553199601420585</v>
      </c>
      <c r="K27" s="24">
        <v>2</v>
      </c>
      <c r="L27" s="23">
        <f>AD18</f>
        <v>3.0874980909432165E-2</v>
      </c>
      <c r="M27" s="17">
        <v>2</v>
      </c>
      <c r="N27" s="32">
        <f>(($B$24)^M27)*((1-($B$24))^($B$21-M27))*HLOOKUP($B$21,$AV$24:$BF$34,M27+1)</f>
        <v>0.3125</v>
      </c>
      <c r="O27" s="16">
        <v>2</v>
      </c>
      <c r="P27" s="32">
        <f t="shared" si="17"/>
        <v>0.3125</v>
      </c>
      <c r="Q27" s="10">
        <v>2</v>
      </c>
      <c r="R27" s="11">
        <f>P25*N27+P26*N26+P27*N25</f>
        <v>4.39453125E-2</v>
      </c>
      <c r="S27" s="16">
        <v>2</v>
      </c>
      <c r="T27" s="15">
        <f t="shared" si="18"/>
        <v>0</v>
      </c>
      <c r="U27" s="24">
        <v>2</v>
      </c>
      <c r="V27" s="23">
        <f>R27*T25+T26*R26+R25*T27</f>
        <v>4.3774414062499996E-2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3.4882440798987956E-3</v>
      </c>
      <c r="AD27" s="10">
        <v>2</v>
      </c>
      <c r="AE27" s="9">
        <f>((($W$25)^M27)*((1-($W$25))^($U$28-M27))*HLOOKUP($U$28,$AV$24:$BF$34,M27+1))*V28</f>
        <v>2.0043780966297466E-2</v>
      </c>
      <c r="AF27" s="10">
        <v>2</v>
      </c>
      <c r="AG27" s="9">
        <f>((($W$25)^M27)*((1-($W$25))^($U$29-M27))*HLOOKUP($U$29,$AV$24:$BF$34,M27+1))*V29</f>
        <v>5.0399384583661708E-2</v>
      </c>
      <c r="AH27" s="10">
        <v>2</v>
      </c>
      <c r="AI27" s="9">
        <f>((($W$25)^M27)*((1-($W$25))^($U$30-M27))*HLOOKUP($U$30,$AV$24:$BF$34,M27+1))*V30</f>
        <v>7.2439371028917163E-2</v>
      </c>
      <c r="AJ27" s="10">
        <v>2</v>
      </c>
      <c r="AK27" s="9">
        <f>((($W$25)^M27)*((1-($W$25))^($U$31-M27))*HLOOKUP($U$31,$AV$24:$BF$34,M27+1))*V31</f>
        <v>6.5107451988599449E-2</v>
      </c>
      <c r="AL27" s="10">
        <v>2</v>
      </c>
      <c r="AM27" s="9">
        <f>((($W$25)^Q27)*((1-($W$25))^($U$32-Q27))*HLOOKUP($U$32,$AV$24:$BF$34,Q27+1))*V32</f>
        <v>3.7485390746448508E-2</v>
      </c>
      <c r="AN27" s="10">
        <v>2</v>
      </c>
      <c r="AO27" s="9">
        <f>((($W$25)^Q27)*((1-($W$25))^($U$33-Q27))*HLOOKUP($U$33,$AV$24:$BF$34,Q27+1))*V33</f>
        <v>1.3513271042490706E-2</v>
      </c>
      <c r="AP27" s="10">
        <v>2</v>
      </c>
      <c r="AQ27" s="9">
        <f>((($W$25)^Q27)*((1-($W$25))^($U$34-Q27))*HLOOKUP($U$34,$AV$24:$BF$34,Q27+1))*V34</f>
        <v>2.7962282054788687E-3</v>
      </c>
      <c r="AR27" s="10">
        <v>2</v>
      </c>
      <c r="AS27" s="9">
        <f>((($W$25)^Q27)*((1-($W$25))^($U$35-Q27))*HLOOKUP($U$35,$AV$24:$BF$34,Q27+1))*V35</f>
        <v>2.5887337241313463E-4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3"/>
        <v>2</v>
      </c>
      <c r="BJ27" s="1">
        <v>7</v>
      </c>
      <c r="BK27" s="2">
        <f t="shared" si="14"/>
        <v>1.6319616455868772E-2</v>
      </c>
      <c r="BQ27" s="1">
        <f>BQ21+1</f>
        <v>7</v>
      </c>
      <c r="BR27" s="1">
        <v>3</v>
      </c>
      <c r="BS27" s="2">
        <f t="shared" si="15"/>
        <v>2.093608893307081E-4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0.1649114003492643</v>
      </c>
      <c r="I28" s="24">
        <v>3</v>
      </c>
      <c r="J28" s="23">
        <f t="shared" si="16"/>
        <v>0.11651924413027481</v>
      </c>
      <c r="K28" s="24">
        <v>3</v>
      </c>
      <c r="L28" s="23">
        <f>AE18</f>
        <v>1.6328286360301841E-2</v>
      </c>
      <c r="M28" s="17">
        <v>3</v>
      </c>
      <c r="N28" s="32">
        <f>(($B$24)^M28)*((1-($B$24))^($B$21-M28))*HLOOKUP($B$21,$AV$24:$BF$34,M28+1)</f>
        <v>0.3125</v>
      </c>
      <c r="O28" s="16">
        <v>3</v>
      </c>
      <c r="P28" s="32">
        <f t="shared" si="17"/>
        <v>0.3125</v>
      </c>
      <c r="Q28" s="10">
        <v>3</v>
      </c>
      <c r="R28" s="11">
        <f>P25*N28+P26*N27+P27*N26+P28*N25</f>
        <v>0.1171875</v>
      </c>
      <c r="S28" s="16">
        <v>3</v>
      </c>
      <c r="T28" s="15">
        <f t="shared" si="18"/>
        <v>0</v>
      </c>
      <c r="U28" s="24">
        <v>3</v>
      </c>
      <c r="V28" s="23">
        <f>R28*T25+R27*T26+R26*T27+R25*T28</f>
        <v>0.1168212890625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2.6278573144405764E-3</v>
      </c>
      <c r="AF28" s="10">
        <v>3</v>
      </c>
      <c r="AG28" s="9">
        <f>((($W$25)^M28)*((1-($W$25))^($U$29-M28))*HLOOKUP($U$29,$AV$24:$BF$34,M28+1))*V29</f>
        <v>1.3215310189646728E-2</v>
      </c>
      <c r="AH28" s="10">
        <v>3</v>
      </c>
      <c r="AI28" s="9">
        <f>((($W$25)^M28)*((1-($W$25))^($U$30-M28))*HLOOKUP($U$30,$AV$24:$BF$34,M28+1))*V30</f>
        <v>2.8491679987707214E-2</v>
      </c>
      <c r="AJ28" s="10">
        <v>3</v>
      </c>
      <c r="AK28" s="9">
        <f>((($W$25)^M28)*((1-($W$25))^($U$31-M28))*HLOOKUP($U$31,$AV$24:$BF$34,M28+1))*V31</f>
        <v>3.4143876191924771E-2</v>
      </c>
      <c r="AL28" s="10">
        <v>3</v>
      </c>
      <c r="AM28" s="9">
        <f>((($W$25)^Q28)*((1-($W$25))^($U$32-Q28))*HLOOKUP($U$32,$AV$24:$BF$34,Q28+1))*V32</f>
        <v>2.4572773575841499E-2</v>
      </c>
      <c r="AN28" s="10">
        <v>3</v>
      </c>
      <c r="AO28" s="9">
        <f>((($W$25)^Q28)*((1-($W$25))^($U$33-Q28))*HLOOKUP($U$33,$AV$24:$BF$34,Q28+1))*V33</f>
        <v>1.0630014829259102E-2</v>
      </c>
      <c r="AP28" s="10">
        <v>3</v>
      </c>
      <c r="AQ28" s="9">
        <f>((($W$25)^Q28)*((1-($W$25))^($U$34-Q28))*HLOOKUP($U$34,$AV$24:$BF$34,Q28+1))*V34</f>
        <v>2.5662134945885081E-3</v>
      </c>
      <c r="AR28" s="10">
        <v>3</v>
      </c>
      <c r="AS28" s="9">
        <f>((($W$25)^Q28)*((1-($W$25))^($U$35-Q28))*HLOOKUP($U$35,$AV$24:$BF$34,Q28+1))*V35</f>
        <v>2.7151854686642725E-4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9">BE27+BE28</f>
        <v>210</v>
      </c>
      <c r="BI28" s="1">
        <f t="shared" si="13"/>
        <v>2</v>
      </c>
      <c r="BJ28" s="1">
        <v>8</v>
      </c>
      <c r="BK28" s="2">
        <f t="shared" si="14"/>
        <v>5.6569814648645168E-3</v>
      </c>
      <c r="BQ28" s="1">
        <f>BQ22+1</f>
        <v>7</v>
      </c>
      <c r="BR28" s="1">
        <v>4</v>
      </c>
      <c r="BS28" s="2">
        <f t="shared" si="15"/>
        <v>2.4683035066026614E-4</v>
      </c>
    </row>
    <row r="29" spans="1:71" x14ac:dyDescent="0.25">
      <c r="A29" s="67" t="s">
        <v>28</v>
      </c>
      <c r="B29" s="74">
        <f>1/(1+EXP(-3.1416*4*((B14/(B14+C13))-(3.1416/6))))</f>
        <v>6.2199958135446112E-2</v>
      </c>
      <c r="C29" s="73">
        <f>1/(1+EXP(-3.1416*4*((C14/(C14+B13))-(3.1416/6))))</f>
        <v>6.2199958135446112E-2</v>
      </c>
      <c r="D29" s="8">
        <v>0.04</v>
      </c>
      <c r="E29" s="8">
        <v>0.04</v>
      </c>
      <c r="G29" s="62">
        <v>4</v>
      </c>
      <c r="H29" s="61">
        <f>J29*L25+J28*L26+J27*L27+J26*L28</f>
        <v>6.7890949516746527E-2</v>
      </c>
      <c r="I29" s="24">
        <v>4</v>
      </c>
      <c r="J29" s="23">
        <f t="shared" si="16"/>
        <v>3.3566646621282149E-2</v>
      </c>
      <c r="K29" s="24">
        <v>4</v>
      </c>
      <c r="L29" s="23"/>
      <c r="M29" s="17">
        <v>4</v>
      </c>
      <c r="N29" s="32">
        <f>(($B$24)^M29)*((1-($B$24))^($B$21-M29))*HLOOKUP($B$21,$AV$24:$BF$34,M29+1)</f>
        <v>0.15625</v>
      </c>
      <c r="O29" s="16">
        <v>4</v>
      </c>
      <c r="P29" s="32">
        <f t="shared" si="17"/>
        <v>0.15625</v>
      </c>
      <c r="Q29" s="10">
        <v>4</v>
      </c>
      <c r="R29" s="11">
        <f>P25*N29+P26*N28+P27*N27+P28*N26+P29*N25</f>
        <v>0.205078125</v>
      </c>
      <c r="S29" s="16">
        <v>4</v>
      </c>
      <c r="T29" s="15">
        <f t="shared" si="18"/>
        <v>0</v>
      </c>
      <c r="U29" s="24">
        <v>4</v>
      </c>
      <c r="V29" s="23">
        <f>T29*R25+T28*R26+T27*R27+T26*R28+T25*R29</f>
        <v>0.20463867187499998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1.2994535413324991E-3</v>
      </c>
      <c r="AH29" s="10">
        <v>4</v>
      </c>
      <c r="AI29" s="9">
        <f>((($W$25)^M29)*((1-($W$25))^($U$30-M29))*HLOOKUP($U$30,$AV$24:$BF$34,M29+1))*V30</f>
        <v>5.6031396807535916E-3</v>
      </c>
      <c r="AJ29" s="10">
        <v>4</v>
      </c>
      <c r="AK29" s="9">
        <f>((($W$25)^M29)*((1-($W$25))^($U$31-M29))*HLOOKUP($U$31,$AV$24:$BF$34,M29+1))*V31</f>
        <v>1.0072040730570494E-2</v>
      </c>
      <c r="AL29" s="10">
        <v>4</v>
      </c>
      <c r="AM29" s="9">
        <f>((($W$25)^Q29)*((1-($W$25))^($U$32-Q29))*HLOOKUP($U$32,$AV$24:$BF$34,Q29+1))*V32</f>
        <v>9.6649044737533978E-3</v>
      </c>
      <c r="AN29" s="10">
        <v>4</v>
      </c>
      <c r="AO29" s="9">
        <f>((($W$25)^Q29)*((1-($W$25))^($U$33-Q29))*HLOOKUP($U$33,$AV$24:$BF$34,Q29+1))*V33</f>
        <v>5.2262149794710857E-3</v>
      </c>
      <c r="AP29" s="10">
        <v>4</v>
      </c>
      <c r="AQ29" s="9">
        <f>((($W$25)^Q29)*((1-($W$25))^($U$34-Q29))*HLOOKUP($U$34,$AV$24:$BF$34,Q29+1))*V34</f>
        <v>1.5140054219706935E-3</v>
      </c>
      <c r="AR29" s="10">
        <v>4</v>
      </c>
      <c r="AS29" s="9">
        <f>((($W$25)^Q29)*((1-($W$25))^($U$35-Q29))*HLOOKUP($U$35,$AV$24:$BF$34,Q29+1))*V35</f>
        <v>1.8688779343039037E-4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9"/>
        <v>252</v>
      </c>
      <c r="BI29" s="1">
        <f t="shared" si="13"/>
        <v>2</v>
      </c>
      <c r="BJ29" s="1">
        <v>9</v>
      </c>
      <c r="BK29" s="2">
        <f t="shared" si="14"/>
        <v>1.4438866463744331E-3</v>
      </c>
      <c r="BQ29" s="1">
        <f>BQ23+1</f>
        <v>7</v>
      </c>
      <c r="BR29" s="1">
        <v>5</v>
      </c>
      <c r="BS29" s="2">
        <f t="shared" si="15"/>
        <v>2.0860594764662583E-4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2.1349701356867933E-2</v>
      </c>
      <c r="I30" s="24">
        <v>5</v>
      </c>
      <c r="J30" s="23">
        <f t="shared" si="16"/>
        <v>6.6343357195268009E-3</v>
      </c>
      <c r="K30" s="24">
        <v>5</v>
      </c>
      <c r="L30" s="23"/>
      <c r="M30" s="17">
        <v>5</v>
      </c>
      <c r="N30" s="32">
        <f>(($B$24)^M30)*((1-($B$24))^($B$21-M30))*HLOOKUP($B$21,$AV$24:$BF$34,M30+1)</f>
        <v>3.125E-2</v>
      </c>
      <c r="O30" s="16">
        <v>5</v>
      </c>
      <c r="P30" s="32">
        <f t="shared" si="17"/>
        <v>3.125E-2</v>
      </c>
      <c r="Q30" s="10">
        <v>5</v>
      </c>
      <c r="R30" s="11">
        <f>P25*N30+P26*N29+P27*N28+P28*N27+P29*N26+P30*N25</f>
        <v>0.24609375</v>
      </c>
      <c r="S30" s="16">
        <v>5</v>
      </c>
      <c r="T30" s="15">
        <f t="shared" si="18"/>
        <v>0</v>
      </c>
      <c r="U30" s="24">
        <v>5</v>
      </c>
      <c r="V30" s="23">
        <f>T30*R25+T29*R26+T28*R27+T27*R28+T26*R29+T25*R30</f>
        <v>0.24588867187500002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4.4076269697793829E-4</v>
      </c>
      <c r="AJ30" s="10">
        <v>5</v>
      </c>
      <c r="AK30" s="9">
        <f>((($W$25)^M30)*((1-($W$25))^($U$31-M30))*HLOOKUP($U$31,$AV$24:$BF$34,M30+1))*V31</f>
        <v>1.5846043787653078E-3</v>
      </c>
      <c r="AL30" s="10">
        <v>5</v>
      </c>
      <c r="AM30" s="9">
        <f>((($W$25)^Q30)*((1-($W$25))^($U$32-Q30))*HLOOKUP($U$32,$AV$24:$BF$34,Q30+1))*V32</f>
        <v>2.2808262534583569E-3</v>
      </c>
      <c r="AN30" s="10">
        <v>5</v>
      </c>
      <c r="AO30" s="9">
        <f>((($W$25)^Q30)*((1-($W$25))^($U$33-Q30))*HLOOKUP($U$33,$AV$24:$BF$34,Q30+1))*V33</f>
        <v>1.6444498910142215E-3</v>
      </c>
      <c r="AP30" s="10">
        <v>5</v>
      </c>
      <c r="AQ30" s="9">
        <f>((($W$25)^Q30)*((1-($W$25))^($U$34-Q30))*HLOOKUP($U$34,$AV$24:$BF$34,Q30+1))*V34</f>
        <v>5.9548498792490743E-4</v>
      </c>
      <c r="AR30" s="10">
        <v>5</v>
      </c>
      <c r="AS30" s="9">
        <f>((($W$25)^Q30)*((1-($W$25))^($U$35-Q30))*HLOOKUP($U$35,$AV$24:$BF$34,Q30+1))*V35</f>
        <v>8.8207511386069115E-5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9"/>
        <v>210</v>
      </c>
      <c r="BI30" s="1">
        <f t="shared" si="13"/>
        <v>2</v>
      </c>
      <c r="BJ30" s="1">
        <v>10</v>
      </c>
      <c r="BK30" s="2">
        <f t="shared" si="14"/>
        <v>2.6375662750455946E-4</v>
      </c>
      <c r="BQ30" s="1">
        <f>BM10+1</f>
        <v>7</v>
      </c>
      <c r="BR30" s="1">
        <v>6</v>
      </c>
      <c r="BS30" s="2">
        <f t="shared" si="15"/>
        <v>1.2996577618988275E-4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0.28228854946744131</v>
      </c>
      <c r="C31" s="68">
        <f>(C25*E25)+(C26*E26)+(C27*E27)+(C28*E28)+(C29*E29)+(C30*E30)/(C25+C26+C27+C28+C29+C30)</f>
        <v>0.67275832555955561</v>
      </c>
      <c r="G31" s="62">
        <v>6</v>
      </c>
      <c r="H31" s="61">
        <f>J31*L25+J30*L26+J29*L27+J28*L28</f>
        <v>5.3149843528814394E-3</v>
      </c>
      <c r="I31" s="24">
        <v>6</v>
      </c>
      <c r="J31" s="23">
        <f t="shared" si="16"/>
        <v>9.1135518025398804E-4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0.205078125</v>
      </c>
      <c r="S31" s="16">
        <v>6</v>
      </c>
      <c r="T31" s="15">
        <f t="shared" si="18"/>
        <v>0</v>
      </c>
      <c r="U31" s="24">
        <v>6</v>
      </c>
      <c r="V31" s="23">
        <f>T31*R25+T30*R26+T29*R27+T28*R28+T27*R29+T26*R30+T25*R31</f>
        <v>0.20528320312499998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1.0387546676534513E-4</v>
      </c>
      <c r="AL31" s="10">
        <v>6</v>
      </c>
      <c r="AM31" s="9">
        <f>((($W$25)^Q31)*((1-($W$25))^($U$32-Q31))*HLOOKUP($U$32,$AV$24:$BF$34,Q31+1))*V32</f>
        <v>2.99029707179334E-4</v>
      </c>
      <c r="AN31" s="10">
        <v>6</v>
      </c>
      <c r="AO31" s="9">
        <f>((($W$25)^Q31)*((1-($W$25))^($U$33-Q31))*HLOOKUP($U$33,$AV$24:$BF$34,Q31+1))*V33</f>
        <v>3.2339554709754341E-4</v>
      </c>
      <c r="AP31" s="10">
        <v>6</v>
      </c>
      <c r="AQ31" s="9">
        <f>((($W$25)^Q31)*((1-($W$25))^($U$34-Q31))*HLOOKUP($U$34,$AV$24:$BF$34,Q31+1))*V34</f>
        <v>1.5614315320939062E-4</v>
      </c>
      <c r="AR31" s="10">
        <v>6</v>
      </c>
      <c r="AS31" s="9">
        <f>((($W$25)^Q31)*((1-($W$25))^($U$35-Q31))*HLOOKUP($U$35,$AV$24:$BF$34,Q31+1))*V35</f>
        <v>2.8911306002374981E-5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9"/>
        <v>120</v>
      </c>
      <c r="BI31" s="1">
        <f t="shared" ref="BI31:BI37" si="20">BI24+1</f>
        <v>3</v>
      </c>
      <c r="BJ31" s="1">
        <v>4</v>
      </c>
      <c r="BK31" s="2">
        <f t="shared" ref="BK31:BK37" si="21">$H$28*H43</f>
        <v>3.868298583867711E-2</v>
      </c>
      <c r="BQ31" s="1">
        <f t="shared" ref="BQ31:BQ37" si="22">BQ24+1</f>
        <v>8</v>
      </c>
      <c r="BR31" s="1">
        <v>0</v>
      </c>
      <c r="BS31" s="2">
        <f t="shared" ref="BS31:BS38" si="23">$H$33*H39</f>
        <v>1.055566459673466E-6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1.0522749961918785E-3</v>
      </c>
      <c r="I32" s="24">
        <v>7</v>
      </c>
      <c r="J32" s="23">
        <f t="shared" si="16"/>
        <v>8.596211849690371E-5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0.1171875</v>
      </c>
      <c r="S32" s="16">
        <v>7</v>
      </c>
      <c r="T32" s="15">
        <f t="shared" si="18"/>
        <v>0</v>
      </c>
      <c r="U32" s="24">
        <v>7</v>
      </c>
      <c r="V32" s="23">
        <f>T32*R25+T31*R26+T30*R27+T29*R28+T28*R29+T27*R30+T26*R31+T25*R32</f>
        <v>0.117626953125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1.6801949789688508E-5</v>
      </c>
      <c r="AN32" s="10">
        <v>7</v>
      </c>
      <c r="AO32" s="9">
        <f>((($W$25)^Q32)*((1-($W$25))^($U$33-Q32))*HLOOKUP($U$33,$AV$24:$BF$34,Q32+1))*V33</f>
        <v>3.6342046385933742E-5</v>
      </c>
      <c r="AP32" s="10">
        <v>7</v>
      </c>
      <c r="AQ32" s="9">
        <f>((($W$25)^Q32)*((1-($W$25))^($U$34-Q32))*HLOOKUP($U$34,$AV$24:$BF$34,Q32+1))*V34</f>
        <v>2.632022194357885E-5</v>
      </c>
      <c r="AR32" s="10">
        <v>7</v>
      </c>
      <c r="AS32" s="9">
        <f>((($W$25)^Q32)*((1-($W$25))^($U$35-Q32))*HLOOKUP($U$35,$AV$24:$BF$34,Q32+1))*V35</f>
        <v>6.497900377702619E-6</v>
      </c>
      <c r="AV32" s="22">
        <v>8</v>
      </c>
      <c r="BD32" s="1">
        <v>1</v>
      </c>
      <c r="BE32" s="1">
        <v>9</v>
      </c>
      <c r="BF32" s="1">
        <f t="shared" si="19"/>
        <v>45</v>
      </c>
      <c r="BI32" s="1">
        <f t="shared" si="20"/>
        <v>3</v>
      </c>
      <c r="BJ32" s="1">
        <v>5</v>
      </c>
      <c r="BK32" s="2">
        <f t="shared" si="21"/>
        <v>3.2692498702418457E-2</v>
      </c>
      <c r="BQ32" s="1">
        <f t="shared" si="22"/>
        <v>8</v>
      </c>
      <c r="BR32" s="1">
        <v>1</v>
      </c>
      <c r="BS32" s="2">
        <f t="shared" si="23"/>
        <v>6.5429729262824356E-6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1.6278854723537919E-4</v>
      </c>
      <c r="I33" s="24">
        <v>8</v>
      </c>
      <c r="J33" s="23">
        <f t="shared" si="16"/>
        <v>5.3331994879499605E-6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4.39453125E-2</v>
      </c>
      <c r="S33" s="16">
        <v>8</v>
      </c>
      <c r="T33" s="15">
        <f t="shared" si="18"/>
        <v>0</v>
      </c>
      <c r="U33" s="24">
        <v>8</v>
      </c>
      <c r="V33" s="23">
        <f>T33*R25+T32*R26+T31*R27+T30*R28+T29*R29+T28*R30+T27*R31+T26*R32+T25*R33</f>
        <v>4.43115234375E-2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1.7867458348601181E-6</v>
      </c>
      <c r="AP33" s="10">
        <v>8</v>
      </c>
      <c r="AQ33" s="9">
        <f>((($W$25)^Q33)*((1-($W$25))^($U$34-Q33))*HLOOKUP($U$34,$AV$24:$BF$34,Q33+1))*V34</f>
        <v>2.5880516705567523E-6</v>
      </c>
      <c r="AR33" s="10">
        <v>8</v>
      </c>
      <c r="AS33" s="9">
        <f>((($W$25)^Q33)*((1-($W$25))^($U$35-Q33))*HLOOKUP($U$35,$AV$24:$BF$34,Q33+1))*V35</f>
        <v>9.5840198253309035E-7</v>
      </c>
      <c r="AV33" s="29">
        <v>9</v>
      </c>
      <c r="BE33" s="1">
        <v>1</v>
      </c>
      <c r="BF33" s="1">
        <f t="shared" si="19"/>
        <v>10</v>
      </c>
      <c r="BI33" s="1">
        <f t="shared" si="20"/>
        <v>3</v>
      </c>
      <c r="BJ33" s="1">
        <v>6</v>
      </c>
      <c r="BK33" s="2">
        <f t="shared" si="21"/>
        <v>2.0368096007713592E-2</v>
      </c>
      <c r="BQ33" s="1">
        <f t="shared" si="22"/>
        <v>8</v>
      </c>
      <c r="BR33" s="1">
        <v>2</v>
      </c>
      <c r="BS33" s="2">
        <f t="shared" si="23"/>
        <v>1.8655926873471786E-5</v>
      </c>
    </row>
    <row r="34" spans="1:71" x14ac:dyDescent="0.25">
      <c r="A34" s="65" t="s">
        <v>23</v>
      </c>
      <c r="B34" s="64">
        <f>B23*2</f>
        <v>5</v>
      </c>
      <c r="C34" s="63">
        <f>C23*2</f>
        <v>5</v>
      </c>
      <c r="G34" s="62">
        <v>9</v>
      </c>
      <c r="H34" s="61">
        <f>J34*L25+J33*L26+J32*L27+J31*L28</f>
        <v>1.9075690675715208E-5</v>
      </c>
      <c r="I34" s="24">
        <v>9</v>
      </c>
      <c r="J34" s="23">
        <f t="shared" si="16"/>
        <v>1.9687100373719795E-7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9.765625E-3</v>
      </c>
      <c r="S34" s="16">
        <v>9</v>
      </c>
      <c r="T34" s="15">
        <f t="shared" si="18"/>
        <v>0</v>
      </c>
      <c r="U34" s="24">
        <v>9</v>
      </c>
      <c r="V34" s="23">
        <f>T34*R25+T33*R26+T32*R27+T31*R28+T30*R29+T29*R30+T28*R31+T27*R32+T26*R33+T25*R34</f>
        <v>9.936523437499999E-3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1.1310292078555903E-7</v>
      </c>
      <c r="AR34" s="10">
        <v>9</v>
      </c>
      <c r="AS34" s="9">
        <f>((($W$25)^Q34)*((1-($W$25))^($U$35-Q34))*HLOOKUP($U$35,$AV$24:$BF$34,Q34+1))*V35</f>
        <v>8.3768082951638928E-8</v>
      </c>
      <c r="AV34" s="22">
        <v>10</v>
      </c>
      <c r="BF34" s="1">
        <f t="shared" si="19"/>
        <v>1</v>
      </c>
      <c r="BI34" s="1">
        <f t="shared" si="20"/>
        <v>3</v>
      </c>
      <c r="BJ34" s="1">
        <v>7</v>
      </c>
      <c r="BK34" s="2">
        <f t="shared" si="21"/>
        <v>9.4673669379338934E-3</v>
      </c>
      <c r="BQ34" s="1">
        <f t="shared" si="22"/>
        <v>8</v>
      </c>
      <c r="BR34" s="1">
        <v>3</v>
      </c>
      <c r="BS34" s="2">
        <f t="shared" si="23"/>
        <v>3.2388448975212865E-5</v>
      </c>
    </row>
    <row r="35" spans="1:71" ht="15.75" thickBot="1" x14ac:dyDescent="0.3">
      <c r="G35" s="60">
        <v>10</v>
      </c>
      <c r="H35" s="59">
        <f>J35*L25+J34*L26+J33*L27+J32*L28</f>
        <v>1.6224133987675806E-6</v>
      </c>
      <c r="I35" s="14">
        <v>10</v>
      </c>
      <c r="J35" s="13">
        <f t="shared" si="16"/>
        <v>3.2947461839350611E-9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9.765625E-4</v>
      </c>
      <c r="S35" s="16">
        <v>10</v>
      </c>
      <c r="T35" s="15">
        <f t="shared" si="18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3.2947461839350611E-9</v>
      </c>
      <c r="BI35" s="1">
        <f t="shared" si="20"/>
        <v>3</v>
      </c>
      <c r="BJ35" s="1">
        <v>8</v>
      </c>
      <c r="BK35" s="2">
        <f t="shared" si="21"/>
        <v>3.2817388468528246E-3</v>
      </c>
      <c r="BQ35" s="1">
        <f t="shared" si="22"/>
        <v>8</v>
      </c>
      <c r="BR35" s="1">
        <v>4</v>
      </c>
      <c r="BS35" s="2">
        <f t="shared" si="23"/>
        <v>3.8185031805371394E-5</v>
      </c>
    </row>
    <row r="36" spans="1:71" ht="15.75" x14ac:dyDescent="0.25">
      <c r="A36" s="58" t="s">
        <v>22</v>
      </c>
      <c r="B36" s="48">
        <f>SUM(BO4:BO14)</f>
        <v>9.9488206636773213E-2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20"/>
        <v>3</v>
      </c>
      <c r="BJ36" s="1">
        <v>9</v>
      </c>
      <c r="BK36" s="2">
        <f t="shared" si="21"/>
        <v>8.3763026753571094E-4</v>
      </c>
      <c r="BQ36" s="1">
        <f t="shared" si="22"/>
        <v>8</v>
      </c>
      <c r="BR36" s="1">
        <v>5</v>
      </c>
      <c r="BS36" s="2">
        <f t="shared" si="23"/>
        <v>3.2271658344965128E-5</v>
      </c>
    </row>
    <row r="37" spans="1:71" ht="16.5" thickBot="1" x14ac:dyDescent="0.3">
      <c r="A37" s="55" t="s">
        <v>21</v>
      </c>
      <c r="B37" s="48">
        <f>SUM(BK4:BK59)</f>
        <v>0.8160660666033277</v>
      </c>
      <c r="G37" s="4"/>
      <c r="H37" s="50">
        <f>SUM(H39:H49)</f>
        <v>0.99987616795544543</v>
      </c>
      <c r="I37" s="53"/>
      <c r="J37" s="50">
        <f>SUM(J39:J49)</f>
        <v>1.0000000000000002</v>
      </c>
      <c r="K37" s="50"/>
      <c r="L37" s="50">
        <f>SUM(L39:L49)</f>
        <v>0.99999999999999989</v>
      </c>
      <c r="M37" s="53"/>
      <c r="N37" s="54">
        <f>SUM(N39:N49)</f>
        <v>1</v>
      </c>
      <c r="O37" s="53"/>
      <c r="P37" s="54">
        <f>SUM(P39:P49)</f>
        <v>1</v>
      </c>
      <c r="Q37" s="53"/>
      <c r="R37" s="50">
        <f>SUM(R39:R49)</f>
        <v>1</v>
      </c>
      <c r="S37" s="53"/>
      <c r="T37" s="50">
        <f>SUM(T39:T49)</f>
        <v>1</v>
      </c>
      <c r="U37" s="53"/>
      <c r="V37" s="52">
        <f>SUM(V39:V48)</f>
        <v>0.99887438476562496</v>
      </c>
      <c r="W37" s="4"/>
      <c r="X37" s="4"/>
      <c r="Y37" s="50">
        <f>SUM(Y39:Y49)</f>
        <v>9.6198718261718752E-4</v>
      </c>
      <c r="Z37" s="51"/>
      <c r="AA37" s="50">
        <f>SUM(AA39:AA49)</f>
        <v>9.6343741455078135E-3</v>
      </c>
      <c r="AB37" s="51"/>
      <c r="AC37" s="50">
        <f>SUM(AC39:AC49)</f>
        <v>4.3434519287109383E-2</v>
      </c>
      <c r="AD37" s="51"/>
      <c r="AE37" s="50">
        <f>SUM(AE39:AE49)</f>
        <v>0.11609179516601563</v>
      </c>
      <c r="AF37" s="51"/>
      <c r="AG37" s="50">
        <f>SUM(AG39:AG49)</f>
        <v>0.20376086730957033</v>
      </c>
      <c r="AH37" s="51"/>
      <c r="AI37" s="50">
        <f>SUM(AI39:AI49)</f>
        <v>0.24547500769042968</v>
      </c>
      <c r="AJ37" s="51"/>
      <c r="AK37" s="50">
        <f>SUM(AK39:AK49)</f>
        <v>0.20568721142578125</v>
      </c>
      <c r="AL37" s="51"/>
      <c r="AM37" s="50">
        <f>SUM(AM39:AM49)</f>
        <v>0.11850233935546876</v>
      </c>
      <c r="AN37" s="51"/>
      <c r="AO37" s="50">
        <f>SUM(AO39:AO49)</f>
        <v>4.504503625488282E-2</v>
      </c>
      <c r="AP37" s="51"/>
      <c r="AQ37" s="50">
        <f>SUM(AQ39:AQ49)</f>
        <v>1.0281246948242189E-2</v>
      </c>
      <c r="AR37" s="51"/>
      <c r="AS37" s="50">
        <f>SUM(AS39:AS49)</f>
        <v>1.1256152343750436E-3</v>
      </c>
      <c r="BI37" s="1">
        <f t="shared" si="20"/>
        <v>3</v>
      </c>
      <c r="BJ37" s="1">
        <v>10</v>
      </c>
      <c r="BK37" s="2">
        <f t="shared" si="21"/>
        <v>1.5301099640730982E-4</v>
      </c>
      <c r="BQ37" s="1">
        <f t="shared" si="22"/>
        <v>8</v>
      </c>
      <c r="BR37" s="1">
        <v>6</v>
      </c>
      <c r="BS37" s="2">
        <f t="shared" si="23"/>
        <v>2.0105903849122305E-5</v>
      </c>
    </row>
    <row r="38" spans="1:71" ht="16.5" thickBot="1" x14ac:dyDescent="0.3">
      <c r="A38" s="49" t="s">
        <v>20</v>
      </c>
      <c r="B38" s="48">
        <f>SUM(BS4:BS47)</f>
        <v>8.4320176621763152E-2</v>
      </c>
      <c r="G38" s="46" t="str">
        <f t="shared" ref="G38:AS38" si="24">G24</f>
        <v>G</v>
      </c>
      <c r="H38" s="47" t="str">
        <f t="shared" si="24"/>
        <v>p</v>
      </c>
      <c r="I38" s="46" t="str">
        <f t="shared" si="24"/>
        <v>GT</v>
      </c>
      <c r="J38" s="44" t="str">
        <f t="shared" si="24"/>
        <v>p(x)</v>
      </c>
      <c r="K38" s="45" t="str">
        <f t="shared" si="24"/>
        <v>EE(x)</v>
      </c>
      <c r="L38" s="44" t="str">
        <f t="shared" si="24"/>
        <v>p</v>
      </c>
      <c r="M38" s="40" t="str">
        <f t="shared" si="24"/>
        <v>OcaS</v>
      </c>
      <c r="N38" s="39" t="str">
        <f t="shared" si="24"/>
        <v>P</v>
      </c>
      <c r="O38" s="39" t="str">
        <f t="shared" si="24"/>
        <v>O_CA</v>
      </c>
      <c r="P38" s="39" t="str">
        <f t="shared" si="24"/>
        <v>p</v>
      </c>
      <c r="Q38" s="39" t="str">
        <f t="shared" si="24"/>
        <v>TotalN</v>
      </c>
      <c r="R38" s="39" t="str">
        <f t="shared" si="24"/>
        <v>p</v>
      </c>
      <c r="S38" s="39" t="str">
        <f t="shared" si="24"/>
        <v>OcaCA</v>
      </c>
      <c r="T38" s="43" t="str">
        <f t="shared" si="24"/>
        <v>p</v>
      </c>
      <c r="U38" s="42" t="str">
        <f t="shared" si="24"/>
        <v>Total</v>
      </c>
      <c r="V38" s="41" t="str">
        <f t="shared" si="24"/>
        <v>P</v>
      </c>
      <c r="W38" s="40" t="str">
        <f t="shared" si="24"/>
        <v>E(x)</v>
      </c>
      <c r="X38" s="39" t="str">
        <f t="shared" si="24"/>
        <v>G0</v>
      </c>
      <c r="Y38" s="39" t="str">
        <f t="shared" si="24"/>
        <v>p</v>
      </c>
      <c r="Z38" s="39" t="str">
        <f t="shared" si="24"/>
        <v>G1</v>
      </c>
      <c r="AA38" s="39" t="str">
        <f t="shared" si="24"/>
        <v>p</v>
      </c>
      <c r="AB38" s="39" t="str">
        <f t="shared" si="24"/>
        <v>G2</v>
      </c>
      <c r="AC38" s="39" t="str">
        <f t="shared" si="24"/>
        <v>p</v>
      </c>
      <c r="AD38" s="39" t="str">
        <f t="shared" si="24"/>
        <v>G3</v>
      </c>
      <c r="AE38" s="39" t="str">
        <f t="shared" si="24"/>
        <v>p</v>
      </c>
      <c r="AF38" s="39" t="str">
        <f t="shared" si="24"/>
        <v>G4</v>
      </c>
      <c r="AG38" s="39" t="str">
        <f t="shared" si="24"/>
        <v>p</v>
      </c>
      <c r="AH38" s="39" t="str">
        <f t="shared" si="24"/>
        <v>G5</v>
      </c>
      <c r="AI38" s="39" t="str">
        <f t="shared" si="24"/>
        <v>p</v>
      </c>
      <c r="AJ38" s="39" t="str">
        <f t="shared" si="24"/>
        <v>G6</v>
      </c>
      <c r="AK38" s="39" t="str">
        <f t="shared" si="24"/>
        <v>p</v>
      </c>
      <c r="AL38" s="39" t="str">
        <f t="shared" si="24"/>
        <v>G7</v>
      </c>
      <c r="AM38" s="39" t="str">
        <f t="shared" si="24"/>
        <v>p</v>
      </c>
      <c r="AN38" s="39" t="str">
        <f t="shared" si="24"/>
        <v>G8</v>
      </c>
      <c r="AO38" s="39" t="str">
        <f t="shared" si="24"/>
        <v>p</v>
      </c>
      <c r="AP38" s="39" t="str">
        <f t="shared" si="24"/>
        <v>G9</v>
      </c>
      <c r="AQ38" s="39" t="str">
        <f t="shared" si="24"/>
        <v>p</v>
      </c>
      <c r="AR38" s="39" t="str">
        <f t="shared" si="24"/>
        <v>G10</v>
      </c>
      <c r="AS38" s="39" t="str">
        <f t="shared" si="24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5">BI32+1</f>
        <v>4</v>
      </c>
      <c r="BJ38" s="1">
        <v>5</v>
      </c>
      <c r="BK38" s="2">
        <f t="shared" ref="BK38:BK43" si="26">$H$29*H44</f>
        <v>1.3458892316004124E-2</v>
      </c>
      <c r="BQ38" s="1">
        <f>BM11+1</f>
        <v>8</v>
      </c>
      <c r="BR38" s="1">
        <v>7</v>
      </c>
      <c r="BS38" s="2">
        <f t="shared" si="23"/>
        <v>9.3454964708714527E-6</v>
      </c>
    </row>
    <row r="39" spans="1:71" x14ac:dyDescent="0.25">
      <c r="G39" s="38">
        <v>0</v>
      </c>
      <c r="H39" s="37">
        <f>L39*J39</f>
        <v>6.4842796228607013E-3</v>
      </c>
      <c r="I39" s="36">
        <v>0</v>
      </c>
      <c r="J39" s="34">
        <f t="shared" ref="J39:J49" si="27">Y39+AA39+AC39+AE39+AG39+AI39+AK39+AM39+AO39+AQ39+AS39</f>
        <v>1.6398726728122089E-2</v>
      </c>
      <c r="K39" s="35">
        <v>0</v>
      </c>
      <c r="L39" s="34">
        <f>AH18</f>
        <v>0.39541360316352153</v>
      </c>
      <c r="M39" s="17">
        <v>0</v>
      </c>
      <c r="N39" s="32">
        <f>(1-$C$24)^$B$21</f>
        <v>3.125E-2</v>
      </c>
      <c r="O39" s="16">
        <v>0</v>
      </c>
      <c r="P39" s="32">
        <f t="shared" ref="P39:P44" si="28">N39</f>
        <v>3.125E-2</v>
      </c>
      <c r="Q39" s="10">
        <v>0</v>
      </c>
      <c r="R39" s="11">
        <f>P39*N39</f>
        <v>9.765625E-4</v>
      </c>
      <c r="S39" s="16">
        <v>0</v>
      </c>
      <c r="T39" s="15">
        <f>(1-$C$33)^(INT(B23*2*(1-B31)))</f>
        <v>0.98507487500000002</v>
      </c>
      <c r="U39" s="24">
        <v>0</v>
      </c>
      <c r="V39" s="23">
        <f>R39*T39</f>
        <v>9.6198718261718752E-4</v>
      </c>
      <c r="W39" s="33">
        <f>C31</f>
        <v>0.67275832555955561</v>
      </c>
      <c r="X39" s="10">
        <v>0</v>
      </c>
      <c r="Y39" s="9">
        <f>V39</f>
        <v>9.6198718261718752E-4</v>
      </c>
      <c r="Z39" s="10">
        <v>0</v>
      </c>
      <c r="AA39" s="9">
        <f>((1-W39)^Z40)*V40</f>
        <v>3.1527687275617025E-3</v>
      </c>
      <c r="AB39" s="10">
        <v>0</v>
      </c>
      <c r="AC39" s="9">
        <f>(((1-$W$39)^AB41))*V41</f>
        <v>4.6512772963077202E-3</v>
      </c>
      <c r="AD39" s="10">
        <v>0</v>
      </c>
      <c r="AE39" s="9">
        <f>(((1-$W$39)^AB42))*V42</f>
        <v>4.0682473058697476E-3</v>
      </c>
      <c r="AF39" s="10">
        <v>0</v>
      </c>
      <c r="AG39" s="9">
        <f>(((1-$W$39)^AB43))*V43</f>
        <v>2.3366582846844099E-3</v>
      </c>
      <c r="AH39" s="10">
        <v>0</v>
      </c>
      <c r="AI39" s="9">
        <f>(((1-$W$39)^AB44))*V44</f>
        <v>9.2119233008251561E-4</v>
      </c>
      <c r="AJ39" s="10">
        <v>0</v>
      </c>
      <c r="AK39" s="9">
        <f>(((1-$W$39)^AB45))*V45</f>
        <v>2.5259161377901013E-4</v>
      </c>
      <c r="AL39" s="10">
        <v>0</v>
      </c>
      <c r="AM39" s="9">
        <f>(((1-$W$39)^AB46))*V46</f>
        <v>4.7621949186226034E-5</v>
      </c>
      <c r="AN39" s="10">
        <v>0</v>
      </c>
      <c r="AO39" s="9">
        <f>(((1-$W$39)^AB47))*V47</f>
        <v>5.9237372977568796E-6</v>
      </c>
      <c r="AP39" s="10">
        <v>0</v>
      </c>
      <c r="AQ39" s="9">
        <f>(((1-$W$39)^AB48))*V48</f>
        <v>4.4244902924754704E-7</v>
      </c>
      <c r="AR39" s="10">
        <v>0</v>
      </c>
      <c r="AS39" s="9">
        <f>(((1-$W$39)^AB49))*V49</f>
        <v>1.5851706564575541E-8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5"/>
        <v>4</v>
      </c>
      <c r="BJ39" s="1">
        <v>6</v>
      </c>
      <c r="BK39" s="2">
        <f t="shared" si="26"/>
        <v>8.3851654578354865E-3</v>
      </c>
      <c r="BQ39" s="1">
        <f t="shared" ref="BQ39:BQ46" si="29">BQ31+1</f>
        <v>9</v>
      </c>
      <c r="BR39" s="1">
        <v>0</v>
      </c>
      <c r="BS39" s="2">
        <f t="shared" ref="BS39:BS47" si="30">$H$34*H39</f>
        <v>1.2369211234053401E-7</v>
      </c>
    </row>
    <row r="40" spans="1:71" x14ac:dyDescent="0.25">
      <c r="G40" s="27">
        <v>1</v>
      </c>
      <c r="H40" s="26">
        <f>L39*J40+L40*J39</f>
        <v>4.0193078919869105E-2</v>
      </c>
      <c r="I40" s="24">
        <v>1</v>
      </c>
      <c r="J40" s="23">
        <f t="shared" si="27"/>
        <v>8.3288661818144122E-2</v>
      </c>
      <c r="K40" s="25">
        <v>1</v>
      </c>
      <c r="L40" s="23">
        <f>AI18</f>
        <v>0.44269345834266816</v>
      </c>
      <c r="M40" s="17">
        <v>1</v>
      </c>
      <c r="N40" s="32">
        <f>(($C$24)^M26)*((1-($C$24))^($B$21-M26))*HLOOKUP($B$21,$AV$24:$BF$34,M26+1)</f>
        <v>0.15625</v>
      </c>
      <c r="O40" s="16">
        <v>1</v>
      </c>
      <c r="P40" s="32">
        <f t="shared" si="28"/>
        <v>0.15625</v>
      </c>
      <c r="Q40" s="10">
        <v>1</v>
      </c>
      <c r="R40" s="11">
        <f>P40*N39+P39*N40</f>
        <v>9.765625E-3</v>
      </c>
      <c r="S40" s="16">
        <v>1</v>
      </c>
      <c r="T40" s="15">
        <f t="shared" ref="T40:T49" si="31">(($C$33)^S40)*((1-($C$33))^(INT($B$23*2*(1-$B$31))-S40))*HLOOKUP(INT($B$23*2*(1-$B$31)),$AV$24:$BF$34,S40+1)</f>
        <v>1.4850375000000002E-2</v>
      </c>
      <c r="U40" s="24">
        <v>1</v>
      </c>
      <c r="V40" s="23">
        <f>R40*T39+T40*R39</f>
        <v>9.6343741455078135E-3</v>
      </c>
      <c r="W40" s="12"/>
      <c r="X40" s="10">
        <v>1</v>
      </c>
      <c r="Y40" s="11"/>
      <c r="Z40" s="10">
        <v>1</v>
      </c>
      <c r="AA40" s="9">
        <f>(1-((1-W39)^Z40))*V40</f>
        <v>6.4816054179461114E-3</v>
      </c>
      <c r="AB40" s="10">
        <v>1</v>
      </c>
      <c r="AC40" s="9">
        <f>((($W$39)^M40)*((1-($W$39))^($U$27-M40))*HLOOKUP($U$27,$AV$24:$BF$34,M40+1))*V41</f>
        <v>1.912461504744346E-2</v>
      </c>
      <c r="AD40" s="10">
        <v>1</v>
      </c>
      <c r="AE40" s="9">
        <f>((($W$39)^M40)*((1-($W$39))^($U$28-M40))*HLOOKUP($U$28,$AV$24:$BF$34,M40+1))*V42</f>
        <v>2.5091063815197618E-2</v>
      </c>
      <c r="AF40" s="10">
        <v>1</v>
      </c>
      <c r="AG40" s="9">
        <f>((($W$39)^M40)*((1-($W$39))^($U$29-M40))*HLOOKUP($U$29,$AV$24:$BF$34,M40+1))*V43</f>
        <v>1.9215233728370876E-2</v>
      </c>
      <c r="AH40" s="10">
        <v>1</v>
      </c>
      <c r="AI40" s="9">
        <f>((($W$39)^M40)*((1-($W$39))^($U$30-M40))*HLOOKUP($U$30,$AV$24:$BF$34,M40+1))*V44</f>
        <v>9.4691455567864537E-3</v>
      </c>
      <c r="AJ40" s="10">
        <v>1</v>
      </c>
      <c r="AK40" s="9">
        <f>((($W$39)^M40)*((1-($W$39))^($U$31-M40))*HLOOKUP($U$31,$AV$24:$BF$34,M40+1))*V45</f>
        <v>3.1157360032506394E-3</v>
      </c>
      <c r="AL40" s="10">
        <v>1</v>
      </c>
      <c r="AM40" s="9">
        <f>((($W$39)^Q40)*((1-($W$39))^($U$32-Q40))*HLOOKUP($U$32,$AV$24:$BF$34,Q40+1))*V46</f>
        <v>6.8532359133148416E-4</v>
      </c>
      <c r="AN40" s="10">
        <v>1</v>
      </c>
      <c r="AO40" s="9">
        <f>((($W$39)^Q40)*((1-($W$39))^($U$33-Q40))*HLOOKUP($U$33,$AV$24:$BF$34,Q40+1))*V47</f>
        <v>9.7426309587445657E-5</v>
      </c>
      <c r="AP40" s="10">
        <v>1</v>
      </c>
      <c r="AQ40" s="9">
        <f>((($W$39)^Q40)*((1-($W$39))^($U$34-Q40))*HLOOKUP($U$34,$AV$24:$BF$34,Q40+1))*V48</f>
        <v>8.1864616331005381E-6</v>
      </c>
      <c r="AR40" s="10">
        <v>1</v>
      </c>
      <c r="AS40" s="9">
        <f>((($W$39)^Q40)*((1-($W$39))^($U$35-Q40))*HLOOKUP($U$35,$AV$24:$BF$34,Q40+1))*V49</f>
        <v>3.2588659692810904E-7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5"/>
        <v>4</v>
      </c>
      <c r="BJ40" s="1">
        <v>7</v>
      </c>
      <c r="BK40" s="2">
        <f t="shared" si="26"/>
        <v>3.8975384932667724E-3</v>
      </c>
      <c r="BQ40" s="1">
        <f t="shared" si="29"/>
        <v>9</v>
      </c>
      <c r="BR40" s="1">
        <v>1</v>
      </c>
      <c r="BS40" s="2">
        <f t="shared" si="30"/>
        <v>7.6671074078003253E-7</v>
      </c>
    </row>
    <row r="41" spans="1:71" x14ac:dyDescent="0.25">
      <c r="G41" s="27">
        <v>2</v>
      </c>
      <c r="H41" s="26">
        <f>L39*J41+J40*L40+J39*L41</f>
        <v>0.11460220752813041</v>
      </c>
      <c r="I41" s="24">
        <v>2</v>
      </c>
      <c r="J41" s="23">
        <f t="shared" si="27"/>
        <v>0.19044330645887322</v>
      </c>
      <c r="K41" s="25">
        <v>2</v>
      </c>
      <c r="L41" s="23">
        <f>AJ18</f>
        <v>0.1479985502583816</v>
      </c>
      <c r="M41" s="17">
        <v>2</v>
      </c>
      <c r="N41" s="32">
        <f>(($C$24)^M27)*((1-($C$24))^($B$21-M27))*HLOOKUP($B$21,$AV$24:$BF$34,M27+1)</f>
        <v>0.3125</v>
      </c>
      <c r="O41" s="16">
        <v>2</v>
      </c>
      <c r="P41" s="32">
        <f t="shared" si="28"/>
        <v>0.3125</v>
      </c>
      <c r="Q41" s="10">
        <v>2</v>
      </c>
      <c r="R41" s="11">
        <f>P41*N39+P40*N40+P39*N41</f>
        <v>4.39453125E-2</v>
      </c>
      <c r="S41" s="16">
        <v>2</v>
      </c>
      <c r="T41" s="15">
        <f t="shared" si="31"/>
        <v>7.4625000000000011E-5</v>
      </c>
      <c r="U41" s="24">
        <v>2</v>
      </c>
      <c r="V41" s="23">
        <f>R41*T39+T40*R40+R39*T41</f>
        <v>4.3434519287109383E-2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1.9658626943358203E-2</v>
      </c>
      <c r="AD41" s="10">
        <v>2</v>
      </c>
      <c r="AE41" s="9">
        <f>((($W$39)^M41)*((1-($W$39))^($U$28-M41))*HLOOKUP($U$28,$AV$24:$BF$34,M41+1))*V42</f>
        <v>5.158335076876764E-2</v>
      </c>
      <c r="AF41" s="10">
        <v>2</v>
      </c>
      <c r="AG41" s="9">
        <f>((($W$39)^M41)*((1-($W$39))^($U$29-M41))*HLOOKUP($U$29,$AV$24:$BF$34,M41+1))*V43</f>
        <v>5.9255327841901816E-2</v>
      </c>
      <c r="AH41" s="10">
        <v>2</v>
      </c>
      <c r="AI41" s="9">
        <f>((($W$39)^M41)*((1-($W$39))^($U$30-M41))*HLOOKUP($U$30,$AV$24:$BF$34,M41+1))*V44</f>
        <v>3.8934200664730655E-2</v>
      </c>
      <c r="AJ41" s="10">
        <v>2</v>
      </c>
      <c r="AK41" s="9">
        <f>((($W$39)^M41)*((1-($W$39))^($U$31-M41))*HLOOKUP($U$31,$AV$24:$BF$34,M41+1))*V45</f>
        <v>1.6013679645301444E-2</v>
      </c>
      <c r="AL41" s="10">
        <v>2</v>
      </c>
      <c r="AM41" s="9">
        <f>((($W$39)^Q41)*((1-($W$39))^($U$32-Q41))*HLOOKUP($U$32,$AV$24:$BF$34,Q41+1))*V46</f>
        <v>4.2267582748346392E-3</v>
      </c>
      <c r="AN41" s="10">
        <v>2</v>
      </c>
      <c r="AO41" s="9">
        <f>((($W$39)^Q41)*((1-($W$39))^($U$33-Q41))*HLOOKUP($U$33,$AV$24:$BF$34,Q41+1))*V47</f>
        <v>7.0102704233653153E-4</v>
      </c>
      <c r="AP41" s="10">
        <v>2</v>
      </c>
      <c r="AQ41" s="9">
        <f>((($W$39)^Q41)*((1-($W$39))^($U$34-Q41))*HLOOKUP($U$34,$AV$24:$BF$34,Q41+1))*V48</f>
        <v>6.732040141231574E-5</v>
      </c>
      <c r="AR41" s="10">
        <v>2</v>
      </c>
      <c r="AS41" s="9">
        <f>((($W$39)^Q41)*((1-($W$39))^($U$35-Q41))*HLOOKUP($U$35,$AV$24:$BF$34,Q41+1))*V49</f>
        <v>3.0148762299589279E-6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5"/>
        <v>4</v>
      </c>
      <c r="BJ41" s="1">
        <v>8</v>
      </c>
      <c r="BK41" s="2">
        <f t="shared" si="26"/>
        <v>1.3510307104721946E-3</v>
      </c>
      <c r="BQ41" s="1">
        <f t="shared" si="29"/>
        <v>9</v>
      </c>
      <c r="BR41" s="1">
        <v>2</v>
      </c>
      <c r="BS41" s="2">
        <f t="shared" si="30"/>
        <v>2.1861162615607364E-6</v>
      </c>
    </row>
    <row r="42" spans="1:71" ht="15" customHeight="1" x14ac:dyDescent="0.25">
      <c r="G42" s="27">
        <v>3</v>
      </c>
      <c r="H42" s="26">
        <f>J42*L39+J41*L40+L42*J39+L41*J40</f>
        <v>0.19896024336639459</v>
      </c>
      <c r="I42" s="24">
        <v>3</v>
      </c>
      <c r="J42" s="23">
        <f t="shared" si="27"/>
        <v>0.2582050418025405</v>
      </c>
      <c r="K42" s="25">
        <v>3</v>
      </c>
      <c r="L42" s="23">
        <f>AK18</f>
        <v>1.3894388235428656E-2</v>
      </c>
      <c r="M42" s="17">
        <v>3</v>
      </c>
      <c r="N42" s="32">
        <f>(($C$24)^M28)*((1-($C$24))^($B$21-M28))*HLOOKUP($B$21,$AV$24:$BF$34,M28+1)</f>
        <v>0.3125</v>
      </c>
      <c r="O42" s="16">
        <v>3</v>
      </c>
      <c r="P42" s="32">
        <f t="shared" si="28"/>
        <v>0.3125</v>
      </c>
      <c r="Q42" s="10">
        <v>3</v>
      </c>
      <c r="R42" s="11">
        <f>P42*N39+P41*N40+P40*N41+P39*N42</f>
        <v>0.1171875</v>
      </c>
      <c r="S42" s="16">
        <v>3</v>
      </c>
      <c r="T42" s="15">
        <f t="shared" si="31"/>
        <v>1.2500000000000002E-7</v>
      </c>
      <c r="U42" s="24">
        <v>3</v>
      </c>
      <c r="V42" s="23">
        <f>R42*T39+R41*T40+R40*T41+R39*T42</f>
        <v>0.11609179516601563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3.5349133276180625E-2</v>
      </c>
      <c r="AF42" s="10">
        <v>3</v>
      </c>
      <c r="AG42" s="9">
        <f>((($W$39)^M42)*((1-($W$39))^($U$29-M42))*HLOOKUP($U$29,$AV$24:$BF$34,M42+1))*V43</f>
        <v>8.1213199607630113E-2</v>
      </c>
      <c r="AH42" s="10">
        <v>3</v>
      </c>
      <c r="AI42" s="9">
        <f>((($W$39)^M42)*((1-($W$39))^($U$30-M42))*HLOOKUP($U$30,$AV$24:$BF$34,M42+1))*V44</f>
        <v>8.00427014407388E-2</v>
      </c>
      <c r="AJ42" s="10">
        <v>3</v>
      </c>
      <c r="AK42" s="9">
        <f>((($W$39)^M42)*((1-($W$39))^($U$31-M42))*HLOOKUP($U$31,$AV$24:$BF$34,M42+1))*V45</f>
        <v>4.3895535097077241E-2</v>
      </c>
      <c r="AL42" s="10">
        <v>3</v>
      </c>
      <c r="AM42" s="9">
        <f>((($W$39)^Q42)*((1-($W$39))^($U$32-Q42))*HLOOKUP($U$32,$AV$24:$BF$34,Q42+1))*V46</f>
        <v>1.4482603335822276E-2</v>
      </c>
      <c r="AN42" s="10">
        <v>3</v>
      </c>
      <c r="AO42" s="9">
        <f>((($W$39)^Q42)*((1-($W$39))^($U$33-Q42))*HLOOKUP($U$33,$AV$24:$BF$34,Q42+1))*V47</f>
        <v>2.8824065882239857E-3</v>
      </c>
      <c r="AP42" s="10">
        <v>3</v>
      </c>
      <c r="AQ42" s="9">
        <f>((($W$39)^Q42)*((1-($W$39))^($U$34-Q42))*HLOOKUP($U$34,$AV$24:$BF$34,Q42+1))*V48</f>
        <v>3.2293413754337739E-4</v>
      </c>
      <c r="AR42" s="10">
        <v>3</v>
      </c>
      <c r="AS42" s="9">
        <f>((($W$39)^Q42)*((1-($W$39))^($U$35-Q42))*HLOOKUP($U$35,$AV$24:$BF$34,Q42+1))*V49</f>
        <v>1.652831932407686E-5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2">BE41+BE42</f>
        <v>210</v>
      </c>
      <c r="BI42" s="1">
        <f t="shared" si="25"/>
        <v>4</v>
      </c>
      <c r="BJ42" s="1">
        <v>9</v>
      </c>
      <c r="BK42" s="2">
        <f t="shared" si="26"/>
        <v>3.4483676741890902E-4</v>
      </c>
      <c r="BQ42" s="1">
        <f t="shared" si="29"/>
        <v>9</v>
      </c>
      <c r="BR42" s="1">
        <v>3</v>
      </c>
      <c r="BS42" s="2">
        <f t="shared" si="30"/>
        <v>3.7953040592223617E-6</v>
      </c>
    </row>
    <row r="43" spans="1:71" ht="15" customHeight="1" x14ac:dyDescent="0.25">
      <c r="G43" s="27">
        <v>4</v>
      </c>
      <c r="H43" s="26">
        <f>J43*L39+J42*L40+J41*L41+J40*L42</f>
        <v>0.23456829398544174</v>
      </c>
      <c r="I43" s="24">
        <v>4</v>
      </c>
      <c r="J43" s="23">
        <f t="shared" si="27"/>
        <v>0.22993653247059839</v>
      </c>
      <c r="K43" s="25">
        <v>4</v>
      </c>
      <c r="L43" s="23"/>
      <c r="M43" s="17">
        <v>4</v>
      </c>
      <c r="N43" s="32">
        <f>(($C$24)^M29)*((1-($C$24))^($B$21-M29))*HLOOKUP($B$21,$AV$24:$BF$34,M29+1)</f>
        <v>0.15625</v>
      </c>
      <c r="O43" s="16">
        <v>4</v>
      </c>
      <c r="P43" s="32">
        <f t="shared" si="28"/>
        <v>0.15625</v>
      </c>
      <c r="Q43" s="10">
        <v>4</v>
      </c>
      <c r="R43" s="11">
        <f>P43*N39+P42*N40+P41*N41+P40*N42+P39*N43</f>
        <v>0.205078125</v>
      </c>
      <c r="S43" s="16">
        <v>4</v>
      </c>
      <c r="T43" s="15">
        <f t="shared" si="31"/>
        <v>0</v>
      </c>
      <c r="U43" s="24">
        <v>4</v>
      </c>
      <c r="V43" s="23">
        <f>T43*R39+T42*R40+T41*R41+T40*R42+T39*R43</f>
        <v>0.20376086730957033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4.1740447846983122E-2</v>
      </c>
      <c r="AH43" s="10">
        <v>4</v>
      </c>
      <c r="AI43" s="9">
        <f>((($W$39)^M43)*((1-($W$39))^($U$30-M43))*HLOOKUP($U$30,$AV$24:$BF$34,M43+1))*V44</f>
        <v>8.2277713996257926E-2</v>
      </c>
      <c r="AJ43" s="10">
        <v>4</v>
      </c>
      <c r="AK43" s="9">
        <f>((($W$39)^M43)*((1-($W$39))^($U$31-M43))*HLOOKUP($U$31,$AV$24:$BF$34,M43+1))*V45</f>
        <v>6.7681828900489349E-2</v>
      </c>
      <c r="AL43" s="10">
        <v>4</v>
      </c>
      <c r="AM43" s="9">
        <f>((($W$39)^Q43)*((1-($W$39))^($U$32-Q43))*HLOOKUP($U$32,$AV$24:$BF$34,Q43+1))*V46</f>
        <v>2.9773994973626861E-2</v>
      </c>
      <c r="AN43" s="10">
        <v>4</v>
      </c>
      <c r="AO43" s="9">
        <f>((($W$39)^Q43)*((1-($W$39))^($U$33-Q43))*HLOOKUP($U$33,$AV$24:$BF$34,Q43+1))*V47</f>
        <v>7.407228286216927E-3</v>
      </c>
      <c r="AP43" s="10">
        <v>4</v>
      </c>
      <c r="AQ43" s="9">
        <f>((($W$39)^Q43)*((1-($W$39))^($U$34-Q43))*HLOOKUP($U$34,$AV$24:$BF$34,Q43+1))*V48</f>
        <v>9.9585404278592694E-4</v>
      </c>
      <c r="AR43" s="10">
        <v>4</v>
      </c>
      <c r="AS43" s="9">
        <f>((($W$39)^Q43)*((1-($W$39))^($U$35-Q43))*HLOOKUP($U$35,$AV$24:$BF$34,Q43+1))*V49</f>
        <v>5.9464424238257363E-5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2"/>
        <v>252</v>
      </c>
      <c r="BI43" s="1">
        <f t="shared" si="25"/>
        <v>4</v>
      </c>
      <c r="BJ43" s="1">
        <v>10</v>
      </c>
      <c r="BK43" s="2">
        <f t="shared" si="26"/>
        <v>6.2991775041597965E-5</v>
      </c>
      <c r="BQ43" s="1">
        <f t="shared" si="29"/>
        <v>9</v>
      </c>
      <c r="BR43" s="1">
        <v>4</v>
      </c>
      <c r="BS43" s="2">
        <f t="shared" si="30"/>
        <v>4.4745522183965143E-6</v>
      </c>
    </row>
    <row r="44" spans="1:71" ht="15" customHeight="1" thickBot="1" x14ac:dyDescent="0.3">
      <c r="G44" s="27">
        <v>5</v>
      </c>
      <c r="H44" s="26">
        <f>J44*L39+J43*L40+J42*L41+J41*L42</f>
        <v>0.19824280573192227</v>
      </c>
      <c r="I44" s="24">
        <v>5</v>
      </c>
      <c r="J44" s="23">
        <f t="shared" si="27"/>
        <v>0.14059036268725228</v>
      </c>
      <c r="K44" s="25">
        <v>5</v>
      </c>
      <c r="L44" s="23"/>
      <c r="M44" s="17">
        <v>5</v>
      </c>
      <c r="N44" s="32">
        <f>(($C$24)^M30)*((1-($C$24))^($B$21-M30))*HLOOKUP($B$21,$AV$24:$BF$34,M30+1)</f>
        <v>3.125E-2</v>
      </c>
      <c r="O44" s="16">
        <v>5</v>
      </c>
      <c r="P44" s="32">
        <f t="shared" si="28"/>
        <v>3.125E-2</v>
      </c>
      <c r="Q44" s="10">
        <v>5</v>
      </c>
      <c r="R44" s="11">
        <f>P44*N39+P43*N40+P42*N41+P41*N42+P40*N43+P39*N44</f>
        <v>0.24609375</v>
      </c>
      <c r="S44" s="16">
        <v>5</v>
      </c>
      <c r="T44" s="15">
        <f t="shared" si="31"/>
        <v>0</v>
      </c>
      <c r="U44" s="24">
        <v>5</v>
      </c>
      <c r="V44" s="23">
        <f>T44*R39+T43*R40+T42*R41+T41*R42+T40*R43+T39*R44</f>
        <v>0.24547500769042968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3.3830053701833347E-2</v>
      </c>
      <c r="AJ44" s="10">
        <v>5</v>
      </c>
      <c r="AK44" s="9">
        <f>((($W$39)^M44)*((1-($W$39))^($U$31-M44))*HLOOKUP($U$31,$AV$24:$BF$34,M44+1))*V45</f>
        <v>5.5657353495406743E-2</v>
      </c>
      <c r="AL44" s="10">
        <v>5</v>
      </c>
      <c r="AM44" s="9">
        <f>((($W$39)^Q44)*((1-($W$39))^($U$32-Q44))*HLOOKUP($U$32,$AV$24:$BF$34,Q44+1))*V46</f>
        <v>3.672644024559521E-2</v>
      </c>
      <c r="AN44" s="10">
        <v>5</v>
      </c>
      <c r="AO44" s="9">
        <f>((($W$39)^Q44)*((1-($W$39))^($U$33-Q44))*HLOOKUP($U$33,$AV$24:$BF$34,Q44+1))*V47</f>
        <v>1.2182493583419421E-2</v>
      </c>
      <c r="AP44" s="10">
        <v>5</v>
      </c>
      <c r="AQ44" s="9">
        <f>((($W$39)^Q44)*((1-($W$39))^($U$34-Q44))*HLOOKUP($U$34,$AV$24:$BF$34,Q44+1))*V48</f>
        <v>2.0473220578398669E-3</v>
      </c>
      <c r="AR44" s="10">
        <v>5</v>
      </c>
      <c r="AS44" s="9">
        <f>((($W$39)^Q44)*((1-($W$39))^($U$35-Q44))*HLOOKUP($U$35,$AV$24:$BF$34,Q44+1))*V49</f>
        <v>1.466996031576916E-4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2"/>
        <v>210</v>
      </c>
      <c r="BI44" s="1">
        <f>BI39+1</f>
        <v>5</v>
      </c>
      <c r="BJ44" s="1">
        <v>6</v>
      </c>
      <c r="BK44" s="2">
        <f>$H$30*H45</f>
        <v>2.6368872379455188E-3</v>
      </c>
      <c r="BQ44" s="1">
        <f t="shared" si="29"/>
        <v>9</v>
      </c>
      <c r="BR44" s="1">
        <v>5</v>
      </c>
      <c r="BS44" s="2">
        <f t="shared" si="30"/>
        <v>3.7816184408280508E-6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0.12350932661159988</v>
      </c>
      <c r="I45" s="24">
        <v>6</v>
      </c>
      <c r="J45" s="23">
        <f t="shared" si="27"/>
        <v>5.9818423044771037E-2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0.205078125</v>
      </c>
      <c r="S45" s="16">
        <v>6</v>
      </c>
      <c r="T45" s="15">
        <f t="shared" si="31"/>
        <v>0</v>
      </c>
      <c r="U45" s="24">
        <v>6</v>
      </c>
      <c r="V45" s="23">
        <f>T45*R39+T44*R40+T43*R41+T42*R42+T41*R43+T40*R44+T39*R45</f>
        <v>0.20568721142578125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1.9070486670476849E-2</v>
      </c>
      <c r="AL45" s="10">
        <v>6</v>
      </c>
      <c r="AM45" s="9">
        <f>((($W$39)^Q45)*((1-($W$39))^($U$32-Q45))*HLOOKUP($U$32,$AV$24:$BF$34,Q45+1))*V46</f>
        <v>2.5167962368727769E-2</v>
      </c>
      <c r="AN45" s="10">
        <v>6</v>
      </c>
      <c r="AO45" s="9">
        <f>((($W$39)^Q45)*((1-($W$39))^($U$33-Q45))*HLOOKUP($U$33,$AV$24:$BF$34,Q45+1))*V47</f>
        <v>1.2522662338676046E-2</v>
      </c>
      <c r="AP45" s="10">
        <v>6</v>
      </c>
      <c r="AQ45" s="9">
        <f>((($W$39)^Q45)*((1-($W$39))^($U$34-Q45))*HLOOKUP($U$34,$AV$24:$BF$34,Q45+1))*V48</f>
        <v>2.8059852337341601E-3</v>
      </c>
      <c r="AR45" s="10">
        <v>6</v>
      </c>
      <c r="AS45" s="9">
        <f>((($W$39)^Q45)*((1-($W$39))^($U$35-Q45))*HLOOKUP($U$35,$AV$24:$BF$34,Q45+1))*V49</f>
        <v>2.5132643315621203E-4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2"/>
        <v>120</v>
      </c>
      <c r="BI45" s="1">
        <f>BI40+1</f>
        <v>5</v>
      </c>
      <c r="BJ45" s="1">
        <v>7</v>
      </c>
      <c r="BK45" s="2">
        <f>$H$30*H46</f>
        <v>1.2256609084192738E-3</v>
      </c>
      <c r="BQ45" s="1">
        <f t="shared" si="29"/>
        <v>9</v>
      </c>
      <c r="BR45" s="1">
        <v>6</v>
      </c>
      <c r="BS45" s="2">
        <f t="shared" si="30"/>
        <v>2.3560257100087603E-6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5.7408808110797953E-2</v>
      </c>
      <c r="I46" s="24">
        <v>7</v>
      </c>
      <c r="J46" s="23">
        <f t="shared" si="27"/>
        <v>1.7514790020947545E-2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0.1171875</v>
      </c>
      <c r="S46" s="16">
        <v>7</v>
      </c>
      <c r="T46" s="15">
        <f t="shared" si="31"/>
        <v>0</v>
      </c>
      <c r="U46" s="24">
        <v>7</v>
      </c>
      <c r="V46" s="23">
        <f>T46*R39+T45*R40+T44*R41+T43*R42+T42*R43+T41*R44+T40*R45+T39*R46</f>
        <v>0.11850233935546875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7.3916346163442909E-3</v>
      </c>
      <c r="AN46" s="10">
        <v>7</v>
      </c>
      <c r="AO46" s="9">
        <f>((($W$39)^Q46)*((1-($W$39))^($U$33-Q46))*HLOOKUP($U$33,$AV$24:$BF$34,Q46+1))*V47</f>
        <v>7.3556168811156585E-3</v>
      </c>
      <c r="AP46" s="10">
        <v>7</v>
      </c>
      <c r="AQ46" s="9">
        <f>((($W$39)^Q46)*((1-($W$39))^($U$34-Q46))*HLOOKUP($U$34,$AV$24:$BF$34,Q46+1))*V48</f>
        <v>2.4722880560714361E-3</v>
      </c>
      <c r="AR46" s="10">
        <v>7</v>
      </c>
      <c r="AS46" s="9">
        <f>((($W$39)^Q46)*((1-($W$39))^($U$35-Q46))*HLOOKUP($U$35,$AV$24:$BF$34,Q46+1))*V49</f>
        <v>2.9525046741615943E-4</v>
      </c>
      <c r="AV46" s="22">
        <v>8</v>
      </c>
      <c r="BD46" s="1">
        <v>1</v>
      </c>
      <c r="BE46" s="1">
        <v>9</v>
      </c>
      <c r="BF46" s="1">
        <f t="shared" si="32"/>
        <v>45</v>
      </c>
      <c r="BI46" s="1">
        <f>BI41+1</f>
        <v>5</v>
      </c>
      <c r="BJ46" s="1">
        <v>8</v>
      </c>
      <c r="BK46" s="2">
        <f>$H$30*H47</f>
        <v>4.248593133231042E-4</v>
      </c>
      <c r="BQ46" s="1">
        <f t="shared" si="29"/>
        <v>9</v>
      </c>
      <c r="BR46" s="1">
        <v>7</v>
      </c>
      <c r="BS46" s="2">
        <f t="shared" si="30"/>
        <v>1.0951126655830721E-6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1.9900012005855634E-2</v>
      </c>
      <c r="I47" s="24">
        <v>8</v>
      </c>
      <c r="J47" s="23">
        <f t="shared" si="27"/>
        <v>3.3885330649019887E-3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4.39453125E-2</v>
      </c>
      <c r="S47" s="16">
        <v>8</v>
      </c>
      <c r="T47" s="15">
        <f t="shared" si="31"/>
        <v>0</v>
      </c>
      <c r="U47" s="24">
        <v>8</v>
      </c>
      <c r="V47" s="23">
        <f>T47*R39+T46*R40+T45*R41+T44*R42+T43*R43+T42*R44+T41*R45+T40*R46+T39*R47</f>
        <v>4.5045036254882813E-2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1.890251488009045E-3</v>
      </c>
      <c r="AP47" s="10">
        <v>8</v>
      </c>
      <c r="AQ47" s="9">
        <f>((($W$39)^Q47)*((1-($W$39))^($U$34-Q47))*HLOOKUP($U$34,$AV$24:$BF$34,Q47+1))*V48</f>
        <v>1.2706605719973848E-3</v>
      </c>
      <c r="AR47" s="10">
        <v>8</v>
      </c>
      <c r="AS47" s="9">
        <f>((($W$39)^Q47)*((1-($W$39))^($U$35-Q47))*HLOOKUP($U$35,$AV$24:$BF$34,Q47+1))*V49</f>
        <v>2.2762100489555909E-4</v>
      </c>
      <c r="AV47" s="29">
        <v>9</v>
      </c>
      <c r="BE47" s="1">
        <v>1</v>
      </c>
      <c r="BF47" s="1">
        <f t="shared" si="32"/>
        <v>10</v>
      </c>
      <c r="BI47" s="1">
        <f>BI42+1</f>
        <v>5</v>
      </c>
      <c r="BJ47" s="1">
        <v>9</v>
      </c>
      <c r="BK47" s="2">
        <f>$H$30*H48</f>
        <v>1.0844099329389146E-4</v>
      </c>
      <c r="BQ47" s="1">
        <f>BM12+1</f>
        <v>9</v>
      </c>
      <c r="BR47" s="1">
        <v>8</v>
      </c>
      <c r="BS47" s="2">
        <f t="shared" si="30"/>
        <v>3.7960647346672099E-7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5.0792744817017002E-3</v>
      </c>
      <c r="I48" s="24">
        <v>9</v>
      </c>
      <c r="J48" s="23">
        <f t="shared" si="27"/>
        <v>3.9424322949234403E-4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9.765625E-3</v>
      </c>
      <c r="S48" s="16">
        <v>9</v>
      </c>
      <c r="T48" s="15">
        <f t="shared" si="31"/>
        <v>0</v>
      </c>
      <c r="U48" s="24">
        <v>9</v>
      </c>
      <c r="V48" s="23">
        <f>T48*R39+T47*R40+T46*R41+T45*R42+T44*R43+T43*R44+T42*R45+T41*R46+T40*R47+T39*R48</f>
        <v>1.0281246948242189E-2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2.9025353619537367E-4</v>
      </c>
      <c r="AR48" s="10">
        <v>9</v>
      </c>
      <c r="AS48" s="9">
        <f>((($W$39)^Q48)*((1-($W$39))^($U$35-Q48))*HLOOKUP($U$35,$AV$24:$BF$34,Q48+1))*V49</f>
        <v>1.0398969329697035E-4</v>
      </c>
      <c r="AV48" s="22">
        <v>10</v>
      </c>
      <c r="BF48" s="1">
        <f t="shared" si="32"/>
        <v>1</v>
      </c>
      <c r="BI48" s="1">
        <f>BI43+1</f>
        <v>5</v>
      </c>
      <c r="BJ48" s="1">
        <v>10</v>
      </c>
      <c r="BK48" s="2">
        <f>$H$30*H49</f>
        <v>1.9809055472782725E-5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9.278375908715182E-4</v>
      </c>
      <c r="I49" s="14">
        <v>10</v>
      </c>
      <c r="J49" s="13">
        <f t="shared" si="27"/>
        <v>2.1378674356665328E-5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9.765625E-4</v>
      </c>
      <c r="S49" s="16">
        <v>10</v>
      </c>
      <c r="T49" s="15">
        <f t="shared" si="31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2.1378674356665328E-5</v>
      </c>
      <c r="BI49" s="1">
        <f>BQ14+1</f>
        <v>6</v>
      </c>
      <c r="BJ49" s="1">
        <v>0</v>
      </c>
      <c r="BK49" s="2">
        <f>$H$31*H39</f>
        <v>3.4463844735212591E-5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3.0512691682646416E-4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1.0576825243327548E-4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2.699626439423452E-5</v>
      </c>
    </row>
    <row r="53" spans="1:63" x14ac:dyDescent="0.25">
      <c r="BI53" s="1">
        <f>BI48+1</f>
        <v>6</v>
      </c>
      <c r="BJ53" s="1">
        <v>10</v>
      </c>
      <c r="BK53" s="2">
        <f>$H$31*H49</f>
        <v>4.9314422774973302E-6</v>
      </c>
    </row>
    <row r="54" spans="1:63" x14ac:dyDescent="0.25">
      <c r="BI54" s="1">
        <f>BI51+1</f>
        <v>7</v>
      </c>
      <c r="BJ54" s="1">
        <v>8</v>
      </c>
      <c r="BK54" s="2">
        <f>$H$32*H47</f>
        <v>2.0940285057680073E-5</v>
      </c>
    </row>
    <row r="55" spans="1:63" x14ac:dyDescent="0.25">
      <c r="BI55" s="1">
        <f>BI52+1</f>
        <v>7</v>
      </c>
      <c r="BJ55" s="1">
        <v>9</v>
      </c>
      <c r="BK55" s="2">
        <f>$H$32*H48</f>
        <v>5.3447935358901622E-6</v>
      </c>
    </row>
    <row r="56" spans="1:63" x14ac:dyDescent="0.25">
      <c r="BI56" s="1">
        <f>BI53+1</f>
        <v>7</v>
      </c>
      <c r="BJ56" s="1">
        <v>10</v>
      </c>
      <c r="BK56" s="2">
        <f>$H$32*H49</f>
        <v>9.7634029740100852E-7</v>
      </c>
    </row>
    <row r="57" spans="1:63" x14ac:dyDescent="0.25">
      <c r="BI57" s="1">
        <f>BI55+1</f>
        <v>8</v>
      </c>
      <c r="BJ57" s="1">
        <v>9</v>
      </c>
      <c r="BK57" s="2">
        <f>$H$33*H48</f>
        <v>8.2684771388595341E-7</v>
      </c>
    </row>
    <row r="58" spans="1:63" x14ac:dyDescent="0.25">
      <c r="BI58" s="1">
        <f>BI56+1</f>
        <v>8</v>
      </c>
      <c r="BJ58" s="1">
        <v>10</v>
      </c>
      <c r="BK58" s="2">
        <f>$H$33*H49</f>
        <v>1.5104133348834859E-7</v>
      </c>
    </row>
    <row r="59" spans="1:63" x14ac:dyDescent="0.25">
      <c r="BI59" s="1">
        <f>BI58+1</f>
        <v>9</v>
      </c>
      <c r="BJ59" s="1">
        <v>10</v>
      </c>
      <c r="BK59" s="2">
        <f>$H$34*H49</f>
        <v>1.7699142880765883E-8</v>
      </c>
    </row>
  </sheetData>
  <mergeCells count="1">
    <mergeCell ref="B3:C3"/>
  </mergeCells>
  <conditionalFormatting sqref="H49">
    <cfRule type="cellIs" dxfId="124" priority="1" operator="greaterThan">
      <formula>0.15</formula>
    </cfRule>
  </conditionalFormatting>
  <conditionalFormatting sqref="H39:H49">
    <cfRule type="cellIs" dxfId="123" priority="2" operator="greaterThan">
      <formula>0.15</formula>
    </cfRule>
  </conditionalFormatting>
  <conditionalFormatting sqref="H49">
    <cfRule type="cellIs" dxfId="122" priority="3" operator="greaterThan">
      <formula>0.15</formula>
    </cfRule>
  </conditionalFormatting>
  <conditionalFormatting sqref="H39:H49">
    <cfRule type="cellIs" dxfId="121" priority="4" operator="greaterThan">
      <formula>0.15</formula>
    </cfRule>
  </conditionalFormatting>
  <conditionalFormatting sqref="H35">
    <cfRule type="cellIs" dxfId="120" priority="5" operator="greaterThan">
      <formula>0.15</formula>
    </cfRule>
  </conditionalFormatting>
  <conditionalFormatting sqref="H25:H35">
    <cfRule type="cellIs" dxfId="119" priority="6" operator="greaterThan">
      <formula>0.15</formula>
    </cfRule>
  </conditionalFormatting>
  <conditionalFormatting sqref="H35">
    <cfRule type="cellIs" dxfId="118" priority="7" operator="greaterThan">
      <formula>0.15</formula>
    </cfRule>
  </conditionalFormatting>
  <conditionalFormatting sqref="H25:H35">
    <cfRule type="cellIs" dxfId="117" priority="8" operator="greaterThan">
      <formula>0.15</formula>
    </cfRule>
  </conditionalFormatting>
  <conditionalFormatting sqref="V49">
    <cfRule type="cellIs" dxfId="116" priority="9" operator="greaterThan">
      <formula>0.15</formula>
    </cfRule>
  </conditionalFormatting>
  <conditionalFormatting sqref="V35">
    <cfRule type="cellIs" dxfId="115" priority="10" operator="greaterThan">
      <formula>0.15</formula>
    </cfRule>
  </conditionalFormatting>
  <conditionalFormatting sqref="V25:V35 V39:V49">
    <cfRule type="cellIs" dxfId="114" priority="11" operator="greaterThan">
      <formula>0.15</formula>
    </cfRule>
  </conditionalFormatting>
  <conditionalFormatting sqref="V49">
    <cfRule type="cellIs" dxfId="113" priority="12" operator="greaterThan">
      <formula>0.15</formula>
    </cfRule>
  </conditionalFormatting>
  <conditionalFormatting sqref="V35">
    <cfRule type="cellIs" dxfId="112" priority="13" operator="greaterThan">
      <formula>0.15</formula>
    </cfRule>
  </conditionalFormatting>
  <conditionalFormatting sqref="V25:V35 V39:V49">
    <cfRule type="cellIs" dxfId="111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B1E-EBBD-4D07-B301-116ECA6DB764}">
  <sheetPr>
    <tabColor theme="9" tint="0.79998168889431442"/>
  </sheetPr>
  <dimension ref="A1:AO32"/>
  <sheetViews>
    <sheetView topLeftCell="AA1" workbookViewId="0">
      <selection activeCell="AM11" sqref="AM11"/>
    </sheetView>
  </sheetViews>
  <sheetFormatPr baseColWidth="10" defaultRowHeight="15" x14ac:dyDescent="0.25"/>
  <cols>
    <col min="1" max="5" width="4.5703125" bestFit="1" customWidth="1"/>
    <col min="6" max="6" width="10.28515625" customWidth="1"/>
    <col min="7" max="7" width="8.85546875" bestFit="1" customWidth="1"/>
    <col min="8" max="8" width="18.42578125" customWidth="1"/>
    <col min="9" max="9" width="15.5703125" bestFit="1" customWidth="1"/>
    <col min="10" max="10" width="4.7109375" customWidth="1"/>
    <col min="11" max="11" width="14.28515625" bestFit="1" customWidth="1"/>
    <col min="12" max="12" width="5.7109375" customWidth="1"/>
    <col min="13" max="15" width="5.140625" customWidth="1"/>
    <col min="16" max="16" width="7.5703125" bestFit="1" customWidth="1"/>
    <col min="17" max="18" width="7" bestFit="1" customWidth="1"/>
    <col min="19" max="19" width="9.28515625" bestFit="1" customWidth="1"/>
    <col min="20" max="20" width="9.140625" customWidth="1"/>
    <col min="21" max="23" width="5.140625" customWidth="1"/>
    <col min="24" max="25" width="4.7109375" customWidth="1"/>
    <col min="26" max="26" width="13.28515625" customWidth="1"/>
    <col min="27" max="27" width="7.28515625" customWidth="1"/>
    <col min="28" max="28" width="7.5703125" customWidth="1"/>
    <col min="33" max="33" width="17.5703125" bestFit="1" customWidth="1"/>
    <col min="34" max="34" width="22.42578125" bestFit="1" customWidth="1"/>
    <col min="35" max="35" width="12.140625" bestFit="1" customWidth="1"/>
    <col min="36" max="36" width="8.140625" bestFit="1" customWidth="1"/>
    <col min="37" max="37" width="11.5703125" bestFit="1" customWidth="1"/>
    <col min="38" max="38" width="12.5703125" bestFit="1" customWidth="1"/>
    <col min="39" max="41" width="10.5703125" customWidth="1"/>
    <col min="42" max="42" width="28.140625" bestFit="1" customWidth="1"/>
    <col min="43" max="43" width="23.42578125" bestFit="1" customWidth="1"/>
    <col min="44" max="44" width="20" bestFit="1" customWidth="1"/>
    <col min="45" max="45" width="23.5703125" bestFit="1" customWidth="1"/>
    <col min="46" max="46" width="28.42578125" bestFit="1" customWidth="1"/>
    <col min="47" max="47" width="28.140625" bestFit="1" customWidth="1"/>
    <col min="48" max="48" width="16.5703125" bestFit="1" customWidth="1"/>
    <col min="49" max="49" width="20" bestFit="1" customWidth="1"/>
    <col min="50" max="50" width="23.5703125" bestFit="1" customWidth="1"/>
    <col min="51" max="51" width="28.42578125" bestFit="1" customWidth="1"/>
    <col min="52" max="52" width="28.140625" bestFit="1" customWidth="1"/>
    <col min="53" max="53" width="16.5703125" bestFit="1" customWidth="1"/>
    <col min="54" max="54" width="20" bestFit="1" customWidth="1"/>
    <col min="55" max="55" width="23.5703125" bestFit="1" customWidth="1"/>
    <col min="56" max="56" width="28.42578125" bestFit="1" customWidth="1"/>
    <col min="57" max="57" width="28.140625" bestFit="1" customWidth="1"/>
    <col min="58" max="58" width="16.5703125" bestFit="1" customWidth="1"/>
    <col min="59" max="59" width="20" bestFit="1" customWidth="1"/>
    <col min="60" max="60" width="23.5703125" bestFit="1" customWidth="1"/>
    <col min="61" max="61" width="28.42578125" bestFit="1" customWidth="1"/>
    <col min="62" max="62" width="28.140625" bestFit="1" customWidth="1"/>
    <col min="63" max="63" width="16.5703125" bestFit="1" customWidth="1"/>
    <col min="64" max="64" width="20" bestFit="1" customWidth="1"/>
    <col min="65" max="65" width="23.5703125" bestFit="1" customWidth="1"/>
    <col min="66" max="66" width="28.42578125" bestFit="1" customWidth="1"/>
    <col min="67" max="67" width="28.140625" bestFit="1" customWidth="1"/>
  </cols>
  <sheetData>
    <row r="1" spans="1:41" x14ac:dyDescent="0.25">
      <c r="A1" s="139"/>
      <c r="B1" s="126"/>
      <c r="C1" s="174" t="s">
        <v>93</v>
      </c>
      <c r="D1" s="139"/>
      <c r="E1" s="139"/>
    </row>
    <row r="2" spans="1:41" x14ac:dyDescent="0.25">
      <c r="A2" s="174" t="s">
        <v>94</v>
      </c>
      <c r="B2" s="140" t="s">
        <v>87</v>
      </c>
      <c r="C2" s="174" t="s">
        <v>131</v>
      </c>
      <c r="D2" s="140" t="s">
        <v>87</v>
      </c>
      <c r="E2" s="174" t="s">
        <v>131</v>
      </c>
    </row>
    <row r="3" spans="1:41" x14ac:dyDescent="0.25">
      <c r="A3" s="174" t="s">
        <v>93</v>
      </c>
      <c r="B3" s="174" t="s">
        <v>131</v>
      </c>
      <c r="C3" s="174" t="s">
        <v>94</v>
      </c>
      <c r="D3" s="174" t="s">
        <v>93</v>
      </c>
      <c r="E3" s="174" t="s">
        <v>3</v>
      </c>
    </row>
    <row r="4" spans="1:41" x14ac:dyDescent="0.25">
      <c r="A4" s="139"/>
      <c r="B4" s="174" t="s">
        <v>94</v>
      </c>
      <c r="C4" s="140" t="s">
        <v>87</v>
      </c>
      <c r="D4" s="174" t="s">
        <v>3</v>
      </c>
      <c r="E4" s="139"/>
    </row>
    <row r="5" spans="1:41" x14ac:dyDescent="0.25">
      <c r="F5" t="s">
        <v>149</v>
      </c>
      <c r="G5" t="s">
        <v>150</v>
      </c>
      <c r="H5" t="s">
        <v>151</v>
      </c>
      <c r="I5" t="s">
        <v>152</v>
      </c>
      <c r="J5" t="s">
        <v>133</v>
      </c>
      <c r="K5" t="s">
        <v>153</v>
      </c>
      <c r="L5" t="s">
        <v>154</v>
      </c>
      <c r="M5" t="s">
        <v>155</v>
      </c>
      <c r="N5" t="s">
        <v>156</v>
      </c>
      <c r="O5" t="s">
        <v>157</v>
      </c>
      <c r="P5" t="s">
        <v>145</v>
      </c>
      <c r="Q5" t="s">
        <v>158</v>
      </c>
      <c r="R5" t="s">
        <v>129</v>
      </c>
      <c r="S5" t="s">
        <v>159</v>
      </c>
      <c r="T5" t="s">
        <v>160</v>
      </c>
      <c r="U5" t="s">
        <v>161</v>
      </c>
      <c r="V5" t="s">
        <v>162</v>
      </c>
      <c r="W5" t="s">
        <v>163</v>
      </c>
      <c r="X5" t="s">
        <v>164</v>
      </c>
      <c r="Y5" t="s">
        <v>165</v>
      </c>
      <c r="Z5" t="s">
        <v>166</v>
      </c>
      <c r="AA5" t="s">
        <v>167</v>
      </c>
      <c r="AB5" t="s">
        <v>168</v>
      </c>
      <c r="AC5" t="s">
        <v>224</v>
      </c>
      <c r="AD5" t="s">
        <v>225</v>
      </c>
      <c r="AE5" t="s">
        <v>240</v>
      </c>
      <c r="AG5" s="171" t="s">
        <v>225</v>
      </c>
      <c r="AH5" s="172">
        <v>1</v>
      </c>
    </row>
    <row r="6" spans="1:41" x14ac:dyDescent="0.25">
      <c r="F6" s="169" t="s">
        <v>195</v>
      </c>
      <c r="G6">
        <v>11</v>
      </c>
      <c r="H6" s="169" t="s">
        <v>196</v>
      </c>
      <c r="I6">
        <v>438737435</v>
      </c>
      <c r="K6" s="169" t="s">
        <v>176</v>
      </c>
      <c r="M6" s="169" t="s">
        <v>172</v>
      </c>
      <c r="N6">
        <v>1</v>
      </c>
      <c r="P6">
        <v>29</v>
      </c>
      <c r="Q6">
        <v>47</v>
      </c>
      <c r="R6">
        <v>273460</v>
      </c>
      <c r="S6">
        <v>52476</v>
      </c>
      <c r="T6">
        <v>57</v>
      </c>
      <c r="U6">
        <v>9</v>
      </c>
      <c r="V6">
        <v>1</v>
      </c>
      <c r="W6">
        <v>20</v>
      </c>
      <c r="X6">
        <v>8</v>
      </c>
      <c r="Y6">
        <v>7</v>
      </c>
      <c r="Z6" s="168">
        <v>44769</v>
      </c>
      <c r="AA6">
        <v>10.5</v>
      </c>
      <c r="AB6" s="169" t="s">
        <v>147</v>
      </c>
      <c r="AC6">
        <v>1</v>
      </c>
      <c r="AD6">
        <v>1</v>
      </c>
      <c r="AE6" t="s">
        <v>242</v>
      </c>
      <c r="AG6" s="171" t="s">
        <v>224</v>
      </c>
      <c r="AH6" s="172">
        <v>1</v>
      </c>
    </row>
    <row r="7" spans="1:41" x14ac:dyDescent="0.25">
      <c r="F7" s="169" t="s">
        <v>184</v>
      </c>
      <c r="G7">
        <v>5</v>
      </c>
      <c r="H7" s="169" t="s">
        <v>185</v>
      </c>
      <c r="I7">
        <v>437942370</v>
      </c>
      <c r="K7" s="169" t="s">
        <v>176</v>
      </c>
      <c r="M7" s="169" t="s">
        <v>172</v>
      </c>
      <c r="P7">
        <v>29</v>
      </c>
      <c r="Q7">
        <v>94</v>
      </c>
      <c r="R7">
        <v>204550</v>
      </c>
      <c r="S7">
        <v>33924</v>
      </c>
      <c r="T7">
        <v>66</v>
      </c>
      <c r="U7">
        <v>9</v>
      </c>
      <c r="V7">
        <v>7</v>
      </c>
      <c r="W7">
        <v>20</v>
      </c>
      <c r="X7">
        <v>7</v>
      </c>
      <c r="Y7">
        <v>7</v>
      </c>
      <c r="Z7" s="168">
        <v>44769</v>
      </c>
      <c r="AA7">
        <v>4</v>
      </c>
      <c r="AB7" s="169" t="s">
        <v>173</v>
      </c>
      <c r="AC7">
        <v>1</v>
      </c>
      <c r="AD7">
        <v>1</v>
      </c>
      <c r="AE7" t="s">
        <v>243</v>
      </c>
    </row>
    <row r="8" spans="1:41" x14ac:dyDescent="0.25">
      <c r="F8" s="169" t="s">
        <v>208</v>
      </c>
      <c r="G8">
        <v>19</v>
      </c>
      <c r="H8" s="169" t="s">
        <v>209</v>
      </c>
      <c r="I8">
        <v>468503240</v>
      </c>
      <c r="K8" s="169" t="s">
        <v>172</v>
      </c>
      <c r="M8" s="169" t="s">
        <v>172</v>
      </c>
      <c r="P8">
        <v>20</v>
      </c>
      <c r="Q8">
        <v>1</v>
      </c>
      <c r="R8">
        <v>5810</v>
      </c>
      <c r="S8">
        <v>2100</v>
      </c>
      <c r="T8">
        <v>9</v>
      </c>
      <c r="U8">
        <v>1</v>
      </c>
      <c r="V8">
        <v>3</v>
      </c>
      <c r="W8">
        <v>9</v>
      </c>
      <c r="X8">
        <v>7</v>
      </c>
      <c r="Y8">
        <v>8</v>
      </c>
      <c r="Z8" s="168">
        <v>44769</v>
      </c>
      <c r="AA8">
        <v>1.5</v>
      </c>
      <c r="AB8" s="169" t="s">
        <v>146</v>
      </c>
      <c r="AC8">
        <v>0</v>
      </c>
      <c r="AD8">
        <v>1</v>
      </c>
      <c r="AG8" s="171" t="s">
        <v>228</v>
      </c>
      <c r="AH8" t="s">
        <v>233</v>
      </c>
      <c r="AI8" t="s">
        <v>234</v>
      </c>
      <c r="AJ8" t="s">
        <v>235</v>
      </c>
      <c r="AK8" t="s">
        <v>226</v>
      </c>
      <c r="AL8" t="s">
        <v>227</v>
      </c>
      <c r="AM8" t="s">
        <v>230</v>
      </c>
      <c r="AN8" t="s">
        <v>231</v>
      </c>
      <c r="AO8" t="s">
        <v>232</v>
      </c>
    </row>
    <row r="9" spans="1:41" x14ac:dyDescent="0.25">
      <c r="F9" s="169" t="s">
        <v>212</v>
      </c>
      <c r="G9">
        <v>21</v>
      </c>
      <c r="H9" s="169" t="s">
        <v>213</v>
      </c>
      <c r="I9">
        <v>465835919</v>
      </c>
      <c r="K9" s="169" t="s">
        <v>172</v>
      </c>
      <c r="M9" s="169" t="s">
        <v>172</v>
      </c>
      <c r="O9">
        <v>1</v>
      </c>
      <c r="P9">
        <v>20</v>
      </c>
      <c r="Q9">
        <v>29</v>
      </c>
      <c r="R9">
        <v>5630</v>
      </c>
      <c r="S9">
        <v>2052</v>
      </c>
      <c r="T9">
        <v>9</v>
      </c>
      <c r="U9">
        <v>1</v>
      </c>
      <c r="V9">
        <v>6</v>
      </c>
      <c r="W9">
        <v>9</v>
      </c>
      <c r="X9">
        <v>7</v>
      </c>
      <c r="Y9">
        <v>8</v>
      </c>
      <c r="Z9" s="168">
        <v>44765</v>
      </c>
      <c r="AA9">
        <v>1.5</v>
      </c>
      <c r="AB9" s="169" t="s">
        <v>146</v>
      </c>
      <c r="AC9">
        <v>0</v>
      </c>
      <c r="AD9">
        <v>1</v>
      </c>
      <c r="AG9" s="172" t="s">
        <v>183</v>
      </c>
      <c r="AH9" s="169">
        <v>4</v>
      </c>
      <c r="AI9" s="173">
        <v>30.75</v>
      </c>
      <c r="AJ9" s="173">
        <v>25.75</v>
      </c>
      <c r="AK9" s="169">
        <v>470100</v>
      </c>
      <c r="AL9" s="169">
        <v>113270</v>
      </c>
      <c r="AM9" s="173">
        <v>7</v>
      </c>
      <c r="AN9" s="173">
        <v>9.75</v>
      </c>
      <c r="AO9" s="173">
        <v>6.75</v>
      </c>
    </row>
    <row r="10" spans="1:41" x14ac:dyDescent="0.25">
      <c r="F10" s="169" t="s">
        <v>174</v>
      </c>
      <c r="G10">
        <v>29</v>
      </c>
      <c r="H10" s="169" t="s">
        <v>216</v>
      </c>
      <c r="I10">
        <v>469318336</v>
      </c>
      <c r="K10" s="169" t="s">
        <v>171</v>
      </c>
      <c r="L10">
        <v>1</v>
      </c>
      <c r="M10" s="169" t="s">
        <v>172</v>
      </c>
      <c r="P10">
        <v>18</v>
      </c>
      <c r="Q10">
        <v>100</v>
      </c>
      <c r="R10">
        <v>550</v>
      </c>
      <c r="S10">
        <v>330</v>
      </c>
      <c r="T10">
        <v>10</v>
      </c>
      <c r="U10">
        <v>2</v>
      </c>
      <c r="V10">
        <v>4</v>
      </c>
      <c r="W10">
        <v>20</v>
      </c>
      <c r="X10">
        <v>4</v>
      </c>
      <c r="Y10">
        <v>6</v>
      </c>
      <c r="Z10" s="168">
        <v>44769</v>
      </c>
      <c r="AA10">
        <v>2</v>
      </c>
      <c r="AB10" s="169" t="s">
        <v>146</v>
      </c>
      <c r="AC10">
        <v>0</v>
      </c>
      <c r="AD10">
        <v>1</v>
      </c>
      <c r="AG10" s="172" t="s">
        <v>171</v>
      </c>
      <c r="AH10" s="169">
        <v>3</v>
      </c>
      <c r="AI10" s="173">
        <v>30</v>
      </c>
      <c r="AJ10" s="173">
        <v>22</v>
      </c>
      <c r="AK10" s="169">
        <v>431980</v>
      </c>
      <c r="AL10" s="169">
        <v>94800</v>
      </c>
      <c r="AM10" s="173">
        <v>7</v>
      </c>
      <c r="AN10" s="173">
        <v>9.6666666666666661</v>
      </c>
      <c r="AO10" s="173">
        <v>7</v>
      </c>
    </row>
    <row r="11" spans="1:41" x14ac:dyDescent="0.25">
      <c r="F11" s="169" t="s">
        <v>197</v>
      </c>
      <c r="G11">
        <v>12</v>
      </c>
      <c r="H11" s="169" t="s">
        <v>198</v>
      </c>
      <c r="I11">
        <v>437450459</v>
      </c>
      <c r="K11" s="169" t="s">
        <v>171</v>
      </c>
      <c r="M11" s="169" t="s">
        <v>172</v>
      </c>
      <c r="P11">
        <v>30</v>
      </c>
      <c r="Q11">
        <v>7</v>
      </c>
      <c r="R11">
        <v>193530</v>
      </c>
      <c r="S11">
        <v>33216</v>
      </c>
      <c r="T11">
        <v>78</v>
      </c>
      <c r="U11">
        <v>9</v>
      </c>
      <c r="V11">
        <v>6</v>
      </c>
      <c r="W11">
        <v>20</v>
      </c>
      <c r="X11">
        <v>7</v>
      </c>
      <c r="Y11">
        <v>7</v>
      </c>
      <c r="Z11" s="168">
        <v>44769</v>
      </c>
      <c r="AA11">
        <v>7</v>
      </c>
      <c r="AB11" s="169" t="s">
        <v>148</v>
      </c>
      <c r="AC11">
        <v>1</v>
      </c>
      <c r="AD11">
        <v>1</v>
      </c>
      <c r="AE11" t="s">
        <v>241</v>
      </c>
      <c r="AG11" s="172" t="s">
        <v>176</v>
      </c>
      <c r="AH11" s="169">
        <v>4</v>
      </c>
      <c r="AI11" s="173">
        <v>29.5</v>
      </c>
      <c r="AJ11" s="173">
        <v>69.75</v>
      </c>
      <c r="AK11" s="169">
        <v>825320</v>
      </c>
      <c r="AL11" s="169">
        <v>144188</v>
      </c>
      <c r="AM11" s="173">
        <v>7.25</v>
      </c>
      <c r="AN11" s="173">
        <v>9.5</v>
      </c>
      <c r="AO11" s="173">
        <v>7</v>
      </c>
    </row>
    <row r="12" spans="1:41" x14ac:dyDescent="0.25">
      <c r="F12" s="169" t="s">
        <v>204</v>
      </c>
      <c r="G12">
        <v>15</v>
      </c>
      <c r="H12" s="169" t="s">
        <v>205</v>
      </c>
      <c r="I12">
        <v>467319271</v>
      </c>
      <c r="K12" s="169" t="s">
        <v>172</v>
      </c>
      <c r="M12" s="169" t="s">
        <v>172</v>
      </c>
      <c r="P12">
        <v>19</v>
      </c>
      <c r="Q12">
        <v>82</v>
      </c>
      <c r="R12">
        <v>8900</v>
      </c>
      <c r="S12">
        <v>1860</v>
      </c>
      <c r="T12">
        <v>5</v>
      </c>
      <c r="U12">
        <v>1</v>
      </c>
      <c r="V12">
        <v>3</v>
      </c>
      <c r="W12">
        <v>7</v>
      </c>
      <c r="X12">
        <v>7</v>
      </c>
      <c r="Y12">
        <v>8</v>
      </c>
      <c r="Z12" s="168">
        <v>44765</v>
      </c>
      <c r="AA12">
        <v>1</v>
      </c>
      <c r="AB12" s="169" t="s">
        <v>148</v>
      </c>
      <c r="AC12">
        <v>0</v>
      </c>
      <c r="AD12">
        <v>1</v>
      </c>
      <c r="AG12" s="172" t="s">
        <v>180</v>
      </c>
      <c r="AH12" s="169">
        <v>3</v>
      </c>
      <c r="AI12" s="173">
        <v>29.666666666666668</v>
      </c>
      <c r="AJ12" s="173">
        <v>73.333333333333329</v>
      </c>
      <c r="AK12" s="169">
        <v>453370</v>
      </c>
      <c r="AL12" s="169">
        <v>80400</v>
      </c>
      <c r="AM12" s="173">
        <v>6.666666666666667</v>
      </c>
      <c r="AN12" s="173">
        <v>8.6666666666666661</v>
      </c>
      <c r="AO12" s="173">
        <v>7</v>
      </c>
    </row>
    <row r="13" spans="1:41" x14ac:dyDescent="0.25">
      <c r="F13" s="169" t="s">
        <v>190</v>
      </c>
      <c r="G13">
        <v>8</v>
      </c>
      <c r="H13" s="169" t="s">
        <v>191</v>
      </c>
      <c r="I13">
        <v>438682525</v>
      </c>
      <c r="K13" s="169" t="s">
        <v>183</v>
      </c>
      <c r="M13" s="169" t="s">
        <v>172</v>
      </c>
      <c r="P13">
        <v>29</v>
      </c>
      <c r="Q13">
        <v>51</v>
      </c>
      <c r="R13">
        <v>191370</v>
      </c>
      <c r="S13">
        <v>52764</v>
      </c>
      <c r="T13">
        <v>86</v>
      </c>
      <c r="U13">
        <v>9</v>
      </c>
      <c r="V13">
        <v>4</v>
      </c>
      <c r="W13">
        <v>20</v>
      </c>
      <c r="X13">
        <v>6</v>
      </c>
      <c r="Y13">
        <v>7</v>
      </c>
      <c r="Z13" s="168">
        <v>44769</v>
      </c>
      <c r="AA13">
        <v>8</v>
      </c>
      <c r="AB13" s="169" t="s">
        <v>147</v>
      </c>
      <c r="AC13">
        <v>1</v>
      </c>
      <c r="AD13">
        <v>1</v>
      </c>
      <c r="AE13" t="s">
        <v>242</v>
      </c>
      <c r="AG13" s="172" t="s">
        <v>229</v>
      </c>
      <c r="AH13" s="169">
        <v>14</v>
      </c>
      <c r="AI13" s="173">
        <v>30</v>
      </c>
      <c r="AJ13" s="173">
        <v>47.714285714285715</v>
      </c>
      <c r="AK13" s="169">
        <v>2180770</v>
      </c>
      <c r="AL13" s="169">
        <v>432658</v>
      </c>
      <c r="AM13" s="173">
        <v>7</v>
      </c>
      <c r="AN13" s="173">
        <v>9.4285714285714288</v>
      </c>
      <c r="AO13" s="173">
        <v>6.9285714285714288</v>
      </c>
    </row>
    <row r="14" spans="1:41" x14ac:dyDescent="0.25">
      <c r="F14" s="169" t="s">
        <v>210</v>
      </c>
      <c r="G14">
        <v>20</v>
      </c>
      <c r="H14" s="169" t="s">
        <v>211</v>
      </c>
      <c r="I14">
        <v>470220234</v>
      </c>
      <c r="K14" s="169" t="s">
        <v>172</v>
      </c>
      <c r="M14" s="169" t="s">
        <v>172</v>
      </c>
      <c r="P14">
        <v>18</v>
      </c>
      <c r="Q14">
        <v>91</v>
      </c>
      <c r="R14">
        <v>5190</v>
      </c>
      <c r="S14">
        <v>1620</v>
      </c>
      <c r="T14">
        <v>2</v>
      </c>
      <c r="U14">
        <v>1</v>
      </c>
      <c r="V14">
        <v>4</v>
      </c>
      <c r="W14">
        <v>5</v>
      </c>
      <c r="X14">
        <v>6</v>
      </c>
      <c r="Y14">
        <v>6</v>
      </c>
      <c r="Z14" s="168">
        <v>44765</v>
      </c>
      <c r="AA14">
        <v>0</v>
      </c>
      <c r="AB14" s="169" t="s">
        <v>148</v>
      </c>
      <c r="AC14">
        <v>0</v>
      </c>
      <c r="AD14">
        <v>1</v>
      </c>
    </row>
    <row r="15" spans="1:41" x14ac:dyDescent="0.25">
      <c r="F15" s="169" t="s">
        <v>186</v>
      </c>
      <c r="G15">
        <v>6</v>
      </c>
      <c r="H15" s="169" t="s">
        <v>187</v>
      </c>
      <c r="I15">
        <v>436902237</v>
      </c>
      <c r="K15" s="169" t="s">
        <v>176</v>
      </c>
      <c r="M15" s="169" t="s">
        <v>172</v>
      </c>
      <c r="N15">
        <v>1</v>
      </c>
      <c r="P15">
        <v>30</v>
      </c>
      <c r="Q15">
        <v>46</v>
      </c>
      <c r="R15">
        <v>186950</v>
      </c>
      <c r="S15">
        <v>36888</v>
      </c>
      <c r="T15">
        <v>31</v>
      </c>
      <c r="U15">
        <v>10</v>
      </c>
      <c r="V15">
        <v>5</v>
      </c>
      <c r="W15">
        <v>16</v>
      </c>
      <c r="X15">
        <v>7</v>
      </c>
      <c r="Y15">
        <v>7</v>
      </c>
      <c r="Z15" s="168">
        <v>44769</v>
      </c>
      <c r="AA15">
        <v>7.5</v>
      </c>
      <c r="AB15" s="169" t="s">
        <v>147</v>
      </c>
      <c r="AC15">
        <v>1</v>
      </c>
      <c r="AD15">
        <v>1</v>
      </c>
      <c r="AE15" t="s">
        <v>242</v>
      </c>
    </row>
    <row r="16" spans="1:41" x14ac:dyDescent="0.25">
      <c r="F16" s="169" t="s">
        <v>193</v>
      </c>
      <c r="G16">
        <v>10</v>
      </c>
      <c r="H16" s="169" t="s">
        <v>194</v>
      </c>
      <c r="I16">
        <v>436953717</v>
      </c>
      <c r="K16" s="169" t="s">
        <v>171</v>
      </c>
      <c r="M16" s="169" t="s">
        <v>172</v>
      </c>
      <c r="P16">
        <v>30</v>
      </c>
      <c r="Q16">
        <v>23</v>
      </c>
      <c r="R16">
        <v>165400</v>
      </c>
      <c r="S16">
        <v>23820</v>
      </c>
      <c r="T16">
        <v>91</v>
      </c>
      <c r="U16">
        <v>10</v>
      </c>
      <c r="V16">
        <v>3</v>
      </c>
      <c r="W16">
        <v>20</v>
      </c>
      <c r="X16">
        <v>7</v>
      </c>
      <c r="Y16">
        <v>7</v>
      </c>
      <c r="Z16" s="168">
        <v>44765</v>
      </c>
      <c r="AA16">
        <v>6.5</v>
      </c>
      <c r="AB16" s="169" t="s">
        <v>147</v>
      </c>
      <c r="AC16">
        <v>1</v>
      </c>
      <c r="AD16">
        <v>1</v>
      </c>
      <c r="AE16" t="s">
        <v>242</v>
      </c>
    </row>
    <row r="17" spans="6:38" x14ac:dyDescent="0.25">
      <c r="F17" s="169" t="s">
        <v>188</v>
      </c>
      <c r="G17">
        <v>7</v>
      </c>
      <c r="H17" s="169" t="s">
        <v>189</v>
      </c>
      <c r="I17">
        <v>434679963</v>
      </c>
      <c r="K17" s="169" t="s">
        <v>180</v>
      </c>
      <c r="M17" s="169" t="s">
        <v>172</v>
      </c>
      <c r="P17">
        <v>31</v>
      </c>
      <c r="Q17">
        <v>43</v>
      </c>
      <c r="R17">
        <v>163630</v>
      </c>
      <c r="S17">
        <v>31284</v>
      </c>
      <c r="T17">
        <v>135</v>
      </c>
      <c r="U17">
        <v>9</v>
      </c>
      <c r="V17">
        <v>7</v>
      </c>
      <c r="W17">
        <v>20</v>
      </c>
      <c r="X17">
        <v>7</v>
      </c>
      <c r="Y17">
        <v>7</v>
      </c>
      <c r="Z17" s="168">
        <v>44765</v>
      </c>
      <c r="AA17">
        <v>9.5</v>
      </c>
      <c r="AB17" s="169" t="s">
        <v>181</v>
      </c>
      <c r="AC17">
        <v>1</v>
      </c>
      <c r="AD17">
        <v>1</v>
      </c>
      <c r="AE17" t="s">
        <v>241</v>
      </c>
    </row>
    <row r="18" spans="6:38" x14ac:dyDescent="0.25">
      <c r="F18" s="169" t="s">
        <v>202</v>
      </c>
      <c r="G18">
        <v>16</v>
      </c>
      <c r="H18" s="169" t="s">
        <v>206</v>
      </c>
      <c r="I18">
        <v>466263004</v>
      </c>
      <c r="K18" s="169" t="s">
        <v>172</v>
      </c>
      <c r="M18" s="169" t="s">
        <v>172</v>
      </c>
      <c r="P18">
        <v>19</v>
      </c>
      <c r="Q18">
        <v>0</v>
      </c>
      <c r="R18">
        <v>9150</v>
      </c>
      <c r="S18">
        <v>2964</v>
      </c>
      <c r="T18">
        <v>8</v>
      </c>
      <c r="U18">
        <v>1</v>
      </c>
      <c r="V18">
        <v>4</v>
      </c>
      <c r="W18">
        <v>8</v>
      </c>
      <c r="X18">
        <v>7</v>
      </c>
      <c r="Y18">
        <v>8</v>
      </c>
      <c r="Z18" s="168">
        <v>44765</v>
      </c>
      <c r="AA18">
        <v>1</v>
      </c>
      <c r="AB18" s="169" t="s">
        <v>207</v>
      </c>
      <c r="AC18">
        <v>0</v>
      </c>
      <c r="AD18">
        <v>1</v>
      </c>
    </row>
    <row r="19" spans="6:38" x14ac:dyDescent="0.25">
      <c r="F19" s="169" t="s">
        <v>174</v>
      </c>
      <c r="G19">
        <v>27</v>
      </c>
      <c r="H19" s="169" t="s">
        <v>214</v>
      </c>
      <c r="I19">
        <v>436864344</v>
      </c>
      <c r="K19" s="169" t="s">
        <v>176</v>
      </c>
      <c r="L19">
        <v>1</v>
      </c>
      <c r="M19" s="169" t="s">
        <v>172</v>
      </c>
      <c r="N19">
        <v>1</v>
      </c>
      <c r="P19">
        <v>32</v>
      </c>
      <c r="Q19">
        <v>2</v>
      </c>
      <c r="R19">
        <v>660</v>
      </c>
      <c r="S19">
        <v>310</v>
      </c>
      <c r="T19">
        <v>212</v>
      </c>
      <c r="U19">
        <v>3</v>
      </c>
      <c r="V19">
        <v>5</v>
      </c>
      <c r="W19">
        <v>20</v>
      </c>
      <c r="X19">
        <v>5</v>
      </c>
      <c r="Y19">
        <v>6</v>
      </c>
      <c r="Z19" s="168">
        <v>44769</v>
      </c>
      <c r="AA19">
        <v>4</v>
      </c>
      <c r="AB19" s="169" t="s">
        <v>207</v>
      </c>
      <c r="AC19">
        <v>0</v>
      </c>
      <c r="AD19">
        <v>1</v>
      </c>
    </row>
    <row r="20" spans="6:38" x14ac:dyDescent="0.25">
      <c r="F20" s="169" t="s">
        <v>174</v>
      </c>
      <c r="G20">
        <v>2</v>
      </c>
      <c r="H20" s="169" t="s">
        <v>175</v>
      </c>
      <c r="I20">
        <v>438680435</v>
      </c>
      <c r="K20" s="169" t="s">
        <v>176</v>
      </c>
      <c r="L20">
        <v>1</v>
      </c>
      <c r="M20" s="169" t="s">
        <v>172</v>
      </c>
      <c r="P20">
        <v>30</v>
      </c>
      <c r="Q20">
        <v>92</v>
      </c>
      <c r="R20">
        <v>160360</v>
      </c>
      <c r="S20">
        <v>20900</v>
      </c>
      <c r="T20">
        <v>199</v>
      </c>
      <c r="U20">
        <v>10</v>
      </c>
      <c r="V20">
        <v>5</v>
      </c>
      <c r="W20">
        <v>20</v>
      </c>
      <c r="X20">
        <v>7</v>
      </c>
      <c r="Y20">
        <v>7</v>
      </c>
      <c r="Z20" s="168">
        <v>44765</v>
      </c>
      <c r="AA20">
        <v>10</v>
      </c>
      <c r="AB20" s="169" t="s">
        <v>177</v>
      </c>
      <c r="AC20">
        <v>1</v>
      </c>
      <c r="AD20">
        <v>1</v>
      </c>
      <c r="AE20" t="s">
        <v>244</v>
      </c>
      <c r="AG20" s="171" t="s">
        <v>225</v>
      </c>
      <c r="AH20" s="172">
        <v>1</v>
      </c>
    </row>
    <row r="21" spans="6:38" x14ac:dyDescent="0.25">
      <c r="F21" s="169" t="s">
        <v>174</v>
      </c>
      <c r="G21">
        <v>28</v>
      </c>
      <c r="H21" s="169" t="s">
        <v>215</v>
      </c>
      <c r="I21">
        <v>456818063</v>
      </c>
      <c r="K21" s="169" t="s">
        <v>172</v>
      </c>
      <c r="L21">
        <v>1</v>
      </c>
      <c r="M21" s="169" t="s">
        <v>172</v>
      </c>
      <c r="P21">
        <v>24</v>
      </c>
      <c r="Q21">
        <v>111</v>
      </c>
      <c r="R21">
        <v>1250</v>
      </c>
      <c r="S21">
        <v>430</v>
      </c>
      <c r="T21">
        <v>86</v>
      </c>
      <c r="U21">
        <v>2</v>
      </c>
      <c r="V21">
        <v>3</v>
      </c>
      <c r="W21">
        <v>20</v>
      </c>
      <c r="X21">
        <v>5</v>
      </c>
      <c r="Y21">
        <v>8</v>
      </c>
      <c r="Z21" s="168">
        <v>44769</v>
      </c>
      <c r="AA21">
        <v>3</v>
      </c>
      <c r="AB21" s="169" t="s">
        <v>177</v>
      </c>
      <c r="AC21">
        <v>0</v>
      </c>
      <c r="AD21">
        <v>1</v>
      </c>
      <c r="AG21" s="171" t="s">
        <v>224</v>
      </c>
      <c r="AH21" s="172">
        <v>1</v>
      </c>
    </row>
    <row r="22" spans="6:38" x14ac:dyDescent="0.25">
      <c r="F22" s="169" t="s">
        <v>178</v>
      </c>
      <c r="G22">
        <v>3</v>
      </c>
      <c r="H22" s="169" t="s">
        <v>179</v>
      </c>
      <c r="I22">
        <v>441300576</v>
      </c>
      <c r="J22">
        <v>1</v>
      </c>
      <c r="K22" s="169" t="s">
        <v>180</v>
      </c>
      <c r="M22" s="169" t="s">
        <v>172</v>
      </c>
      <c r="P22">
        <v>29</v>
      </c>
      <c r="Q22">
        <v>104</v>
      </c>
      <c r="R22">
        <v>148500</v>
      </c>
      <c r="S22">
        <v>23124</v>
      </c>
      <c r="T22">
        <v>110</v>
      </c>
      <c r="U22">
        <v>9</v>
      </c>
      <c r="V22">
        <v>6</v>
      </c>
      <c r="W22">
        <v>20</v>
      </c>
      <c r="X22">
        <v>7</v>
      </c>
      <c r="Y22">
        <v>7</v>
      </c>
      <c r="Z22" s="168">
        <v>44769</v>
      </c>
      <c r="AA22">
        <v>8</v>
      </c>
      <c r="AB22" s="169" t="s">
        <v>181</v>
      </c>
      <c r="AC22">
        <v>1</v>
      </c>
      <c r="AD22">
        <v>1</v>
      </c>
      <c r="AE22" t="s">
        <v>244</v>
      </c>
    </row>
    <row r="23" spans="6:38" x14ac:dyDescent="0.25">
      <c r="F23" s="169" t="s">
        <v>202</v>
      </c>
      <c r="G23">
        <v>14</v>
      </c>
      <c r="H23" s="169" t="s">
        <v>203</v>
      </c>
      <c r="I23">
        <v>438510503</v>
      </c>
      <c r="K23" s="169" t="s">
        <v>180</v>
      </c>
      <c r="M23" s="169" t="s">
        <v>172</v>
      </c>
      <c r="P23">
        <v>29</v>
      </c>
      <c r="Q23">
        <v>73</v>
      </c>
      <c r="R23">
        <v>141240</v>
      </c>
      <c r="S23">
        <v>25992</v>
      </c>
      <c r="T23">
        <v>17</v>
      </c>
      <c r="U23">
        <v>8</v>
      </c>
      <c r="V23">
        <v>2</v>
      </c>
      <c r="W23">
        <v>12</v>
      </c>
      <c r="X23">
        <v>6</v>
      </c>
      <c r="Y23">
        <v>7</v>
      </c>
      <c r="Z23" s="168">
        <v>44765</v>
      </c>
      <c r="AA23">
        <v>2.5</v>
      </c>
      <c r="AB23" s="169" t="s">
        <v>146</v>
      </c>
      <c r="AC23">
        <v>1</v>
      </c>
      <c r="AD23">
        <v>1</v>
      </c>
      <c r="AE23" t="s">
        <v>148</v>
      </c>
      <c r="AG23" s="171" t="s">
        <v>226</v>
      </c>
      <c r="AH23" s="171" t="s">
        <v>239</v>
      </c>
    </row>
    <row r="24" spans="6:38" x14ac:dyDescent="0.25">
      <c r="F24" s="169" t="s">
        <v>199</v>
      </c>
      <c r="G24">
        <v>13</v>
      </c>
      <c r="H24" s="169" t="s">
        <v>200</v>
      </c>
      <c r="I24">
        <v>436942530</v>
      </c>
      <c r="K24" s="169" t="s">
        <v>183</v>
      </c>
      <c r="M24" s="169" t="s">
        <v>172</v>
      </c>
      <c r="N24">
        <v>1</v>
      </c>
      <c r="P24">
        <v>30</v>
      </c>
      <c r="Q24">
        <v>25</v>
      </c>
      <c r="R24">
        <v>136920</v>
      </c>
      <c r="S24">
        <v>36684</v>
      </c>
      <c r="T24">
        <v>101</v>
      </c>
      <c r="U24">
        <v>9</v>
      </c>
      <c r="V24">
        <v>4</v>
      </c>
      <c r="W24">
        <v>20</v>
      </c>
      <c r="X24">
        <v>6</v>
      </c>
      <c r="Y24">
        <v>7</v>
      </c>
      <c r="Z24" s="168">
        <v>44769</v>
      </c>
      <c r="AA24">
        <v>8</v>
      </c>
      <c r="AB24" s="169" t="s">
        <v>201</v>
      </c>
      <c r="AC24">
        <v>1</v>
      </c>
      <c r="AD24">
        <v>1</v>
      </c>
      <c r="AE24" t="s">
        <v>242</v>
      </c>
      <c r="AG24" s="171" t="s">
        <v>228</v>
      </c>
      <c r="AH24" t="s">
        <v>183</v>
      </c>
      <c r="AI24" t="s">
        <v>171</v>
      </c>
      <c r="AJ24" t="s">
        <v>176</v>
      </c>
      <c r="AK24" t="s">
        <v>180</v>
      </c>
      <c r="AL24" t="s">
        <v>229</v>
      </c>
    </row>
    <row r="25" spans="6:38" x14ac:dyDescent="0.25">
      <c r="F25" s="169" t="s">
        <v>174</v>
      </c>
      <c r="G25">
        <v>4</v>
      </c>
      <c r="H25" s="169" t="s">
        <v>182</v>
      </c>
      <c r="I25">
        <v>438721721</v>
      </c>
      <c r="K25" s="169" t="s">
        <v>183</v>
      </c>
      <c r="L25">
        <v>1</v>
      </c>
      <c r="M25" s="169" t="s">
        <v>172</v>
      </c>
      <c r="P25">
        <v>30</v>
      </c>
      <c r="Q25">
        <v>17</v>
      </c>
      <c r="R25">
        <v>135480</v>
      </c>
      <c r="S25">
        <v>16970</v>
      </c>
      <c r="T25">
        <v>198</v>
      </c>
      <c r="U25">
        <v>10</v>
      </c>
      <c r="V25">
        <v>2</v>
      </c>
      <c r="W25">
        <v>20</v>
      </c>
      <c r="X25">
        <v>8</v>
      </c>
      <c r="Y25">
        <v>7</v>
      </c>
      <c r="Z25" s="168">
        <v>44765</v>
      </c>
      <c r="AA25">
        <v>9</v>
      </c>
      <c r="AB25" s="169" t="s">
        <v>146</v>
      </c>
      <c r="AC25">
        <v>1</v>
      </c>
      <c r="AD25">
        <v>1</v>
      </c>
      <c r="AE25" t="s">
        <v>243</v>
      </c>
      <c r="AG25" s="172" t="s">
        <v>146</v>
      </c>
      <c r="AH25" s="169">
        <v>135480</v>
      </c>
      <c r="AI25" s="169"/>
      <c r="AJ25" s="169"/>
      <c r="AK25" s="169">
        <v>141240</v>
      </c>
      <c r="AL25" s="169">
        <v>276720</v>
      </c>
    </row>
    <row r="26" spans="6:38" x14ac:dyDescent="0.25">
      <c r="F26" s="169" t="s">
        <v>169</v>
      </c>
      <c r="G26">
        <v>1</v>
      </c>
      <c r="H26" s="169" t="s">
        <v>170</v>
      </c>
      <c r="I26">
        <v>439936362</v>
      </c>
      <c r="K26" s="169" t="s">
        <v>171</v>
      </c>
      <c r="M26" s="169" t="s">
        <v>172</v>
      </c>
      <c r="P26">
        <v>30</v>
      </c>
      <c r="Q26">
        <v>36</v>
      </c>
      <c r="R26">
        <v>73050</v>
      </c>
      <c r="S26">
        <v>37764</v>
      </c>
      <c r="T26">
        <v>36</v>
      </c>
      <c r="U26">
        <v>10</v>
      </c>
      <c r="V26">
        <v>3</v>
      </c>
      <c r="W26">
        <v>17</v>
      </c>
      <c r="X26">
        <v>7</v>
      </c>
      <c r="Y26">
        <v>7</v>
      </c>
      <c r="Z26" s="168">
        <v>44765</v>
      </c>
      <c r="AA26">
        <v>10.5</v>
      </c>
      <c r="AB26" s="169" t="s">
        <v>173</v>
      </c>
      <c r="AC26">
        <v>1</v>
      </c>
      <c r="AD26">
        <v>1</v>
      </c>
      <c r="AE26" t="s">
        <v>173</v>
      </c>
      <c r="AG26" s="172" t="s">
        <v>148</v>
      </c>
      <c r="AH26" s="169">
        <v>6330</v>
      </c>
      <c r="AI26" s="169">
        <v>193530</v>
      </c>
      <c r="AJ26" s="169"/>
      <c r="AK26" s="169"/>
      <c r="AL26" s="169">
        <v>199860</v>
      </c>
    </row>
    <row r="27" spans="6:38" x14ac:dyDescent="0.25">
      <c r="F27" s="169" t="s">
        <v>186</v>
      </c>
      <c r="G27">
        <v>9</v>
      </c>
      <c r="H27" s="169" t="s">
        <v>192</v>
      </c>
      <c r="I27">
        <v>429275176</v>
      </c>
      <c r="K27" s="169" t="s">
        <v>183</v>
      </c>
      <c r="M27" s="169" t="s">
        <v>172</v>
      </c>
      <c r="P27">
        <v>34</v>
      </c>
      <c r="Q27">
        <v>10</v>
      </c>
      <c r="R27">
        <v>6330</v>
      </c>
      <c r="S27">
        <v>6852</v>
      </c>
      <c r="T27">
        <v>123</v>
      </c>
      <c r="U27">
        <v>11</v>
      </c>
      <c r="V27">
        <v>4</v>
      </c>
      <c r="W27">
        <v>20</v>
      </c>
      <c r="X27">
        <v>8</v>
      </c>
      <c r="Y27">
        <v>6</v>
      </c>
      <c r="Z27" s="168">
        <v>44765</v>
      </c>
      <c r="AA27">
        <v>9</v>
      </c>
      <c r="AB27" s="169" t="s">
        <v>148</v>
      </c>
      <c r="AC27">
        <v>1</v>
      </c>
      <c r="AD27">
        <v>1</v>
      </c>
      <c r="AE27" t="s">
        <v>148</v>
      </c>
      <c r="AG27" s="172" t="s">
        <v>181</v>
      </c>
      <c r="AH27" s="169"/>
      <c r="AI27" s="169"/>
      <c r="AJ27" s="169"/>
      <c r="AK27" s="169">
        <v>312130</v>
      </c>
      <c r="AL27" s="169">
        <v>312130</v>
      </c>
    </row>
    <row r="28" spans="6:38" x14ac:dyDescent="0.25">
      <c r="AG28" s="172" t="s">
        <v>201</v>
      </c>
      <c r="AH28" s="169">
        <v>136920</v>
      </c>
      <c r="AI28" s="169"/>
      <c r="AJ28" s="169"/>
      <c r="AK28" s="169"/>
      <c r="AL28" s="169">
        <v>136920</v>
      </c>
    </row>
    <row r="29" spans="6:38" x14ac:dyDescent="0.25">
      <c r="AG29" s="172" t="s">
        <v>177</v>
      </c>
      <c r="AH29" s="169"/>
      <c r="AI29" s="169"/>
      <c r="AJ29" s="169">
        <v>160360</v>
      </c>
      <c r="AK29" s="169"/>
      <c r="AL29" s="169">
        <v>160360</v>
      </c>
    </row>
    <row r="30" spans="6:38" x14ac:dyDescent="0.25">
      <c r="AG30" s="172" t="s">
        <v>147</v>
      </c>
      <c r="AH30" s="169">
        <v>191370</v>
      </c>
      <c r="AI30" s="169">
        <v>165400</v>
      </c>
      <c r="AJ30" s="169">
        <v>460410</v>
      </c>
      <c r="AK30" s="169"/>
      <c r="AL30" s="169">
        <v>817180</v>
      </c>
    </row>
    <row r="31" spans="6:38" x14ac:dyDescent="0.25">
      <c r="AG31" s="172" t="s">
        <v>173</v>
      </c>
      <c r="AH31" s="169"/>
      <c r="AI31" s="169">
        <v>73050</v>
      </c>
      <c r="AJ31" s="169">
        <v>204550</v>
      </c>
      <c r="AK31" s="169"/>
      <c r="AL31" s="169">
        <v>277600</v>
      </c>
    </row>
    <row r="32" spans="6:38" x14ac:dyDescent="0.25">
      <c r="AG32" s="172" t="s">
        <v>229</v>
      </c>
      <c r="AH32" s="169">
        <v>470100</v>
      </c>
      <c r="AI32" s="169">
        <v>431980</v>
      </c>
      <c r="AJ32" s="169">
        <v>825320</v>
      </c>
      <c r="AK32" s="169">
        <v>453370</v>
      </c>
      <c r="AL32" s="169">
        <v>2180770</v>
      </c>
    </row>
  </sheetData>
  <pageMargins left="0.7" right="0.7" top="0.75" bottom="0.75" header="0.3" footer="0.3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3674-112C-4F97-AA75-888CF6B5168F}">
  <sheetPr>
    <tabColor theme="9" tint="0.79998168889431442"/>
  </sheetPr>
  <dimension ref="A1:AO26"/>
  <sheetViews>
    <sheetView topLeftCell="P1" zoomScale="80" zoomScaleNormal="80" workbookViewId="0">
      <selection activeCell="AH7" sqref="AH7:AH10"/>
    </sheetView>
  </sheetViews>
  <sheetFormatPr baseColWidth="10" defaultRowHeight="15" x14ac:dyDescent="0.25"/>
  <cols>
    <col min="1" max="5" width="4.85546875" bestFit="1" customWidth="1"/>
    <col min="6" max="6" width="19.85546875" bestFit="1" customWidth="1"/>
    <col min="7" max="7" width="8.85546875" bestFit="1" customWidth="1"/>
    <col min="8" max="8" width="22.85546875" bestFit="1" customWidth="1"/>
    <col min="9" max="9" width="15.5703125" bestFit="1" customWidth="1"/>
    <col min="10" max="10" width="13.140625" bestFit="1" customWidth="1"/>
    <col min="11" max="11" width="14.28515625" bestFit="1" customWidth="1"/>
    <col min="12" max="12" width="31" bestFit="1" customWidth="1"/>
    <col min="13" max="13" width="11" bestFit="1" customWidth="1"/>
    <col min="14" max="14" width="18" bestFit="1" customWidth="1"/>
    <col min="15" max="15" width="27.5703125" bestFit="1" customWidth="1"/>
    <col min="16" max="16" width="7.5703125" bestFit="1" customWidth="1"/>
    <col min="17" max="17" width="7" bestFit="1" customWidth="1"/>
    <col min="18" max="18" width="7.7109375" bestFit="1" customWidth="1"/>
    <col min="19" max="19" width="9.28515625" bestFit="1" customWidth="1"/>
    <col min="20" max="22" width="5.28515625" customWidth="1"/>
    <col min="23" max="25" width="6.140625" customWidth="1"/>
    <col min="26" max="26" width="21.7109375" bestFit="1" customWidth="1"/>
    <col min="27" max="28" width="7" customWidth="1"/>
    <col min="29" max="31" width="6.28515625" customWidth="1"/>
    <col min="33" max="33" width="18.42578125" bestFit="1" customWidth="1"/>
    <col min="34" max="34" width="17.85546875" bestFit="1" customWidth="1"/>
    <col min="35" max="35" width="12.140625" bestFit="1" customWidth="1"/>
    <col min="36" max="36" width="15.5703125" bestFit="1" customWidth="1"/>
    <col min="37" max="37" width="17.28515625" bestFit="1" customWidth="1"/>
    <col min="38" max="38" width="16.7109375" bestFit="1" customWidth="1"/>
    <col min="39" max="39" width="18.7109375" bestFit="1" customWidth="1"/>
    <col min="40" max="40" width="23.42578125" bestFit="1" customWidth="1"/>
    <col min="41" max="41" width="23.140625" bestFit="1" customWidth="1"/>
  </cols>
  <sheetData>
    <row r="1" spans="1:41" x14ac:dyDescent="0.25">
      <c r="A1" s="139"/>
      <c r="B1" s="126"/>
      <c r="C1" s="140" t="s">
        <v>87</v>
      </c>
      <c r="D1" s="139"/>
      <c r="E1" s="139"/>
    </row>
    <row r="2" spans="1:41" x14ac:dyDescent="0.25">
      <c r="A2" s="140" t="s">
        <v>87</v>
      </c>
      <c r="B2" s="140" t="s">
        <v>87</v>
      </c>
      <c r="C2" s="140" t="s">
        <v>87</v>
      </c>
      <c r="D2" s="140" t="s">
        <v>87</v>
      </c>
      <c r="E2" s="140" t="s">
        <v>87</v>
      </c>
      <c r="AG2" s="171" t="s">
        <v>225</v>
      </c>
      <c r="AH2" s="172">
        <v>1</v>
      </c>
    </row>
    <row r="3" spans="1:41" x14ac:dyDescent="0.25">
      <c r="A3" s="140" t="s">
        <v>87</v>
      </c>
      <c r="B3" s="140" t="s">
        <v>87</v>
      </c>
      <c r="C3" s="140" t="s">
        <v>87</v>
      </c>
      <c r="D3" s="140" t="s">
        <v>87</v>
      </c>
      <c r="E3" s="140" t="s">
        <v>87</v>
      </c>
      <c r="AG3" s="171" t="s">
        <v>224</v>
      </c>
      <c r="AH3" s="172">
        <v>1</v>
      </c>
    </row>
    <row r="4" spans="1:41" x14ac:dyDescent="0.25">
      <c r="A4" s="139"/>
      <c r="B4" s="140" t="s">
        <v>87</v>
      </c>
      <c r="C4" s="140" t="s">
        <v>87</v>
      </c>
      <c r="D4" s="140" t="s">
        <v>87</v>
      </c>
      <c r="E4" s="139"/>
    </row>
    <row r="5" spans="1:41" x14ac:dyDescent="0.25">
      <c r="F5" t="s">
        <v>149</v>
      </c>
      <c r="G5" t="s">
        <v>150</v>
      </c>
      <c r="H5" t="s">
        <v>151</v>
      </c>
      <c r="I5" t="s">
        <v>152</v>
      </c>
      <c r="J5" t="s">
        <v>133</v>
      </c>
      <c r="K5" t="s">
        <v>153</v>
      </c>
      <c r="L5" t="s">
        <v>154</v>
      </c>
      <c r="M5" t="s">
        <v>155</v>
      </c>
      <c r="N5" t="s">
        <v>156</v>
      </c>
      <c r="O5" t="s">
        <v>157</v>
      </c>
      <c r="P5" t="s">
        <v>145</v>
      </c>
      <c r="Q5" t="s">
        <v>158</v>
      </c>
      <c r="R5" t="s">
        <v>129</v>
      </c>
      <c r="S5" t="s">
        <v>159</v>
      </c>
      <c r="T5" t="s">
        <v>160</v>
      </c>
      <c r="U5" t="s">
        <v>161</v>
      </c>
      <c r="V5" t="s">
        <v>162</v>
      </c>
      <c r="W5" t="s">
        <v>163</v>
      </c>
      <c r="X5" t="s">
        <v>164</v>
      </c>
      <c r="Y5" t="s">
        <v>165</v>
      </c>
      <c r="Z5" t="s">
        <v>166</v>
      </c>
      <c r="AA5" t="s">
        <v>167</v>
      </c>
      <c r="AB5" t="s">
        <v>168</v>
      </c>
      <c r="AC5" t="s">
        <v>224</v>
      </c>
      <c r="AD5" t="s">
        <v>225</v>
      </c>
      <c r="AE5" t="s">
        <v>240</v>
      </c>
      <c r="AG5" s="171" t="s">
        <v>228</v>
      </c>
      <c r="AH5" t="s">
        <v>233</v>
      </c>
      <c r="AI5" t="s">
        <v>226</v>
      </c>
      <c r="AJ5" t="s">
        <v>227</v>
      </c>
      <c r="AK5" t="s">
        <v>234</v>
      </c>
      <c r="AL5" t="s">
        <v>235</v>
      </c>
      <c r="AM5" t="s">
        <v>230</v>
      </c>
      <c r="AN5" t="s">
        <v>231</v>
      </c>
      <c r="AO5" t="s">
        <v>232</v>
      </c>
    </row>
    <row r="6" spans="1:41" x14ac:dyDescent="0.25">
      <c r="F6" s="169" t="s">
        <v>265</v>
      </c>
      <c r="G6">
        <v>10</v>
      </c>
      <c r="H6" s="169" t="s">
        <v>266</v>
      </c>
      <c r="I6">
        <v>434031677</v>
      </c>
      <c r="K6" s="169" t="s">
        <v>183</v>
      </c>
      <c r="N6" s="169" t="s">
        <v>172</v>
      </c>
      <c r="P6">
        <v>31</v>
      </c>
      <c r="Q6">
        <v>72</v>
      </c>
      <c r="R6">
        <v>132260</v>
      </c>
      <c r="S6">
        <v>38904</v>
      </c>
      <c r="T6">
        <v>232</v>
      </c>
      <c r="U6">
        <v>14</v>
      </c>
      <c r="V6">
        <v>6</v>
      </c>
      <c r="W6">
        <v>20</v>
      </c>
      <c r="X6">
        <v>7</v>
      </c>
      <c r="Y6">
        <v>8</v>
      </c>
      <c r="Z6" s="168">
        <v>44769</v>
      </c>
      <c r="AA6">
        <v>10</v>
      </c>
      <c r="AB6" s="169" t="s">
        <v>147</v>
      </c>
      <c r="AC6">
        <v>1</v>
      </c>
      <c r="AD6">
        <v>1</v>
      </c>
      <c r="AG6" s="172"/>
      <c r="AH6" s="169">
        <v>1</v>
      </c>
      <c r="AI6" s="169">
        <v>49680</v>
      </c>
      <c r="AJ6" s="169">
        <v>23628</v>
      </c>
      <c r="AK6" s="173">
        <v>32</v>
      </c>
      <c r="AL6" s="173">
        <v>51</v>
      </c>
      <c r="AM6" s="173">
        <v>6</v>
      </c>
      <c r="AN6" s="173">
        <v>12</v>
      </c>
      <c r="AO6" s="173">
        <v>7</v>
      </c>
    </row>
    <row r="7" spans="1:41" x14ac:dyDescent="0.25">
      <c r="F7" s="169" t="s">
        <v>202</v>
      </c>
      <c r="G7">
        <v>4</v>
      </c>
      <c r="H7" s="169" t="s">
        <v>256</v>
      </c>
      <c r="I7">
        <v>434407051</v>
      </c>
      <c r="K7" s="169" t="s">
        <v>176</v>
      </c>
      <c r="N7" s="169" t="s">
        <v>172</v>
      </c>
      <c r="P7">
        <v>31</v>
      </c>
      <c r="Q7">
        <v>76</v>
      </c>
      <c r="R7">
        <v>126320</v>
      </c>
      <c r="S7">
        <v>39336</v>
      </c>
      <c r="T7">
        <v>232</v>
      </c>
      <c r="U7">
        <v>12</v>
      </c>
      <c r="V7">
        <v>7</v>
      </c>
      <c r="W7">
        <v>20</v>
      </c>
      <c r="X7">
        <v>7</v>
      </c>
      <c r="Y7">
        <v>8</v>
      </c>
      <c r="Z7" s="168">
        <v>44769</v>
      </c>
      <c r="AA7">
        <v>7.5</v>
      </c>
      <c r="AB7" s="169" t="s">
        <v>146</v>
      </c>
      <c r="AC7">
        <v>1</v>
      </c>
      <c r="AD7">
        <v>1</v>
      </c>
      <c r="AG7" s="172" t="s">
        <v>183</v>
      </c>
      <c r="AH7" s="169">
        <v>5</v>
      </c>
      <c r="AI7" s="169">
        <v>315520</v>
      </c>
      <c r="AJ7" s="169">
        <v>95640</v>
      </c>
      <c r="AK7" s="173">
        <v>31.4</v>
      </c>
      <c r="AL7" s="173">
        <v>54.8</v>
      </c>
      <c r="AM7" s="173">
        <v>6</v>
      </c>
      <c r="AN7" s="173">
        <v>12</v>
      </c>
      <c r="AO7" s="173">
        <v>7.8</v>
      </c>
    </row>
    <row r="8" spans="1:41" x14ac:dyDescent="0.25">
      <c r="F8" s="169" t="s">
        <v>195</v>
      </c>
      <c r="H8" s="169" t="s">
        <v>274</v>
      </c>
      <c r="I8">
        <v>433486520</v>
      </c>
      <c r="K8" s="169" t="s">
        <v>171</v>
      </c>
      <c r="N8" s="169" t="s">
        <v>172</v>
      </c>
      <c r="P8">
        <v>31</v>
      </c>
      <c r="Q8">
        <v>110</v>
      </c>
      <c r="R8">
        <v>106490</v>
      </c>
      <c r="S8">
        <v>27876</v>
      </c>
      <c r="T8">
        <v>111</v>
      </c>
      <c r="U8">
        <v>10</v>
      </c>
      <c r="V8">
        <v>3</v>
      </c>
      <c r="W8">
        <v>20</v>
      </c>
      <c r="X8">
        <v>6</v>
      </c>
      <c r="Y8">
        <v>8</v>
      </c>
      <c r="Z8" s="168">
        <v>44765</v>
      </c>
      <c r="AA8">
        <v>8.5</v>
      </c>
      <c r="AB8" s="169" t="s">
        <v>147</v>
      </c>
      <c r="AC8">
        <v>1</v>
      </c>
      <c r="AD8">
        <v>1</v>
      </c>
      <c r="AG8" s="172" t="s">
        <v>171</v>
      </c>
      <c r="AH8" s="169">
        <v>2</v>
      </c>
      <c r="AI8" s="169">
        <v>187730</v>
      </c>
      <c r="AJ8" s="169">
        <v>65544</v>
      </c>
      <c r="AK8" s="173">
        <v>31</v>
      </c>
      <c r="AL8" s="173">
        <v>98.5</v>
      </c>
      <c r="AM8" s="173">
        <v>5.5</v>
      </c>
      <c r="AN8" s="173">
        <v>11</v>
      </c>
      <c r="AO8" s="173">
        <v>8</v>
      </c>
    </row>
    <row r="9" spans="1:41" x14ac:dyDescent="0.25">
      <c r="F9" s="169" t="s">
        <v>258</v>
      </c>
      <c r="G9">
        <v>6</v>
      </c>
      <c r="H9" s="169" t="s">
        <v>259</v>
      </c>
      <c r="I9">
        <v>434462064</v>
      </c>
      <c r="K9" s="169" t="s">
        <v>180</v>
      </c>
      <c r="N9" s="169" t="s">
        <v>172</v>
      </c>
      <c r="P9">
        <v>31</v>
      </c>
      <c r="Q9">
        <v>88</v>
      </c>
      <c r="R9">
        <v>102770</v>
      </c>
      <c r="S9">
        <v>36000</v>
      </c>
      <c r="T9">
        <v>227</v>
      </c>
      <c r="U9">
        <v>12</v>
      </c>
      <c r="V9">
        <v>5</v>
      </c>
      <c r="W9">
        <v>20</v>
      </c>
      <c r="X9">
        <v>6</v>
      </c>
      <c r="Y9">
        <v>8</v>
      </c>
      <c r="Z9" s="168">
        <v>44769</v>
      </c>
      <c r="AA9">
        <v>65</v>
      </c>
      <c r="AB9" s="169" t="s">
        <v>146</v>
      </c>
      <c r="AC9">
        <v>1</v>
      </c>
      <c r="AD9">
        <v>1</v>
      </c>
      <c r="AG9" s="172" t="s">
        <v>176</v>
      </c>
      <c r="AH9" s="169">
        <v>2</v>
      </c>
      <c r="AI9" s="169">
        <v>166020</v>
      </c>
      <c r="AJ9" s="169">
        <v>49308</v>
      </c>
      <c r="AK9" s="173">
        <v>31</v>
      </c>
      <c r="AL9" s="173">
        <v>69</v>
      </c>
      <c r="AM9" s="173">
        <v>6.5</v>
      </c>
      <c r="AN9" s="173">
        <v>11.5</v>
      </c>
      <c r="AO9" s="173">
        <v>8</v>
      </c>
    </row>
    <row r="10" spans="1:41" x14ac:dyDescent="0.25">
      <c r="F10" s="169" t="s">
        <v>263</v>
      </c>
      <c r="G10">
        <v>9</v>
      </c>
      <c r="H10" s="169" t="s">
        <v>264</v>
      </c>
      <c r="I10">
        <v>433714630</v>
      </c>
      <c r="K10" s="169" t="s">
        <v>183</v>
      </c>
      <c r="N10" s="169" t="s">
        <v>172</v>
      </c>
      <c r="P10">
        <v>31</v>
      </c>
      <c r="Q10">
        <v>92</v>
      </c>
      <c r="R10">
        <v>83590</v>
      </c>
      <c r="S10">
        <v>36984</v>
      </c>
      <c r="T10">
        <v>232</v>
      </c>
      <c r="U10">
        <v>13</v>
      </c>
      <c r="V10">
        <v>5</v>
      </c>
      <c r="W10">
        <v>20</v>
      </c>
      <c r="X10">
        <v>4</v>
      </c>
      <c r="Y10">
        <v>8</v>
      </c>
      <c r="Z10" s="168">
        <v>44769</v>
      </c>
      <c r="AA10">
        <v>7</v>
      </c>
      <c r="AB10" s="169" t="s">
        <v>147</v>
      </c>
      <c r="AC10">
        <v>1</v>
      </c>
      <c r="AD10">
        <v>1</v>
      </c>
      <c r="AG10" s="172" t="s">
        <v>180</v>
      </c>
      <c r="AH10" s="169">
        <v>4</v>
      </c>
      <c r="AI10" s="169">
        <v>281310</v>
      </c>
      <c r="AJ10" s="169">
        <v>84168</v>
      </c>
      <c r="AK10" s="173">
        <v>31.5</v>
      </c>
      <c r="AL10" s="173">
        <v>68.25</v>
      </c>
      <c r="AM10" s="173">
        <v>5.75</v>
      </c>
      <c r="AN10" s="173">
        <v>12</v>
      </c>
      <c r="AO10" s="173">
        <v>7.75</v>
      </c>
    </row>
    <row r="11" spans="1:41" x14ac:dyDescent="0.25">
      <c r="F11" s="169" t="s">
        <v>186</v>
      </c>
      <c r="G11">
        <v>11</v>
      </c>
      <c r="H11" s="169" t="s">
        <v>267</v>
      </c>
      <c r="I11">
        <v>434425782</v>
      </c>
      <c r="K11" s="169" t="s">
        <v>171</v>
      </c>
      <c r="M11">
        <v>2</v>
      </c>
      <c r="N11" s="169" t="s">
        <v>172</v>
      </c>
      <c r="P11">
        <v>31</v>
      </c>
      <c r="Q11">
        <v>87</v>
      </c>
      <c r="R11">
        <v>81240</v>
      </c>
      <c r="S11">
        <v>37668</v>
      </c>
      <c r="T11">
        <v>232</v>
      </c>
      <c r="U11">
        <v>12</v>
      </c>
      <c r="V11">
        <v>4</v>
      </c>
      <c r="W11">
        <v>20</v>
      </c>
      <c r="X11">
        <v>5</v>
      </c>
      <c r="Y11">
        <v>8</v>
      </c>
      <c r="Z11" s="168">
        <v>44769</v>
      </c>
      <c r="AA11">
        <v>8</v>
      </c>
      <c r="AB11" s="169" t="s">
        <v>147</v>
      </c>
      <c r="AC11">
        <v>1</v>
      </c>
      <c r="AD11">
        <v>1</v>
      </c>
      <c r="AG11" s="172" t="s">
        <v>229</v>
      </c>
      <c r="AH11" s="169">
        <v>14</v>
      </c>
      <c r="AI11" s="169">
        <v>1000260</v>
      </c>
      <c r="AJ11" s="169">
        <v>318288</v>
      </c>
      <c r="AK11" s="173">
        <v>31.357142857142858</v>
      </c>
      <c r="AL11" s="173">
        <v>66.642857142857139</v>
      </c>
      <c r="AM11" s="173">
        <v>5.9285714285714288</v>
      </c>
      <c r="AN11" s="173">
        <v>11.785714285714286</v>
      </c>
      <c r="AO11" s="173">
        <v>7.7857142857142856</v>
      </c>
    </row>
    <row r="12" spans="1:41" x14ac:dyDescent="0.25">
      <c r="F12" s="169" t="s">
        <v>210</v>
      </c>
      <c r="G12">
        <v>7</v>
      </c>
      <c r="H12" s="169" t="s">
        <v>260</v>
      </c>
      <c r="I12">
        <v>434025904</v>
      </c>
      <c r="K12" s="169" t="s">
        <v>180</v>
      </c>
      <c r="N12" s="169" t="s">
        <v>172</v>
      </c>
      <c r="P12">
        <v>32</v>
      </c>
      <c r="Q12">
        <v>0</v>
      </c>
      <c r="R12">
        <v>73520</v>
      </c>
      <c r="S12">
        <v>30528</v>
      </c>
      <c r="T12">
        <v>233</v>
      </c>
      <c r="U12">
        <v>13</v>
      </c>
      <c r="V12">
        <v>2</v>
      </c>
      <c r="W12">
        <v>20</v>
      </c>
      <c r="X12">
        <v>5</v>
      </c>
      <c r="Y12">
        <v>7</v>
      </c>
      <c r="Z12" s="168">
        <v>44769</v>
      </c>
      <c r="AA12">
        <v>5.5</v>
      </c>
      <c r="AB12" s="169" t="s">
        <v>146</v>
      </c>
      <c r="AC12">
        <v>1</v>
      </c>
      <c r="AD12">
        <v>1</v>
      </c>
    </row>
    <row r="13" spans="1:41" x14ac:dyDescent="0.25">
      <c r="F13" s="169" t="s">
        <v>261</v>
      </c>
      <c r="H13" s="169" t="s">
        <v>280</v>
      </c>
      <c r="I13">
        <v>434477424</v>
      </c>
      <c r="K13" s="169" t="s">
        <v>180</v>
      </c>
      <c r="N13" s="169" t="s">
        <v>172</v>
      </c>
      <c r="P13">
        <v>31</v>
      </c>
      <c r="Q13">
        <v>110</v>
      </c>
      <c r="R13">
        <v>72270</v>
      </c>
      <c r="S13">
        <v>11340</v>
      </c>
      <c r="T13">
        <v>83</v>
      </c>
      <c r="U13">
        <v>11</v>
      </c>
      <c r="V13">
        <v>5</v>
      </c>
      <c r="W13">
        <v>20</v>
      </c>
      <c r="X13">
        <v>5</v>
      </c>
      <c r="Y13">
        <v>8</v>
      </c>
      <c r="Z13" s="168">
        <v>44765</v>
      </c>
      <c r="AA13">
        <v>7</v>
      </c>
      <c r="AB13" s="169" t="s">
        <v>146</v>
      </c>
      <c r="AC13">
        <v>1</v>
      </c>
      <c r="AD13">
        <v>1</v>
      </c>
    </row>
    <row r="14" spans="1:41" x14ac:dyDescent="0.25">
      <c r="F14" s="169" t="s">
        <v>252</v>
      </c>
      <c r="G14">
        <v>1</v>
      </c>
      <c r="H14" s="169" t="s">
        <v>253</v>
      </c>
      <c r="I14">
        <v>431872768</v>
      </c>
      <c r="K14" s="169" t="s">
        <v>172</v>
      </c>
      <c r="N14" s="169" t="s">
        <v>172</v>
      </c>
      <c r="P14">
        <v>32</v>
      </c>
      <c r="Q14">
        <v>51</v>
      </c>
      <c r="R14">
        <v>49680</v>
      </c>
      <c r="S14">
        <v>23628</v>
      </c>
      <c r="T14">
        <v>145</v>
      </c>
      <c r="U14">
        <v>12</v>
      </c>
      <c r="V14">
        <v>5</v>
      </c>
      <c r="W14">
        <v>20</v>
      </c>
      <c r="X14">
        <v>6</v>
      </c>
      <c r="Y14">
        <v>7</v>
      </c>
      <c r="Z14" s="168">
        <v>44758</v>
      </c>
      <c r="AA14">
        <v>9</v>
      </c>
      <c r="AB14" s="169" t="s">
        <v>173</v>
      </c>
      <c r="AC14">
        <v>1</v>
      </c>
      <c r="AD14">
        <v>1</v>
      </c>
    </row>
    <row r="15" spans="1:41" x14ac:dyDescent="0.25">
      <c r="F15" s="169" t="s">
        <v>270</v>
      </c>
      <c r="G15">
        <v>14</v>
      </c>
      <c r="H15" s="169" t="s">
        <v>271</v>
      </c>
      <c r="I15">
        <v>431840182</v>
      </c>
      <c r="K15" s="169" t="s">
        <v>183</v>
      </c>
      <c r="N15" s="169" t="s">
        <v>172</v>
      </c>
      <c r="P15">
        <v>32</v>
      </c>
      <c r="Q15">
        <v>71</v>
      </c>
      <c r="R15">
        <v>49380</v>
      </c>
      <c r="S15">
        <v>10872</v>
      </c>
      <c r="T15">
        <v>207</v>
      </c>
      <c r="U15">
        <v>12</v>
      </c>
      <c r="V15">
        <v>5</v>
      </c>
      <c r="W15">
        <v>20</v>
      </c>
      <c r="X15">
        <v>8</v>
      </c>
      <c r="Y15">
        <v>8</v>
      </c>
      <c r="Z15" s="168">
        <v>44769</v>
      </c>
      <c r="AA15">
        <v>7.5</v>
      </c>
      <c r="AB15" s="169" t="s">
        <v>177</v>
      </c>
      <c r="AC15">
        <v>1</v>
      </c>
      <c r="AD15">
        <v>1</v>
      </c>
    </row>
    <row r="16" spans="1:41" x14ac:dyDescent="0.25">
      <c r="F16" s="169" t="s">
        <v>195</v>
      </c>
      <c r="G16">
        <v>5</v>
      </c>
      <c r="H16" s="169" t="s">
        <v>257</v>
      </c>
      <c r="I16">
        <v>434959598</v>
      </c>
      <c r="K16" s="169" t="s">
        <v>176</v>
      </c>
      <c r="M16">
        <v>1</v>
      </c>
      <c r="N16" s="169" t="s">
        <v>172</v>
      </c>
      <c r="P16">
        <v>31</v>
      </c>
      <c r="Q16">
        <v>62</v>
      </c>
      <c r="R16">
        <v>39700</v>
      </c>
      <c r="S16">
        <v>9972</v>
      </c>
      <c r="T16">
        <v>226</v>
      </c>
      <c r="U16">
        <v>11</v>
      </c>
      <c r="V16">
        <v>4</v>
      </c>
      <c r="W16">
        <v>20</v>
      </c>
      <c r="X16">
        <v>6</v>
      </c>
      <c r="Y16">
        <v>8</v>
      </c>
      <c r="Z16" s="168">
        <v>44765</v>
      </c>
      <c r="AA16">
        <v>7.5</v>
      </c>
      <c r="AB16" s="169" t="s">
        <v>147</v>
      </c>
      <c r="AC16">
        <v>1</v>
      </c>
      <c r="AD16">
        <v>1</v>
      </c>
    </row>
    <row r="17" spans="6:30" x14ac:dyDescent="0.25">
      <c r="F17" s="169" t="s">
        <v>174</v>
      </c>
      <c r="G17">
        <v>3</v>
      </c>
      <c r="H17" s="169" t="s">
        <v>255</v>
      </c>
      <c r="I17">
        <v>434933863</v>
      </c>
      <c r="K17" s="169" t="s">
        <v>180</v>
      </c>
      <c r="N17" s="169" t="s">
        <v>172</v>
      </c>
      <c r="P17">
        <v>32</v>
      </c>
      <c r="Q17">
        <v>75</v>
      </c>
      <c r="R17">
        <v>32750</v>
      </c>
      <c r="S17">
        <v>6300</v>
      </c>
      <c r="T17">
        <v>225</v>
      </c>
      <c r="U17">
        <v>12</v>
      </c>
      <c r="V17">
        <v>3</v>
      </c>
      <c r="W17">
        <v>20</v>
      </c>
      <c r="X17">
        <v>7</v>
      </c>
      <c r="Y17">
        <v>8</v>
      </c>
      <c r="Z17" s="168">
        <v>44769</v>
      </c>
      <c r="AA17">
        <v>5.5</v>
      </c>
      <c r="AB17" s="169" t="s">
        <v>201</v>
      </c>
      <c r="AC17">
        <v>1</v>
      </c>
      <c r="AD17">
        <v>1</v>
      </c>
    </row>
    <row r="18" spans="6:30" x14ac:dyDescent="0.25">
      <c r="F18" s="169" t="s">
        <v>174</v>
      </c>
      <c r="G18">
        <v>2</v>
      </c>
      <c r="H18" s="169" t="s">
        <v>254</v>
      </c>
      <c r="I18">
        <v>434808807</v>
      </c>
      <c r="K18" s="169" t="s">
        <v>183</v>
      </c>
      <c r="N18" s="169" t="s">
        <v>172</v>
      </c>
      <c r="P18">
        <v>32</v>
      </c>
      <c r="Q18">
        <v>0</v>
      </c>
      <c r="R18">
        <v>28210</v>
      </c>
      <c r="S18">
        <v>5520</v>
      </c>
      <c r="T18">
        <v>227</v>
      </c>
      <c r="U18">
        <v>12</v>
      </c>
      <c r="V18">
        <v>5</v>
      </c>
      <c r="W18">
        <v>20</v>
      </c>
      <c r="X18">
        <v>6</v>
      </c>
      <c r="Y18">
        <v>8</v>
      </c>
      <c r="Z18" s="168">
        <v>44769</v>
      </c>
      <c r="AA18">
        <v>5.5</v>
      </c>
      <c r="AB18" s="169" t="s">
        <v>181</v>
      </c>
      <c r="AC18">
        <v>1</v>
      </c>
      <c r="AD18">
        <v>1</v>
      </c>
    </row>
    <row r="19" spans="6:30" x14ac:dyDescent="0.25">
      <c r="F19" s="169" t="s">
        <v>186</v>
      </c>
      <c r="H19" s="169" t="s">
        <v>278</v>
      </c>
      <c r="I19">
        <v>434715103</v>
      </c>
      <c r="K19" s="169" t="s">
        <v>183</v>
      </c>
      <c r="N19" s="169" t="s">
        <v>172</v>
      </c>
      <c r="P19">
        <v>31</v>
      </c>
      <c r="Q19">
        <v>39</v>
      </c>
      <c r="R19">
        <v>22080</v>
      </c>
      <c r="S19">
        <v>3360</v>
      </c>
      <c r="T19">
        <v>105</v>
      </c>
      <c r="U19">
        <v>9</v>
      </c>
      <c r="V19">
        <v>1</v>
      </c>
      <c r="W19">
        <v>20</v>
      </c>
      <c r="X19">
        <v>5</v>
      </c>
      <c r="Y19">
        <v>7</v>
      </c>
      <c r="Z19" s="168">
        <v>44755</v>
      </c>
      <c r="AA19">
        <v>7</v>
      </c>
      <c r="AB19" s="169" t="s">
        <v>146</v>
      </c>
      <c r="AC19">
        <v>1</v>
      </c>
      <c r="AD19">
        <v>1</v>
      </c>
    </row>
    <row r="20" spans="6:30" x14ac:dyDescent="0.25">
      <c r="F20" s="169" t="s">
        <v>174</v>
      </c>
      <c r="H20" s="169" t="s">
        <v>277</v>
      </c>
      <c r="I20">
        <v>436566058</v>
      </c>
      <c r="K20" s="169" t="s">
        <v>172</v>
      </c>
      <c r="N20" s="169" t="s">
        <v>172</v>
      </c>
      <c r="P20">
        <v>31</v>
      </c>
      <c r="Q20">
        <v>4</v>
      </c>
      <c r="R20">
        <v>16340</v>
      </c>
      <c r="S20">
        <v>3370</v>
      </c>
      <c r="T20">
        <v>69</v>
      </c>
      <c r="U20">
        <v>8</v>
      </c>
      <c r="V20">
        <v>3</v>
      </c>
      <c r="W20">
        <v>20</v>
      </c>
      <c r="X20">
        <v>8</v>
      </c>
      <c r="Y20">
        <v>8</v>
      </c>
      <c r="Z20" s="168">
        <v>44765</v>
      </c>
      <c r="AA20">
        <v>6.5</v>
      </c>
      <c r="AB20" s="169" t="s">
        <v>173</v>
      </c>
      <c r="AD20">
        <v>1</v>
      </c>
    </row>
    <row r="21" spans="6:30" x14ac:dyDescent="0.25">
      <c r="F21" s="169" t="s">
        <v>268</v>
      </c>
      <c r="G21">
        <v>13</v>
      </c>
      <c r="H21" s="169" t="s">
        <v>269</v>
      </c>
      <c r="I21">
        <v>434460183</v>
      </c>
      <c r="K21" s="169" t="s">
        <v>176</v>
      </c>
      <c r="N21" s="169" t="s">
        <v>172</v>
      </c>
      <c r="P21">
        <v>31</v>
      </c>
      <c r="Q21">
        <v>92</v>
      </c>
      <c r="R21">
        <v>7000</v>
      </c>
      <c r="S21">
        <v>2016</v>
      </c>
      <c r="T21">
        <v>225</v>
      </c>
      <c r="U21">
        <v>4</v>
      </c>
      <c r="V21">
        <v>3</v>
      </c>
      <c r="W21">
        <v>20</v>
      </c>
      <c r="X21">
        <v>7</v>
      </c>
      <c r="Y21">
        <v>8</v>
      </c>
      <c r="Z21" s="168">
        <v>44769</v>
      </c>
      <c r="AA21">
        <v>5</v>
      </c>
      <c r="AB21" s="169" t="s">
        <v>147</v>
      </c>
      <c r="AD21">
        <v>1</v>
      </c>
    </row>
    <row r="22" spans="6:30" x14ac:dyDescent="0.25">
      <c r="F22" s="169" t="s">
        <v>174</v>
      </c>
      <c r="G22">
        <v>19</v>
      </c>
      <c r="H22" s="169" t="s">
        <v>272</v>
      </c>
      <c r="I22">
        <v>431959989</v>
      </c>
      <c r="K22" s="169" t="s">
        <v>183</v>
      </c>
      <c r="N22" s="169" t="s">
        <v>172</v>
      </c>
      <c r="P22">
        <v>33</v>
      </c>
      <c r="Q22">
        <v>35</v>
      </c>
      <c r="R22">
        <v>4810</v>
      </c>
      <c r="S22">
        <v>2030</v>
      </c>
      <c r="T22">
        <v>224</v>
      </c>
      <c r="U22">
        <v>7</v>
      </c>
      <c r="V22">
        <v>5</v>
      </c>
      <c r="W22">
        <v>20</v>
      </c>
      <c r="X22">
        <v>6</v>
      </c>
      <c r="Y22">
        <v>8</v>
      </c>
      <c r="Z22" s="168">
        <v>44769</v>
      </c>
      <c r="AA22">
        <v>6</v>
      </c>
      <c r="AB22" s="169" t="s">
        <v>207</v>
      </c>
      <c r="AD22">
        <v>1</v>
      </c>
    </row>
    <row r="23" spans="6:30" x14ac:dyDescent="0.25">
      <c r="F23" s="169" t="s">
        <v>261</v>
      </c>
      <c r="G23">
        <v>8</v>
      </c>
      <c r="H23" s="169" t="s">
        <v>262</v>
      </c>
      <c r="I23">
        <v>434422120</v>
      </c>
      <c r="K23" s="169" t="s">
        <v>183</v>
      </c>
      <c r="N23" s="169" t="s">
        <v>172</v>
      </c>
      <c r="P23">
        <v>31</v>
      </c>
      <c r="Q23">
        <v>98</v>
      </c>
      <c r="R23">
        <v>4100</v>
      </c>
      <c r="S23">
        <v>972</v>
      </c>
      <c r="T23">
        <v>232</v>
      </c>
      <c r="U23">
        <v>4</v>
      </c>
      <c r="V23">
        <v>5</v>
      </c>
      <c r="W23">
        <v>20</v>
      </c>
      <c r="X23">
        <v>7</v>
      </c>
      <c r="Y23">
        <v>8</v>
      </c>
      <c r="Z23" s="168">
        <v>44765</v>
      </c>
      <c r="AA23">
        <v>5</v>
      </c>
      <c r="AB23" s="169" t="s">
        <v>148</v>
      </c>
      <c r="AD23">
        <v>1</v>
      </c>
    </row>
    <row r="24" spans="6:30" x14ac:dyDescent="0.25">
      <c r="F24" s="169" t="s">
        <v>174</v>
      </c>
      <c r="H24" s="169" t="s">
        <v>279</v>
      </c>
      <c r="I24">
        <v>470798539</v>
      </c>
      <c r="K24" s="169" t="s">
        <v>172</v>
      </c>
      <c r="L24">
        <v>1</v>
      </c>
      <c r="N24" s="169" t="s">
        <v>172</v>
      </c>
      <c r="O24">
        <v>1</v>
      </c>
      <c r="P24">
        <v>17</v>
      </c>
      <c r="Q24">
        <v>102</v>
      </c>
      <c r="R24">
        <v>750</v>
      </c>
      <c r="S24">
        <v>290</v>
      </c>
      <c r="T24">
        <v>1</v>
      </c>
      <c r="U24">
        <v>2</v>
      </c>
      <c r="V24">
        <v>1</v>
      </c>
      <c r="W24">
        <v>20</v>
      </c>
      <c r="X24">
        <v>6</v>
      </c>
      <c r="Y24">
        <v>5</v>
      </c>
      <c r="Z24" s="168">
        <v>44762</v>
      </c>
      <c r="AA24">
        <v>3.5</v>
      </c>
      <c r="AB24" s="169" t="s">
        <v>181</v>
      </c>
      <c r="AD24">
        <v>1</v>
      </c>
    </row>
    <row r="25" spans="6:30" x14ac:dyDescent="0.25">
      <c r="F25" s="169" t="s">
        <v>174</v>
      </c>
      <c r="G25">
        <v>36</v>
      </c>
      <c r="H25" s="169" t="s">
        <v>273</v>
      </c>
      <c r="I25">
        <v>424198468</v>
      </c>
      <c r="K25" s="169" t="s">
        <v>176</v>
      </c>
      <c r="L25">
        <v>1</v>
      </c>
      <c r="N25" s="169" t="s">
        <v>172</v>
      </c>
      <c r="P25">
        <v>40</v>
      </c>
      <c r="Q25">
        <v>20</v>
      </c>
      <c r="R25">
        <v>0</v>
      </c>
      <c r="S25">
        <v>260</v>
      </c>
      <c r="T25">
        <v>292</v>
      </c>
      <c r="U25">
        <v>5</v>
      </c>
      <c r="V25">
        <v>4</v>
      </c>
      <c r="W25">
        <v>20</v>
      </c>
      <c r="X25">
        <v>3</v>
      </c>
      <c r="Y25">
        <v>3</v>
      </c>
      <c r="Z25" s="168">
        <v>44769</v>
      </c>
      <c r="AA25">
        <v>5</v>
      </c>
      <c r="AB25" s="169" t="s">
        <v>173</v>
      </c>
      <c r="AD25">
        <v>1</v>
      </c>
    </row>
    <row r="26" spans="6:30" x14ac:dyDescent="0.25">
      <c r="F26" s="169" t="s">
        <v>275</v>
      </c>
      <c r="H26" s="169" t="s">
        <v>276</v>
      </c>
      <c r="I26">
        <v>407065238</v>
      </c>
      <c r="J26">
        <v>1</v>
      </c>
      <c r="K26" s="169" t="s">
        <v>180</v>
      </c>
      <c r="L26">
        <v>1</v>
      </c>
      <c r="N26" s="169" t="s">
        <v>172</v>
      </c>
      <c r="P26">
        <v>43</v>
      </c>
      <c r="Q26">
        <v>18</v>
      </c>
      <c r="R26">
        <v>0</v>
      </c>
      <c r="S26">
        <v>300</v>
      </c>
      <c r="T26">
        <v>16</v>
      </c>
      <c r="U26">
        <v>1</v>
      </c>
      <c r="V26">
        <v>7</v>
      </c>
      <c r="W26">
        <v>20</v>
      </c>
      <c r="X26">
        <v>3</v>
      </c>
      <c r="Y26">
        <v>2</v>
      </c>
      <c r="Z26" s="168">
        <v>42121</v>
      </c>
      <c r="AA26">
        <v>3.5</v>
      </c>
      <c r="AB26" s="169" t="s">
        <v>146</v>
      </c>
      <c r="AD26">
        <v>1</v>
      </c>
    </row>
  </sheetData>
  <phoneticPr fontId="22" type="noConversion"/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CA76-8208-41BC-A689-8998D28EB812}">
  <sheetPr>
    <tabColor theme="9" tint="0.79998168889431442"/>
  </sheetPr>
  <dimension ref="A1:AK37"/>
  <sheetViews>
    <sheetView tabSelected="1" topLeftCell="Y1" zoomScale="90" zoomScaleNormal="90" workbookViewId="0">
      <selection activeCell="AF12" sqref="AF12"/>
    </sheetView>
  </sheetViews>
  <sheetFormatPr baseColWidth="10" defaultRowHeight="15" x14ac:dyDescent="0.25"/>
  <cols>
    <col min="1" max="1" width="15.42578125" bestFit="1" customWidth="1"/>
    <col min="2" max="2" width="8.85546875" bestFit="1" customWidth="1"/>
    <col min="3" max="3" width="22.85546875" bestFit="1" customWidth="1"/>
    <col min="4" max="4" width="15.5703125" bestFit="1" customWidth="1"/>
    <col min="5" max="5" width="6.5703125" customWidth="1"/>
    <col min="6" max="6" width="14.28515625" bestFit="1" customWidth="1"/>
    <col min="7" max="10" width="5" customWidth="1"/>
    <col min="11" max="11" width="7.5703125" bestFit="1" customWidth="1"/>
    <col min="12" max="12" width="7" bestFit="1" customWidth="1"/>
    <col min="13" max="13" width="7.7109375" bestFit="1" customWidth="1"/>
    <col min="14" max="14" width="9.28515625" bestFit="1" customWidth="1"/>
    <col min="15" max="15" width="11.5703125" customWidth="1"/>
    <col min="16" max="16" width="13.5703125" bestFit="1" customWidth="1"/>
    <col min="17" max="17" width="11.7109375" bestFit="1" customWidth="1"/>
    <col min="18" max="18" width="11.5703125" bestFit="1" customWidth="1"/>
    <col min="19" max="19" width="8.85546875" bestFit="1" customWidth="1"/>
    <col min="20" max="20" width="13.28515625" bestFit="1" customWidth="1"/>
    <col min="21" max="21" width="21.7109375" bestFit="1" customWidth="1"/>
    <col min="22" max="22" width="12.140625" customWidth="1"/>
    <col min="23" max="23" width="28.140625" bestFit="1" customWidth="1"/>
    <col min="24" max="24" width="13.5703125" bestFit="1" customWidth="1"/>
    <col min="25" max="25" width="10.42578125" bestFit="1" customWidth="1"/>
    <col min="29" max="29" width="26.7109375" bestFit="1" customWidth="1"/>
    <col min="30" max="30" width="14.28515625" bestFit="1" customWidth="1"/>
    <col min="31" max="31" width="22.42578125" bestFit="1" customWidth="1"/>
    <col min="32" max="32" width="16.7109375" bestFit="1" customWidth="1"/>
    <col min="33" max="33" width="12.5703125" bestFit="1" customWidth="1"/>
    <col min="34" max="34" width="15" bestFit="1" customWidth="1"/>
    <col min="35" max="35" width="18.5703125" bestFit="1" customWidth="1"/>
    <col min="36" max="36" width="23.42578125" bestFit="1" customWidth="1"/>
    <col min="37" max="37" width="23.140625" bestFit="1" customWidth="1"/>
  </cols>
  <sheetData>
    <row r="1" spans="1:37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225</v>
      </c>
      <c r="AD1" s="172">
        <v>1</v>
      </c>
    </row>
    <row r="2" spans="1:37" x14ac:dyDescent="0.25">
      <c r="A2" s="169" t="s">
        <v>292</v>
      </c>
      <c r="B2">
        <v>11</v>
      </c>
      <c r="C2" s="169" t="s">
        <v>293</v>
      </c>
      <c r="D2">
        <v>442222377</v>
      </c>
      <c r="F2" s="169" t="s">
        <v>183</v>
      </c>
      <c r="I2" s="169" t="s">
        <v>172</v>
      </c>
      <c r="J2" s="169" t="s">
        <v>172</v>
      </c>
      <c r="K2">
        <v>28</v>
      </c>
      <c r="L2">
        <v>11</v>
      </c>
      <c r="M2">
        <v>308240</v>
      </c>
      <c r="N2">
        <v>71364</v>
      </c>
      <c r="O2">
        <v>177</v>
      </c>
      <c r="P2">
        <v>11</v>
      </c>
      <c r="Q2">
        <v>6</v>
      </c>
      <c r="R2">
        <v>20</v>
      </c>
      <c r="S2">
        <v>8</v>
      </c>
      <c r="T2">
        <v>8</v>
      </c>
      <c r="U2" s="168">
        <v>44769</v>
      </c>
      <c r="V2">
        <v>10.5</v>
      </c>
      <c r="W2" s="169" t="s">
        <v>147</v>
      </c>
      <c r="X2">
        <v>1</v>
      </c>
      <c r="Y2">
        <v>1</v>
      </c>
      <c r="Z2" t="s">
        <v>482</v>
      </c>
      <c r="AC2" s="171" t="s">
        <v>224</v>
      </c>
      <c r="AD2" s="172">
        <v>1</v>
      </c>
    </row>
    <row r="3" spans="1:37" x14ac:dyDescent="0.25">
      <c r="A3" s="169" t="s">
        <v>292</v>
      </c>
      <c r="B3">
        <v>11</v>
      </c>
      <c r="C3" s="169" t="s">
        <v>293</v>
      </c>
      <c r="D3">
        <v>442222377</v>
      </c>
      <c r="F3" s="169" t="s">
        <v>183</v>
      </c>
      <c r="I3" s="169" t="s">
        <v>172</v>
      </c>
      <c r="J3" s="169" t="s">
        <v>172</v>
      </c>
      <c r="K3">
        <v>28</v>
      </c>
      <c r="L3">
        <v>21</v>
      </c>
      <c r="M3">
        <v>302680</v>
      </c>
      <c r="N3">
        <v>71364</v>
      </c>
      <c r="O3">
        <v>178</v>
      </c>
      <c r="P3">
        <v>11</v>
      </c>
      <c r="Q3">
        <v>6</v>
      </c>
      <c r="R3">
        <v>20</v>
      </c>
      <c r="S3">
        <v>7</v>
      </c>
      <c r="T3">
        <v>8</v>
      </c>
      <c r="U3" s="168">
        <v>44779</v>
      </c>
      <c r="V3">
        <v>10</v>
      </c>
      <c r="W3" s="169" t="s">
        <v>147</v>
      </c>
      <c r="X3">
        <v>1</v>
      </c>
      <c r="Y3">
        <v>2</v>
      </c>
      <c r="Z3" t="s">
        <v>482</v>
      </c>
    </row>
    <row r="4" spans="1:37" x14ac:dyDescent="0.25">
      <c r="A4" s="169" t="s">
        <v>265</v>
      </c>
      <c r="B4">
        <v>10</v>
      </c>
      <c r="C4" s="169" t="s">
        <v>291</v>
      </c>
      <c r="D4">
        <v>441405607</v>
      </c>
      <c r="F4" s="169" t="s">
        <v>183</v>
      </c>
      <c r="H4">
        <v>1</v>
      </c>
      <c r="I4" s="169" t="s">
        <v>172</v>
      </c>
      <c r="J4" s="169" t="s">
        <v>172</v>
      </c>
      <c r="K4">
        <v>28</v>
      </c>
      <c r="L4">
        <v>59</v>
      </c>
      <c r="M4">
        <v>295170</v>
      </c>
      <c r="N4">
        <v>64608</v>
      </c>
      <c r="O4">
        <v>183</v>
      </c>
      <c r="P4">
        <v>14</v>
      </c>
      <c r="Q4">
        <v>2</v>
      </c>
      <c r="R4">
        <v>20</v>
      </c>
      <c r="S4">
        <v>6</v>
      </c>
      <c r="T4">
        <v>8</v>
      </c>
      <c r="U4" s="168">
        <v>44779</v>
      </c>
      <c r="V4">
        <v>9</v>
      </c>
      <c r="W4" s="169" t="s">
        <v>147</v>
      </c>
      <c r="X4">
        <v>1</v>
      </c>
      <c r="Y4">
        <v>2</v>
      </c>
      <c r="Z4" t="s">
        <v>482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</row>
    <row r="5" spans="1:37" x14ac:dyDescent="0.25">
      <c r="A5" s="169" t="s">
        <v>265</v>
      </c>
      <c r="B5">
        <v>10</v>
      </c>
      <c r="C5" s="169" t="s">
        <v>291</v>
      </c>
      <c r="D5">
        <v>441405607</v>
      </c>
      <c r="F5" s="169" t="s">
        <v>183</v>
      </c>
      <c r="I5" s="169" t="s">
        <v>172</v>
      </c>
      <c r="J5" s="169" t="s">
        <v>172</v>
      </c>
      <c r="K5">
        <v>28</v>
      </c>
      <c r="L5">
        <v>49</v>
      </c>
      <c r="M5">
        <v>294780</v>
      </c>
      <c r="N5">
        <v>64608</v>
      </c>
      <c r="O5">
        <v>182</v>
      </c>
      <c r="P5">
        <v>14</v>
      </c>
      <c r="Q5">
        <v>2</v>
      </c>
      <c r="R5">
        <v>20</v>
      </c>
      <c r="S5">
        <v>6</v>
      </c>
      <c r="T5">
        <v>8</v>
      </c>
      <c r="U5" s="168">
        <v>44769</v>
      </c>
      <c r="V5">
        <v>7.5</v>
      </c>
      <c r="W5" s="169" t="s">
        <v>147</v>
      </c>
      <c r="X5">
        <v>1</v>
      </c>
      <c r="Y5">
        <v>1</v>
      </c>
      <c r="Z5" t="s">
        <v>482</v>
      </c>
      <c r="AC5" s="172"/>
      <c r="AD5" s="169">
        <v>4</v>
      </c>
      <c r="AE5" s="173">
        <v>31</v>
      </c>
      <c r="AF5" s="173">
        <v>43.75</v>
      </c>
      <c r="AG5" s="173">
        <v>310980</v>
      </c>
      <c r="AH5" s="173">
        <v>123276</v>
      </c>
      <c r="AI5" s="173">
        <v>6.5</v>
      </c>
      <c r="AJ5" s="173">
        <v>10</v>
      </c>
      <c r="AK5" s="173">
        <v>6.75</v>
      </c>
    </row>
    <row r="6" spans="1:37" x14ac:dyDescent="0.25">
      <c r="A6" s="169" t="s">
        <v>287</v>
      </c>
      <c r="B6">
        <v>5</v>
      </c>
      <c r="C6" s="169" t="s">
        <v>288</v>
      </c>
      <c r="D6">
        <v>442176787</v>
      </c>
      <c r="F6" s="169" t="s">
        <v>183</v>
      </c>
      <c r="I6" s="169" t="s">
        <v>172</v>
      </c>
      <c r="J6" s="169" t="s">
        <v>172</v>
      </c>
      <c r="K6">
        <v>28</v>
      </c>
      <c r="L6">
        <v>57</v>
      </c>
      <c r="M6">
        <v>284910</v>
      </c>
      <c r="N6">
        <v>50352</v>
      </c>
      <c r="O6">
        <v>177</v>
      </c>
      <c r="P6">
        <v>9</v>
      </c>
      <c r="Q6">
        <v>4</v>
      </c>
      <c r="R6">
        <v>20</v>
      </c>
      <c r="S6">
        <v>8</v>
      </c>
      <c r="T6">
        <v>8</v>
      </c>
      <c r="U6" s="168">
        <v>44769</v>
      </c>
      <c r="V6">
        <v>7</v>
      </c>
      <c r="W6" s="169" t="s">
        <v>148</v>
      </c>
      <c r="X6">
        <v>1</v>
      </c>
      <c r="Y6">
        <v>1</v>
      </c>
      <c r="Z6" t="s">
        <v>482</v>
      </c>
      <c r="AC6" s="172" t="s">
        <v>183</v>
      </c>
      <c r="AD6" s="169">
        <v>7</v>
      </c>
      <c r="AE6" s="173">
        <v>28.285714285714285</v>
      </c>
      <c r="AF6" s="173">
        <v>46.285714285714285</v>
      </c>
      <c r="AG6" s="173">
        <v>1738420</v>
      </c>
      <c r="AH6" s="173">
        <v>371494</v>
      </c>
      <c r="AI6" s="173">
        <v>6.8571428571428568</v>
      </c>
      <c r="AJ6" s="173">
        <v>10.714285714285714</v>
      </c>
      <c r="AK6" s="173">
        <v>7.8571428571428568</v>
      </c>
    </row>
    <row r="7" spans="1:37" x14ac:dyDescent="0.25">
      <c r="A7" s="169" t="s">
        <v>174</v>
      </c>
      <c r="B7">
        <v>8</v>
      </c>
      <c r="C7" s="169" t="s">
        <v>290</v>
      </c>
      <c r="D7">
        <v>442222936</v>
      </c>
      <c r="F7" s="169" t="s">
        <v>183</v>
      </c>
      <c r="I7" s="169" t="s">
        <v>172</v>
      </c>
      <c r="J7" s="169" t="s">
        <v>172</v>
      </c>
      <c r="K7">
        <v>28</v>
      </c>
      <c r="L7">
        <v>21</v>
      </c>
      <c r="M7">
        <v>273360</v>
      </c>
      <c r="N7">
        <v>61170</v>
      </c>
      <c r="O7">
        <v>178</v>
      </c>
      <c r="P7">
        <v>11</v>
      </c>
      <c r="Q7">
        <v>7</v>
      </c>
      <c r="R7">
        <v>20</v>
      </c>
      <c r="S7">
        <v>6</v>
      </c>
      <c r="T7">
        <v>8</v>
      </c>
      <c r="U7" s="168">
        <v>44779</v>
      </c>
      <c r="V7">
        <v>9</v>
      </c>
      <c r="W7" s="169" t="s">
        <v>147</v>
      </c>
      <c r="X7">
        <v>1</v>
      </c>
      <c r="Y7">
        <v>2</v>
      </c>
      <c r="Z7" t="s">
        <v>482</v>
      </c>
      <c r="AC7" s="172" t="s">
        <v>176</v>
      </c>
      <c r="AD7" s="169">
        <v>1</v>
      </c>
      <c r="AE7" s="173">
        <v>31</v>
      </c>
      <c r="AF7" s="173">
        <v>23</v>
      </c>
      <c r="AG7" s="173">
        <v>88360</v>
      </c>
      <c r="AH7" s="173">
        <v>33036</v>
      </c>
      <c r="AI7" s="173">
        <v>7</v>
      </c>
      <c r="AJ7" s="173">
        <v>11</v>
      </c>
      <c r="AK7" s="173">
        <v>7</v>
      </c>
    </row>
    <row r="8" spans="1:37" x14ac:dyDescent="0.25">
      <c r="A8" s="169" t="s">
        <v>186</v>
      </c>
      <c r="B8">
        <v>4</v>
      </c>
      <c r="C8" s="169" t="s">
        <v>286</v>
      </c>
      <c r="D8">
        <v>441501946</v>
      </c>
      <c r="F8" s="169" t="s">
        <v>183</v>
      </c>
      <c r="I8" s="169" t="s">
        <v>172</v>
      </c>
      <c r="J8" s="169" t="s">
        <v>172</v>
      </c>
      <c r="K8">
        <v>28</v>
      </c>
      <c r="L8">
        <v>54</v>
      </c>
      <c r="M8">
        <v>272510</v>
      </c>
      <c r="N8">
        <v>51240</v>
      </c>
      <c r="O8">
        <v>178</v>
      </c>
      <c r="P8">
        <v>10</v>
      </c>
      <c r="Q8">
        <v>5</v>
      </c>
      <c r="R8">
        <v>20</v>
      </c>
      <c r="S8">
        <v>7</v>
      </c>
      <c r="T8">
        <v>8</v>
      </c>
      <c r="U8" s="168">
        <v>44779</v>
      </c>
      <c r="V8">
        <v>8</v>
      </c>
      <c r="W8" s="169" t="s">
        <v>146</v>
      </c>
      <c r="X8">
        <v>1</v>
      </c>
      <c r="Y8">
        <v>2</v>
      </c>
      <c r="Z8" t="s">
        <v>482</v>
      </c>
      <c r="AC8" s="172" t="s">
        <v>229</v>
      </c>
      <c r="AD8" s="169">
        <v>12</v>
      </c>
      <c r="AE8" s="173">
        <v>29.416666666666668</v>
      </c>
      <c r="AF8" s="173">
        <v>43.5</v>
      </c>
      <c r="AG8" s="173">
        <v>2137760</v>
      </c>
      <c r="AH8" s="173">
        <v>527806</v>
      </c>
      <c r="AI8" s="173">
        <v>6.75</v>
      </c>
      <c r="AJ8" s="173">
        <v>10.5</v>
      </c>
      <c r="AK8" s="173">
        <v>7.416666666666667</v>
      </c>
    </row>
    <row r="9" spans="1:37" x14ac:dyDescent="0.25">
      <c r="A9" s="169" t="s">
        <v>287</v>
      </c>
      <c r="B9">
        <v>5</v>
      </c>
      <c r="C9" s="169" t="s">
        <v>288</v>
      </c>
      <c r="D9">
        <v>442176787</v>
      </c>
      <c r="F9" s="169" t="s">
        <v>183</v>
      </c>
      <c r="I9" s="169" t="s">
        <v>172</v>
      </c>
      <c r="J9" s="169" t="s">
        <v>172</v>
      </c>
      <c r="K9">
        <v>28</v>
      </c>
      <c r="L9">
        <v>67</v>
      </c>
      <c r="M9">
        <v>271890</v>
      </c>
      <c r="N9">
        <v>50352</v>
      </c>
      <c r="O9">
        <v>178</v>
      </c>
      <c r="P9">
        <v>9</v>
      </c>
      <c r="Q9">
        <v>4</v>
      </c>
      <c r="R9">
        <v>20</v>
      </c>
      <c r="S9">
        <v>7</v>
      </c>
      <c r="T9">
        <v>8</v>
      </c>
      <c r="U9" s="168">
        <v>44779</v>
      </c>
      <c r="V9">
        <v>7</v>
      </c>
      <c r="W9" s="169" t="s">
        <v>207</v>
      </c>
      <c r="X9">
        <v>1</v>
      </c>
      <c r="Y9">
        <v>2</v>
      </c>
      <c r="Z9" t="s">
        <v>482</v>
      </c>
    </row>
    <row r="10" spans="1:37" x14ac:dyDescent="0.25">
      <c r="A10" s="169" t="s">
        <v>186</v>
      </c>
      <c r="B10">
        <v>4</v>
      </c>
      <c r="C10" s="169" t="s">
        <v>286</v>
      </c>
      <c r="D10">
        <v>441501946</v>
      </c>
      <c r="F10" s="169" t="s">
        <v>183</v>
      </c>
      <c r="I10" s="169" t="s">
        <v>172</v>
      </c>
      <c r="J10" s="169" t="s">
        <v>172</v>
      </c>
      <c r="K10">
        <v>28</v>
      </c>
      <c r="L10">
        <v>44</v>
      </c>
      <c r="M10">
        <v>259970</v>
      </c>
      <c r="N10">
        <v>51240</v>
      </c>
      <c r="O10">
        <v>177</v>
      </c>
      <c r="P10">
        <v>10</v>
      </c>
      <c r="Q10">
        <v>5</v>
      </c>
      <c r="R10">
        <v>20</v>
      </c>
      <c r="S10">
        <v>7</v>
      </c>
      <c r="T10">
        <v>8</v>
      </c>
      <c r="U10" s="168">
        <v>44769</v>
      </c>
      <c r="V10">
        <v>7</v>
      </c>
      <c r="W10" s="169" t="s">
        <v>148</v>
      </c>
      <c r="X10">
        <v>1</v>
      </c>
      <c r="Y10">
        <v>1</v>
      </c>
      <c r="Z10" t="s">
        <v>482</v>
      </c>
    </row>
    <row r="11" spans="1:37" x14ac:dyDescent="0.25">
      <c r="A11" s="169" t="s">
        <v>174</v>
      </c>
      <c r="B11">
        <v>8</v>
      </c>
      <c r="C11" s="169" t="s">
        <v>290</v>
      </c>
      <c r="D11">
        <v>442222936</v>
      </c>
      <c r="F11" s="169" t="s">
        <v>183</v>
      </c>
      <c r="I11" s="169" t="s">
        <v>172</v>
      </c>
      <c r="J11" s="169" t="s">
        <v>172</v>
      </c>
      <c r="K11">
        <v>28</v>
      </c>
      <c r="L11">
        <v>11</v>
      </c>
      <c r="M11">
        <v>245390</v>
      </c>
      <c r="N11">
        <v>61170</v>
      </c>
      <c r="O11">
        <v>177</v>
      </c>
      <c r="P11">
        <v>11</v>
      </c>
      <c r="Q11">
        <v>7</v>
      </c>
      <c r="R11">
        <v>20</v>
      </c>
      <c r="S11">
        <v>5</v>
      </c>
      <c r="T11">
        <v>8</v>
      </c>
      <c r="U11" s="168">
        <v>44769</v>
      </c>
      <c r="V11">
        <v>8.5</v>
      </c>
      <c r="W11" s="169" t="s">
        <v>147</v>
      </c>
      <c r="X11">
        <v>1</v>
      </c>
      <c r="Y11">
        <v>1</v>
      </c>
      <c r="Z11" t="s">
        <v>482</v>
      </c>
    </row>
    <row r="12" spans="1:37" x14ac:dyDescent="0.25">
      <c r="A12" s="169" t="s">
        <v>174</v>
      </c>
      <c r="B12">
        <v>6</v>
      </c>
      <c r="C12" s="169" t="s">
        <v>289</v>
      </c>
      <c r="D12">
        <v>441463617</v>
      </c>
      <c r="F12" s="169" t="s">
        <v>183</v>
      </c>
      <c r="I12" s="169" t="s">
        <v>172</v>
      </c>
      <c r="J12" s="169" t="s">
        <v>172</v>
      </c>
      <c r="K12">
        <v>28</v>
      </c>
      <c r="L12">
        <v>46</v>
      </c>
      <c r="M12">
        <v>235780</v>
      </c>
      <c r="N12">
        <v>37660</v>
      </c>
      <c r="O12">
        <v>182</v>
      </c>
      <c r="P12">
        <v>9</v>
      </c>
      <c r="Q12">
        <v>5</v>
      </c>
      <c r="R12">
        <v>20</v>
      </c>
      <c r="S12">
        <v>8</v>
      </c>
      <c r="T12">
        <v>8</v>
      </c>
      <c r="U12" s="168">
        <v>44769</v>
      </c>
      <c r="V12">
        <v>6.5</v>
      </c>
      <c r="W12" s="169" t="s">
        <v>148</v>
      </c>
      <c r="X12">
        <v>1</v>
      </c>
      <c r="Y12">
        <v>1</v>
      </c>
      <c r="Z12" t="s">
        <v>482</v>
      </c>
    </row>
    <row r="13" spans="1:37" x14ac:dyDescent="0.25">
      <c r="A13" s="169" t="s">
        <v>174</v>
      </c>
      <c r="B13">
        <v>6</v>
      </c>
      <c r="C13" s="169" t="s">
        <v>289</v>
      </c>
      <c r="D13">
        <v>441463617</v>
      </c>
      <c r="F13" s="169" t="s">
        <v>183</v>
      </c>
      <c r="I13" s="169" t="s">
        <v>172</v>
      </c>
      <c r="J13" s="169" t="s">
        <v>172</v>
      </c>
      <c r="K13">
        <v>28</v>
      </c>
      <c r="L13">
        <v>56</v>
      </c>
      <c r="M13">
        <v>218520</v>
      </c>
      <c r="N13">
        <v>37660</v>
      </c>
      <c r="O13">
        <v>183</v>
      </c>
      <c r="P13">
        <v>9</v>
      </c>
      <c r="Q13">
        <v>5</v>
      </c>
      <c r="R13">
        <v>20</v>
      </c>
      <c r="S13">
        <v>6</v>
      </c>
      <c r="T13">
        <v>8</v>
      </c>
      <c r="U13" s="168">
        <v>44779</v>
      </c>
      <c r="V13">
        <v>8</v>
      </c>
      <c r="W13" s="169" t="s">
        <v>146</v>
      </c>
      <c r="X13">
        <v>1</v>
      </c>
      <c r="Y13">
        <v>2</v>
      </c>
      <c r="Z13" t="s">
        <v>482</v>
      </c>
    </row>
    <row r="14" spans="1:37" x14ac:dyDescent="0.25">
      <c r="A14" s="169" t="s">
        <v>306</v>
      </c>
      <c r="C14" s="169" t="s">
        <v>307</v>
      </c>
      <c r="D14">
        <v>436089834</v>
      </c>
      <c r="F14" s="169" t="s">
        <v>183</v>
      </c>
      <c r="I14" s="169" t="s">
        <v>172</v>
      </c>
      <c r="J14" s="169" t="s">
        <v>172</v>
      </c>
      <c r="K14">
        <v>30</v>
      </c>
      <c r="L14">
        <v>106</v>
      </c>
      <c r="M14">
        <v>109350</v>
      </c>
      <c r="N14">
        <v>35100</v>
      </c>
      <c r="O14">
        <v>67</v>
      </c>
      <c r="P14">
        <v>11</v>
      </c>
      <c r="Q14">
        <v>3</v>
      </c>
      <c r="R14">
        <v>20</v>
      </c>
      <c r="S14">
        <v>6</v>
      </c>
      <c r="T14">
        <v>7</v>
      </c>
      <c r="U14" s="168">
        <v>44769</v>
      </c>
      <c r="V14">
        <v>7</v>
      </c>
      <c r="W14" s="169" t="s">
        <v>181</v>
      </c>
      <c r="X14">
        <v>1</v>
      </c>
      <c r="Y14">
        <v>1</v>
      </c>
      <c r="Z14" t="s">
        <v>482</v>
      </c>
      <c r="AC14" s="171" t="s">
        <v>224</v>
      </c>
      <c r="AD14" s="172">
        <v>1</v>
      </c>
    </row>
    <row r="15" spans="1:37" x14ac:dyDescent="0.25">
      <c r="A15" s="169" t="s">
        <v>309</v>
      </c>
      <c r="C15" s="169" t="s">
        <v>310</v>
      </c>
      <c r="D15">
        <v>435449364</v>
      </c>
      <c r="F15" s="169" t="s">
        <v>172</v>
      </c>
      <c r="I15" s="169" t="s">
        <v>172</v>
      </c>
      <c r="J15" s="169" t="s">
        <v>172</v>
      </c>
      <c r="K15">
        <v>31</v>
      </c>
      <c r="L15">
        <v>16</v>
      </c>
      <c r="M15">
        <v>97050</v>
      </c>
      <c r="N15">
        <v>38052</v>
      </c>
      <c r="O15">
        <v>68</v>
      </c>
      <c r="P15">
        <v>11</v>
      </c>
      <c r="Q15">
        <v>5</v>
      </c>
      <c r="R15">
        <v>20</v>
      </c>
      <c r="S15">
        <v>7</v>
      </c>
      <c r="T15">
        <v>7</v>
      </c>
      <c r="U15" s="168">
        <v>44779</v>
      </c>
      <c r="V15">
        <v>6.5</v>
      </c>
      <c r="W15" s="169" t="s">
        <v>146</v>
      </c>
      <c r="X15">
        <v>1</v>
      </c>
      <c r="Y15">
        <v>2</v>
      </c>
      <c r="Z15" t="s">
        <v>482</v>
      </c>
    </row>
    <row r="16" spans="1:37" x14ac:dyDescent="0.25">
      <c r="A16" s="169" t="s">
        <v>309</v>
      </c>
      <c r="C16" s="169" t="s">
        <v>310</v>
      </c>
      <c r="D16">
        <v>435449364</v>
      </c>
      <c r="F16" s="169" t="s">
        <v>172</v>
      </c>
      <c r="I16" s="169" t="s">
        <v>172</v>
      </c>
      <c r="J16" s="169" t="s">
        <v>172</v>
      </c>
      <c r="K16">
        <v>31</v>
      </c>
      <c r="L16">
        <v>6</v>
      </c>
      <c r="M16">
        <v>95930</v>
      </c>
      <c r="N16">
        <v>38052</v>
      </c>
      <c r="O16">
        <v>67</v>
      </c>
      <c r="P16">
        <v>11</v>
      </c>
      <c r="Q16">
        <v>5</v>
      </c>
      <c r="R16">
        <v>20</v>
      </c>
      <c r="S16">
        <v>7</v>
      </c>
      <c r="T16">
        <v>7</v>
      </c>
      <c r="U16" s="168">
        <v>44769</v>
      </c>
      <c r="V16">
        <v>7</v>
      </c>
      <c r="W16" s="169" t="s">
        <v>201</v>
      </c>
      <c r="X16">
        <v>1</v>
      </c>
      <c r="Y16">
        <v>1</v>
      </c>
      <c r="Z16" t="s">
        <v>482</v>
      </c>
      <c r="AC16" s="171" t="s">
        <v>468</v>
      </c>
      <c r="AE16" s="171" t="s">
        <v>239</v>
      </c>
    </row>
    <row r="17" spans="1:33" x14ac:dyDescent="0.25">
      <c r="A17" s="169" t="s">
        <v>304</v>
      </c>
      <c r="C17" s="169" t="s">
        <v>305</v>
      </c>
      <c r="D17">
        <v>435688371</v>
      </c>
      <c r="F17" s="169" t="s">
        <v>176</v>
      </c>
      <c r="I17" s="169" t="s">
        <v>172</v>
      </c>
      <c r="J17" s="169" t="s">
        <v>172</v>
      </c>
      <c r="K17">
        <v>31</v>
      </c>
      <c r="L17">
        <v>33</v>
      </c>
      <c r="M17">
        <v>89310</v>
      </c>
      <c r="N17">
        <v>33036</v>
      </c>
      <c r="O17">
        <v>68</v>
      </c>
      <c r="P17">
        <v>11</v>
      </c>
      <c r="Q17">
        <v>2</v>
      </c>
      <c r="R17">
        <v>20</v>
      </c>
      <c r="S17">
        <v>7</v>
      </c>
      <c r="T17">
        <v>7</v>
      </c>
      <c r="U17" s="168">
        <v>44779</v>
      </c>
      <c r="V17">
        <v>6.5</v>
      </c>
      <c r="W17" s="169" t="s">
        <v>181</v>
      </c>
      <c r="X17">
        <v>1</v>
      </c>
      <c r="Y17">
        <v>2</v>
      </c>
      <c r="Z17" t="s">
        <v>482</v>
      </c>
      <c r="AC17" s="171" t="s">
        <v>228</v>
      </c>
      <c r="AD17" s="171" t="s">
        <v>153</v>
      </c>
      <c r="AE17">
        <v>1</v>
      </c>
      <c r="AF17">
        <v>2</v>
      </c>
      <c r="AG17" t="s">
        <v>229</v>
      </c>
    </row>
    <row r="18" spans="1:33" x14ac:dyDescent="0.25">
      <c r="A18" s="169" t="s">
        <v>304</v>
      </c>
      <c r="C18" s="169" t="s">
        <v>305</v>
      </c>
      <c r="D18">
        <v>435688371</v>
      </c>
      <c r="F18" s="169" t="s">
        <v>176</v>
      </c>
      <c r="I18" s="169" t="s">
        <v>172</v>
      </c>
      <c r="J18" s="169" t="s">
        <v>172</v>
      </c>
      <c r="K18">
        <v>31</v>
      </c>
      <c r="L18">
        <v>23</v>
      </c>
      <c r="M18">
        <v>88360</v>
      </c>
      <c r="N18">
        <v>33036</v>
      </c>
      <c r="O18">
        <v>67</v>
      </c>
      <c r="P18">
        <v>11</v>
      </c>
      <c r="Q18">
        <v>2</v>
      </c>
      <c r="R18">
        <v>20</v>
      </c>
      <c r="S18">
        <v>7</v>
      </c>
      <c r="T18">
        <v>7</v>
      </c>
      <c r="U18" s="168">
        <v>44769</v>
      </c>
      <c r="V18">
        <v>6.5</v>
      </c>
      <c r="W18" s="169" t="s">
        <v>146</v>
      </c>
      <c r="X18">
        <v>1</v>
      </c>
      <c r="Y18">
        <v>1</v>
      </c>
      <c r="Z18" t="s">
        <v>482</v>
      </c>
      <c r="AC18" s="172" t="s">
        <v>482</v>
      </c>
      <c r="AE18" s="169">
        <v>75</v>
      </c>
      <c r="AF18" s="169">
        <v>73</v>
      </c>
      <c r="AG18" s="169">
        <v>148</v>
      </c>
    </row>
    <row r="19" spans="1:33" x14ac:dyDescent="0.25">
      <c r="A19" s="169" t="s">
        <v>306</v>
      </c>
      <c r="C19" s="169" t="s">
        <v>307</v>
      </c>
      <c r="D19">
        <v>436089834</v>
      </c>
      <c r="F19" s="169" t="s">
        <v>183</v>
      </c>
      <c r="I19" s="169" t="s">
        <v>172</v>
      </c>
      <c r="J19" s="169" t="s">
        <v>172</v>
      </c>
      <c r="K19">
        <v>31</v>
      </c>
      <c r="L19">
        <v>4</v>
      </c>
      <c r="M19">
        <v>86450</v>
      </c>
      <c r="N19">
        <v>33984</v>
      </c>
      <c r="O19">
        <v>68</v>
      </c>
      <c r="P19">
        <v>11</v>
      </c>
      <c r="Q19">
        <v>3</v>
      </c>
      <c r="R19">
        <v>20</v>
      </c>
      <c r="S19">
        <v>6</v>
      </c>
      <c r="T19">
        <v>7</v>
      </c>
      <c r="U19" s="168">
        <v>44779</v>
      </c>
      <c r="V19">
        <v>7</v>
      </c>
      <c r="W19" s="169" t="s">
        <v>201</v>
      </c>
      <c r="X19">
        <v>1</v>
      </c>
      <c r="Y19">
        <v>2</v>
      </c>
      <c r="Z19" t="s">
        <v>482</v>
      </c>
      <c r="AC19" s="182" t="s">
        <v>290</v>
      </c>
      <c r="AD19" s="172" t="s">
        <v>183</v>
      </c>
      <c r="AE19" s="169">
        <v>5</v>
      </c>
      <c r="AF19" s="169">
        <v>6</v>
      </c>
      <c r="AG19" s="169">
        <v>11</v>
      </c>
    </row>
    <row r="20" spans="1:33" x14ac:dyDescent="0.25">
      <c r="A20" s="169" t="s">
        <v>190</v>
      </c>
      <c r="C20" s="169" t="s">
        <v>303</v>
      </c>
      <c r="D20">
        <v>438527029</v>
      </c>
      <c r="F20" s="169" t="s">
        <v>172</v>
      </c>
      <c r="I20" s="169" t="s">
        <v>172</v>
      </c>
      <c r="J20" s="169" t="s">
        <v>172</v>
      </c>
      <c r="K20">
        <v>30</v>
      </c>
      <c r="L20">
        <v>40</v>
      </c>
      <c r="M20">
        <v>86400</v>
      </c>
      <c r="N20">
        <v>34080</v>
      </c>
      <c r="O20">
        <v>46</v>
      </c>
      <c r="P20">
        <v>7</v>
      </c>
      <c r="Q20">
        <v>6</v>
      </c>
      <c r="R20">
        <v>19</v>
      </c>
      <c r="S20">
        <v>6</v>
      </c>
      <c r="T20">
        <v>7</v>
      </c>
      <c r="U20" s="168">
        <v>44769</v>
      </c>
      <c r="V20">
        <v>8.5</v>
      </c>
      <c r="W20" s="169" t="s">
        <v>173</v>
      </c>
      <c r="X20">
        <v>1</v>
      </c>
      <c r="Y20">
        <v>1</v>
      </c>
      <c r="Z20" t="s">
        <v>173</v>
      </c>
      <c r="AC20" s="182" t="s">
        <v>288</v>
      </c>
      <c r="AD20" s="172" t="s">
        <v>183</v>
      </c>
      <c r="AE20" s="169">
        <v>8</v>
      </c>
      <c r="AF20" s="169">
        <v>7</v>
      </c>
      <c r="AG20" s="169">
        <v>15</v>
      </c>
    </row>
    <row r="21" spans="1:33" x14ac:dyDescent="0.25">
      <c r="A21" s="169" t="s">
        <v>190</v>
      </c>
      <c r="C21" s="169" t="s">
        <v>303</v>
      </c>
      <c r="D21">
        <v>438527029</v>
      </c>
      <c r="F21" s="169" t="s">
        <v>172</v>
      </c>
      <c r="H21">
        <v>1</v>
      </c>
      <c r="I21" s="169" t="s">
        <v>172</v>
      </c>
      <c r="J21" s="169" t="s">
        <v>172</v>
      </c>
      <c r="K21">
        <v>30</v>
      </c>
      <c r="L21">
        <v>50</v>
      </c>
      <c r="M21">
        <v>82670</v>
      </c>
      <c r="N21">
        <v>34080</v>
      </c>
      <c r="O21">
        <v>47</v>
      </c>
      <c r="P21">
        <v>7</v>
      </c>
      <c r="Q21">
        <v>6</v>
      </c>
      <c r="R21">
        <v>19</v>
      </c>
      <c r="S21">
        <v>6</v>
      </c>
      <c r="T21">
        <v>7</v>
      </c>
      <c r="U21" s="168">
        <v>44779</v>
      </c>
      <c r="V21">
        <v>8</v>
      </c>
      <c r="W21" s="169" t="s">
        <v>173</v>
      </c>
      <c r="X21">
        <v>1</v>
      </c>
      <c r="Y21">
        <v>2</v>
      </c>
      <c r="Z21" t="s">
        <v>173</v>
      </c>
      <c r="AC21" s="182" t="s">
        <v>293</v>
      </c>
      <c r="AD21" s="172" t="s">
        <v>183</v>
      </c>
      <c r="AE21" s="169">
        <v>8</v>
      </c>
      <c r="AF21" s="169">
        <v>7</v>
      </c>
      <c r="AG21" s="169">
        <v>15</v>
      </c>
    </row>
    <row r="22" spans="1:33" x14ac:dyDescent="0.25">
      <c r="A22" s="169" t="s">
        <v>299</v>
      </c>
      <c r="C22" s="169" t="s">
        <v>300</v>
      </c>
      <c r="D22">
        <v>431224460</v>
      </c>
      <c r="F22" s="169" t="s">
        <v>172</v>
      </c>
      <c r="I22" s="169" t="s">
        <v>172</v>
      </c>
      <c r="J22" s="169" t="s">
        <v>172</v>
      </c>
      <c r="K22">
        <v>32</v>
      </c>
      <c r="L22">
        <v>107</v>
      </c>
      <c r="M22">
        <v>67700</v>
      </c>
      <c r="N22">
        <v>26796</v>
      </c>
      <c r="O22">
        <v>17</v>
      </c>
      <c r="P22">
        <v>11</v>
      </c>
      <c r="Q22">
        <v>3</v>
      </c>
      <c r="R22">
        <v>12</v>
      </c>
      <c r="S22">
        <v>7</v>
      </c>
      <c r="T22">
        <v>6</v>
      </c>
      <c r="U22" s="168">
        <v>44765</v>
      </c>
      <c r="V22">
        <v>8</v>
      </c>
      <c r="W22" s="169" t="s">
        <v>147</v>
      </c>
      <c r="X22">
        <v>1</v>
      </c>
      <c r="Y22">
        <v>1</v>
      </c>
      <c r="Z22" t="s">
        <v>482</v>
      </c>
      <c r="AC22" s="182" t="s">
        <v>298</v>
      </c>
      <c r="AD22" s="172"/>
      <c r="AE22" s="169">
        <v>6</v>
      </c>
      <c r="AF22" s="169">
        <v>6</v>
      </c>
      <c r="AG22" s="169">
        <v>12</v>
      </c>
    </row>
    <row r="23" spans="1:33" x14ac:dyDescent="0.25">
      <c r="A23" s="169" t="s">
        <v>268</v>
      </c>
      <c r="C23" s="169" t="s">
        <v>298</v>
      </c>
      <c r="D23">
        <v>434933625</v>
      </c>
      <c r="F23" s="169" t="s">
        <v>172</v>
      </c>
      <c r="I23" s="169" t="s">
        <v>172</v>
      </c>
      <c r="J23" s="169" t="s">
        <v>172</v>
      </c>
      <c r="K23">
        <v>31</v>
      </c>
      <c r="L23">
        <v>32</v>
      </c>
      <c r="M23">
        <v>63030</v>
      </c>
      <c r="N23">
        <v>24348</v>
      </c>
      <c r="O23">
        <v>68</v>
      </c>
      <c r="P23">
        <v>11</v>
      </c>
      <c r="Q23">
        <v>3</v>
      </c>
      <c r="R23">
        <v>20</v>
      </c>
      <c r="S23">
        <v>6</v>
      </c>
      <c r="T23">
        <v>7</v>
      </c>
      <c r="U23" s="168">
        <v>44779</v>
      </c>
      <c r="V23">
        <v>7.5</v>
      </c>
      <c r="W23" s="169" t="s">
        <v>177</v>
      </c>
      <c r="X23">
        <v>1</v>
      </c>
      <c r="Y23">
        <v>2</v>
      </c>
      <c r="Z23" t="s">
        <v>482</v>
      </c>
      <c r="AC23" s="182" t="s">
        <v>300</v>
      </c>
      <c r="AD23" s="172"/>
      <c r="AE23" s="169">
        <v>7</v>
      </c>
      <c r="AF23" s="169">
        <v>8</v>
      </c>
      <c r="AG23" s="169">
        <v>15</v>
      </c>
    </row>
    <row r="24" spans="1:33" x14ac:dyDescent="0.25">
      <c r="A24" s="169" t="s">
        <v>268</v>
      </c>
      <c r="C24" s="169" t="s">
        <v>298</v>
      </c>
      <c r="D24">
        <v>434933625</v>
      </c>
      <c r="F24" s="169" t="s">
        <v>172</v>
      </c>
      <c r="I24" s="169" t="s">
        <v>172</v>
      </c>
      <c r="J24" s="169" t="s">
        <v>172</v>
      </c>
      <c r="K24">
        <v>31</v>
      </c>
      <c r="L24">
        <v>22</v>
      </c>
      <c r="M24">
        <v>60950</v>
      </c>
      <c r="N24">
        <v>24348</v>
      </c>
      <c r="O24">
        <v>66</v>
      </c>
      <c r="P24">
        <v>11</v>
      </c>
      <c r="Q24">
        <v>3</v>
      </c>
      <c r="R24">
        <v>20</v>
      </c>
      <c r="S24">
        <v>6</v>
      </c>
      <c r="T24">
        <v>7</v>
      </c>
      <c r="U24" s="168">
        <v>44765</v>
      </c>
      <c r="V24">
        <v>7.5</v>
      </c>
      <c r="W24" s="169" t="s">
        <v>146</v>
      </c>
      <c r="X24">
        <v>1</v>
      </c>
      <c r="Y24">
        <v>1</v>
      </c>
      <c r="Z24" t="s">
        <v>482</v>
      </c>
      <c r="AC24" s="182" t="s">
        <v>289</v>
      </c>
      <c r="AD24" s="172" t="s">
        <v>183</v>
      </c>
      <c r="AE24" s="169">
        <v>8</v>
      </c>
      <c r="AF24" s="169">
        <v>6</v>
      </c>
      <c r="AG24" s="169">
        <v>14</v>
      </c>
    </row>
    <row r="25" spans="1:33" x14ac:dyDescent="0.25">
      <c r="A25" s="169" t="s">
        <v>299</v>
      </c>
      <c r="C25" s="169" t="s">
        <v>300</v>
      </c>
      <c r="D25">
        <v>431224460</v>
      </c>
      <c r="F25" s="169" t="s">
        <v>172</v>
      </c>
      <c r="I25" s="169" t="s">
        <v>172</v>
      </c>
      <c r="J25" s="169" t="s">
        <v>172</v>
      </c>
      <c r="K25">
        <v>33</v>
      </c>
      <c r="L25">
        <v>5</v>
      </c>
      <c r="M25">
        <v>46250</v>
      </c>
      <c r="N25">
        <v>22464</v>
      </c>
      <c r="O25">
        <v>19</v>
      </c>
      <c r="P25">
        <v>11</v>
      </c>
      <c r="Q25">
        <v>3</v>
      </c>
      <c r="R25">
        <v>12</v>
      </c>
      <c r="S25">
        <v>8</v>
      </c>
      <c r="T25">
        <v>6</v>
      </c>
      <c r="U25" s="168">
        <v>44779</v>
      </c>
      <c r="V25">
        <v>3</v>
      </c>
      <c r="W25" s="169" t="s">
        <v>173</v>
      </c>
      <c r="X25">
        <v>1</v>
      </c>
      <c r="Y25">
        <v>2</v>
      </c>
      <c r="Z25" t="s">
        <v>482</v>
      </c>
      <c r="AC25" s="182" t="s">
        <v>305</v>
      </c>
      <c r="AD25" s="172" t="s">
        <v>176</v>
      </c>
      <c r="AE25" s="169">
        <v>7</v>
      </c>
      <c r="AF25" s="169">
        <v>7</v>
      </c>
      <c r="AG25" s="169">
        <v>14</v>
      </c>
    </row>
    <row r="26" spans="1:33" x14ac:dyDescent="0.25">
      <c r="A26" s="169" t="s">
        <v>174</v>
      </c>
      <c r="C26" s="169" t="s">
        <v>308</v>
      </c>
      <c r="D26">
        <v>468907924</v>
      </c>
      <c r="F26" s="169" t="s">
        <v>180</v>
      </c>
      <c r="G26">
        <v>1</v>
      </c>
      <c r="I26" s="169" t="s">
        <v>172</v>
      </c>
      <c r="J26" s="169" t="s">
        <v>172</v>
      </c>
      <c r="K26">
        <v>18</v>
      </c>
      <c r="L26">
        <v>3</v>
      </c>
      <c r="M26">
        <v>440</v>
      </c>
      <c r="N26">
        <v>310</v>
      </c>
      <c r="O26">
        <v>15</v>
      </c>
      <c r="P26">
        <v>1</v>
      </c>
      <c r="Q26">
        <v>4</v>
      </c>
      <c r="R26">
        <v>20</v>
      </c>
      <c r="S26">
        <v>7</v>
      </c>
      <c r="T26">
        <v>7</v>
      </c>
      <c r="U26" s="168">
        <v>44765</v>
      </c>
      <c r="V26">
        <v>3</v>
      </c>
      <c r="W26" s="169" t="s">
        <v>181</v>
      </c>
      <c r="X26">
        <v>0</v>
      </c>
      <c r="Y26">
        <v>2</v>
      </c>
      <c r="AC26" s="182" t="s">
        <v>307</v>
      </c>
      <c r="AD26" s="172" t="s">
        <v>183</v>
      </c>
      <c r="AE26" s="169">
        <v>6</v>
      </c>
      <c r="AF26" s="169">
        <v>6</v>
      </c>
      <c r="AG26" s="169">
        <v>12</v>
      </c>
    </row>
    <row r="27" spans="1:33" x14ac:dyDescent="0.25">
      <c r="A27" s="169" t="s">
        <v>174</v>
      </c>
      <c r="C27" s="169" t="s">
        <v>308</v>
      </c>
      <c r="D27">
        <v>468907924</v>
      </c>
      <c r="F27" s="169" t="s">
        <v>180</v>
      </c>
      <c r="G27">
        <v>1</v>
      </c>
      <c r="I27" s="169" t="s">
        <v>172</v>
      </c>
      <c r="J27" s="169" t="s">
        <v>172</v>
      </c>
      <c r="K27">
        <v>17</v>
      </c>
      <c r="L27">
        <v>105</v>
      </c>
      <c r="M27">
        <v>420</v>
      </c>
      <c r="N27">
        <v>290</v>
      </c>
      <c r="O27">
        <v>13</v>
      </c>
      <c r="P27">
        <v>1</v>
      </c>
      <c r="Q27">
        <v>4</v>
      </c>
      <c r="R27">
        <v>20</v>
      </c>
      <c r="S27">
        <v>6</v>
      </c>
      <c r="T27">
        <v>7</v>
      </c>
      <c r="U27" s="168">
        <v>44765</v>
      </c>
      <c r="V27">
        <v>3</v>
      </c>
      <c r="W27" s="169" t="s">
        <v>181</v>
      </c>
      <c r="X27">
        <v>0</v>
      </c>
      <c r="Y27">
        <v>1</v>
      </c>
      <c r="AC27" s="182" t="s">
        <v>291</v>
      </c>
      <c r="AD27" s="172" t="s">
        <v>183</v>
      </c>
      <c r="AE27" s="169">
        <v>6</v>
      </c>
      <c r="AF27" s="169">
        <v>6</v>
      </c>
      <c r="AG27" s="169">
        <v>12</v>
      </c>
    </row>
    <row r="28" spans="1:33" x14ac:dyDescent="0.25">
      <c r="A28" s="169" t="s">
        <v>199</v>
      </c>
      <c r="C28" s="169" t="s">
        <v>294</v>
      </c>
      <c r="D28">
        <v>422339587</v>
      </c>
      <c r="F28" s="169" t="s">
        <v>172</v>
      </c>
      <c r="I28" s="169" t="s">
        <v>172</v>
      </c>
      <c r="J28" s="169" t="s">
        <v>172</v>
      </c>
      <c r="K28">
        <v>35</v>
      </c>
      <c r="L28">
        <v>107</v>
      </c>
      <c r="M28">
        <v>380</v>
      </c>
      <c r="N28">
        <v>816</v>
      </c>
      <c r="O28">
        <v>60</v>
      </c>
      <c r="P28">
        <v>8</v>
      </c>
      <c r="Q28">
        <v>7</v>
      </c>
      <c r="R28">
        <v>20</v>
      </c>
      <c r="S28">
        <v>7</v>
      </c>
      <c r="T28">
        <v>5</v>
      </c>
      <c r="U28" s="168">
        <v>44769</v>
      </c>
      <c r="V28">
        <v>1.5</v>
      </c>
      <c r="W28" s="169" t="s">
        <v>146</v>
      </c>
      <c r="X28">
        <v>0</v>
      </c>
      <c r="Y28">
        <v>1</v>
      </c>
      <c r="AC28" s="182" t="s">
        <v>286</v>
      </c>
      <c r="AD28" s="172" t="s">
        <v>183</v>
      </c>
      <c r="AE28" s="169">
        <v>7</v>
      </c>
      <c r="AF28" s="169">
        <v>7</v>
      </c>
      <c r="AG28" s="169">
        <v>14</v>
      </c>
    </row>
    <row r="29" spans="1:33" x14ac:dyDescent="0.25">
      <c r="A29" s="169" t="s">
        <v>199</v>
      </c>
      <c r="C29" s="169" t="s">
        <v>294</v>
      </c>
      <c r="D29">
        <v>422339587</v>
      </c>
      <c r="E29">
        <v>1</v>
      </c>
      <c r="F29" s="169" t="s">
        <v>172</v>
      </c>
      <c r="I29" s="169" t="s">
        <v>172</v>
      </c>
      <c r="J29" s="169" t="s">
        <v>172</v>
      </c>
      <c r="K29">
        <v>36</v>
      </c>
      <c r="L29">
        <v>5</v>
      </c>
      <c r="M29">
        <v>370</v>
      </c>
      <c r="N29">
        <v>492</v>
      </c>
      <c r="O29">
        <v>61</v>
      </c>
      <c r="P29">
        <v>8</v>
      </c>
      <c r="Q29">
        <v>7</v>
      </c>
      <c r="R29">
        <v>20</v>
      </c>
      <c r="S29">
        <v>7</v>
      </c>
      <c r="T29">
        <v>5</v>
      </c>
      <c r="U29" s="168">
        <v>44769</v>
      </c>
      <c r="V29">
        <v>1.5</v>
      </c>
      <c r="W29" s="169" t="s">
        <v>146</v>
      </c>
      <c r="X29">
        <v>0</v>
      </c>
      <c r="Y29">
        <v>2</v>
      </c>
      <c r="AC29" s="182" t="s">
        <v>310</v>
      </c>
      <c r="AD29" s="172"/>
      <c r="AE29" s="169">
        <v>7</v>
      </c>
      <c r="AF29" s="169">
        <v>7</v>
      </c>
      <c r="AG29" s="169">
        <v>14</v>
      </c>
    </row>
    <row r="30" spans="1:33" x14ac:dyDescent="0.25">
      <c r="A30" s="169" t="s">
        <v>174</v>
      </c>
      <c r="C30" s="169" t="s">
        <v>311</v>
      </c>
      <c r="D30">
        <v>469826787</v>
      </c>
      <c r="F30" s="169" t="s">
        <v>172</v>
      </c>
      <c r="G30">
        <v>1</v>
      </c>
      <c r="I30" s="169" t="s">
        <v>172</v>
      </c>
      <c r="J30" s="169" t="s">
        <v>172</v>
      </c>
      <c r="K30">
        <v>19</v>
      </c>
      <c r="L30">
        <v>43</v>
      </c>
      <c r="M30">
        <v>120</v>
      </c>
      <c r="N30">
        <v>250</v>
      </c>
      <c r="O30">
        <v>8</v>
      </c>
      <c r="P30">
        <v>1</v>
      </c>
      <c r="Q30">
        <v>2</v>
      </c>
      <c r="R30">
        <v>20</v>
      </c>
      <c r="S30">
        <v>6</v>
      </c>
      <c r="T30">
        <v>7</v>
      </c>
      <c r="U30" s="168">
        <v>44765</v>
      </c>
      <c r="V30">
        <v>1</v>
      </c>
      <c r="W30" s="169" t="s">
        <v>173</v>
      </c>
      <c r="X30">
        <v>0</v>
      </c>
      <c r="Y30">
        <v>1</v>
      </c>
      <c r="AC30" s="172" t="s">
        <v>173</v>
      </c>
      <c r="AE30" s="169">
        <v>6</v>
      </c>
      <c r="AF30" s="169">
        <v>6</v>
      </c>
      <c r="AG30" s="169">
        <v>12</v>
      </c>
    </row>
    <row r="31" spans="1:33" x14ac:dyDescent="0.25">
      <c r="A31" s="169" t="s">
        <v>210</v>
      </c>
      <c r="C31" s="169" t="s">
        <v>295</v>
      </c>
      <c r="D31">
        <v>446635122</v>
      </c>
      <c r="F31" s="169" t="s">
        <v>172</v>
      </c>
      <c r="H31">
        <v>3</v>
      </c>
      <c r="I31" s="169" t="s">
        <v>172</v>
      </c>
      <c r="J31" s="169" t="s">
        <v>172</v>
      </c>
      <c r="K31">
        <v>39</v>
      </c>
      <c r="L31">
        <v>69</v>
      </c>
      <c r="M31">
        <v>0</v>
      </c>
      <c r="N31">
        <v>300</v>
      </c>
      <c r="O31">
        <v>60</v>
      </c>
      <c r="P31">
        <v>7</v>
      </c>
      <c r="Q31">
        <v>7</v>
      </c>
      <c r="R31">
        <v>20</v>
      </c>
      <c r="S31">
        <v>6</v>
      </c>
      <c r="T31">
        <v>3</v>
      </c>
      <c r="U31" s="168">
        <v>44734</v>
      </c>
      <c r="V31">
        <v>1</v>
      </c>
      <c r="W31" s="169" t="s">
        <v>146</v>
      </c>
      <c r="X31">
        <v>0</v>
      </c>
      <c r="Y31">
        <v>1</v>
      </c>
      <c r="AC31" s="182" t="s">
        <v>303</v>
      </c>
      <c r="AD31" s="172"/>
      <c r="AE31" s="169">
        <v>6</v>
      </c>
      <c r="AF31" s="169">
        <v>6</v>
      </c>
      <c r="AG31" s="169">
        <v>12</v>
      </c>
    </row>
    <row r="32" spans="1:33" x14ac:dyDescent="0.25">
      <c r="A32" s="169" t="s">
        <v>190</v>
      </c>
      <c r="C32" s="169" t="s">
        <v>296</v>
      </c>
      <c r="D32">
        <v>419134956</v>
      </c>
      <c r="E32">
        <v>1</v>
      </c>
      <c r="F32" s="169" t="s">
        <v>171</v>
      </c>
      <c r="I32" s="169" t="s">
        <v>172</v>
      </c>
      <c r="J32" s="169" t="s">
        <v>172</v>
      </c>
      <c r="K32">
        <v>50</v>
      </c>
      <c r="L32">
        <v>26</v>
      </c>
      <c r="M32">
        <v>0</v>
      </c>
      <c r="N32">
        <v>300</v>
      </c>
      <c r="O32">
        <v>275</v>
      </c>
      <c r="P32">
        <v>9</v>
      </c>
      <c r="Q32">
        <v>5</v>
      </c>
      <c r="R32">
        <v>20</v>
      </c>
      <c r="S32">
        <v>4</v>
      </c>
      <c r="T32">
        <v>2</v>
      </c>
      <c r="U32" s="168">
        <v>44751</v>
      </c>
      <c r="V32">
        <v>5</v>
      </c>
      <c r="W32" s="169" t="s">
        <v>207</v>
      </c>
      <c r="X32">
        <v>0</v>
      </c>
      <c r="Y32">
        <v>1</v>
      </c>
      <c r="AC32" s="172" t="s">
        <v>229</v>
      </c>
      <c r="AE32" s="169">
        <v>81</v>
      </c>
      <c r="AF32" s="169">
        <v>79</v>
      </c>
      <c r="AG32" s="169">
        <v>160</v>
      </c>
    </row>
    <row r="33" spans="1:25" x14ac:dyDescent="0.25">
      <c r="A33" s="169" t="s">
        <v>190</v>
      </c>
      <c r="C33" s="169" t="s">
        <v>297</v>
      </c>
      <c r="D33">
        <v>453102601</v>
      </c>
      <c r="F33" s="169" t="s">
        <v>172</v>
      </c>
      <c r="I33" s="169" t="s">
        <v>172</v>
      </c>
      <c r="J33" s="169" t="s">
        <v>172</v>
      </c>
      <c r="K33">
        <v>39</v>
      </c>
      <c r="L33">
        <v>102</v>
      </c>
      <c r="M33">
        <v>0</v>
      </c>
      <c r="N33">
        <v>300</v>
      </c>
      <c r="O33">
        <v>60</v>
      </c>
      <c r="P33">
        <v>7</v>
      </c>
      <c r="Q33">
        <v>7</v>
      </c>
      <c r="R33">
        <v>20</v>
      </c>
      <c r="S33">
        <v>7</v>
      </c>
      <c r="T33">
        <v>3</v>
      </c>
      <c r="U33" s="168">
        <v>44762</v>
      </c>
      <c r="V33">
        <v>5</v>
      </c>
      <c r="W33" s="169" t="s">
        <v>146</v>
      </c>
      <c r="X33">
        <v>0</v>
      </c>
      <c r="Y33">
        <v>1</v>
      </c>
    </row>
    <row r="34" spans="1:25" x14ac:dyDescent="0.25">
      <c r="A34" s="169" t="s">
        <v>301</v>
      </c>
      <c r="C34" s="169" t="s">
        <v>302</v>
      </c>
      <c r="D34">
        <v>451067371</v>
      </c>
      <c r="F34" s="169" t="s">
        <v>172</v>
      </c>
      <c r="I34" s="169" t="s">
        <v>172</v>
      </c>
      <c r="J34" s="169" t="s">
        <v>172</v>
      </c>
      <c r="K34">
        <v>40</v>
      </c>
      <c r="L34">
        <v>94</v>
      </c>
      <c r="M34">
        <v>0</v>
      </c>
      <c r="N34">
        <v>300</v>
      </c>
      <c r="O34">
        <v>60</v>
      </c>
      <c r="P34">
        <v>7</v>
      </c>
      <c r="Q34">
        <v>7</v>
      </c>
      <c r="R34">
        <v>20</v>
      </c>
      <c r="S34">
        <v>5</v>
      </c>
      <c r="T34">
        <v>2</v>
      </c>
      <c r="U34" s="168">
        <v>44765</v>
      </c>
      <c r="V34">
        <v>5</v>
      </c>
      <c r="W34" s="169" t="s">
        <v>181</v>
      </c>
      <c r="X34">
        <v>0</v>
      </c>
      <c r="Y34">
        <v>1</v>
      </c>
    </row>
    <row r="35" spans="1:25" x14ac:dyDescent="0.25">
      <c r="A35" s="169" t="s">
        <v>210</v>
      </c>
      <c r="C35" s="169" t="s">
        <v>295</v>
      </c>
      <c r="D35">
        <v>446635122</v>
      </c>
      <c r="F35" s="169" t="s">
        <v>172</v>
      </c>
      <c r="H35">
        <v>2</v>
      </c>
      <c r="I35" s="169" t="s">
        <v>172</v>
      </c>
      <c r="J35" s="169" t="s">
        <v>172</v>
      </c>
      <c r="K35">
        <v>39</v>
      </c>
      <c r="L35">
        <v>79</v>
      </c>
      <c r="M35">
        <v>0</v>
      </c>
      <c r="N35">
        <v>300</v>
      </c>
      <c r="O35">
        <v>61</v>
      </c>
      <c r="P35">
        <v>7</v>
      </c>
      <c r="Q35">
        <v>7</v>
      </c>
      <c r="R35">
        <v>20</v>
      </c>
      <c r="S35">
        <v>6</v>
      </c>
      <c r="T35">
        <v>3</v>
      </c>
      <c r="U35" s="168">
        <v>44734</v>
      </c>
      <c r="V35">
        <v>1</v>
      </c>
      <c r="W35" s="169" t="s">
        <v>146</v>
      </c>
      <c r="X35">
        <v>0</v>
      </c>
      <c r="Y35">
        <v>2</v>
      </c>
    </row>
    <row r="36" spans="1:25" x14ac:dyDescent="0.25">
      <c r="A36" s="169" t="s">
        <v>190</v>
      </c>
      <c r="C36" s="169" t="s">
        <v>297</v>
      </c>
      <c r="D36">
        <v>453102601</v>
      </c>
      <c r="F36" s="169" t="s">
        <v>172</v>
      </c>
      <c r="I36" s="169" t="s">
        <v>172</v>
      </c>
      <c r="J36" s="169" t="s">
        <v>172</v>
      </c>
      <c r="K36">
        <v>40</v>
      </c>
      <c r="L36">
        <v>0</v>
      </c>
      <c r="M36">
        <v>0</v>
      </c>
      <c r="N36">
        <v>300</v>
      </c>
      <c r="O36">
        <v>61</v>
      </c>
      <c r="P36">
        <v>7</v>
      </c>
      <c r="Q36">
        <v>7</v>
      </c>
      <c r="R36">
        <v>20</v>
      </c>
      <c r="S36">
        <v>7</v>
      </c>
      <c r="T36">
        <v>3</v>
      </c>
      <c r="U36" s="168">
        <v>44762</v>
      </c>
      <c r="V36">
        <v>5</v>
      </c>
      <c r="W36" s="169" t="s">
        <v>146</v>
      </c>
      <c r="X36">
        <v>0</v>
      </c>
      <c r="Y36">
        <v>2</v>
      </c>
    </row>
    <row r="37" spans="1:25" x14ac:dyDescent="0.25">
      <c r="A37" s="169" t="s">
        <v>301</v>
      </c>
      <c r="C37" s="169" t="s">
        <v>302</v>
      </c>
      <c r="D37">
        <v>451067371</v>
      </c>
      <c r="F37" s="169" t="s">
        <v>172</v>
      </c>
      <c r="I37" s="169" t="s">
        <v>172</v>
      </c>
      <c r="J37" s="169" t="s">
        <v>172</v>
      </c>
      <c r="K37">
        <v>40</v>
      </c>
      <c r="L37">
        <v>104</v>
      </c>
      <c r="M37">
        <v>0</v>
      </c>
      <c r="N37">
        <v>300</v>
      </c>
      <c r="O37">
        <v>61</v>
      </c>
      <c r="P37">
        <v>7</v>
      </c>
      <c r="Q37">
        <v>7</v>
      </c>
      <c r="R37">
        <v>20</v>
      </c>
      <c r="S37">
        <v>5</v>
      </c>
      <c r="T37">
        <v>2</v>
      </c>
      <c r="U37" s="168">
        <v>44765</v>
      </c>
      <c r="V37">
        <v>5</v>
      </c>
      <c r="W37" s="169" t="s">
        <v>181</v>
      </c>
      <c r="X37">
        <v>0</v>
      </c>
      <c r="Y37">
        <v>2</v>
      </c>
    </row>
  </sheetData>
  <phoneticPr fontId="22" type="noConversion"/>
  <pageMargins left="0.7" right="0.7" top="0.75" bottom="0.75" header="0.3" footer="0.3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39E-68DA-4084-83CE-37DAD43ED6DE}">
  <sheetPr>
    <tabColor theme="9" tint="0.79998168889431442"/>
  </sheetPr>
  <dimension ref="A1:AK26"/>
  <sheetViews>
    <sheetView topLeftCell="AB1" workbookViewId="0">
      <selection activeCell="AE18" sqref="AE18"/>
    </sheetView>
  </sheetViews>
  <sheetFormatPr baseColWidth="10" defaultRowHeight="15" x14ac:dyDescent="0.25"/>
  <cols>
    <col min="1" max="1" width="14.85546875" bestFit="1" customWidth="1"/>
    <col min="2" max="2" width="8.85546875" bestFit="1" customWidth="1"/>
    <col min="3" max="3" width="25.42578125" bestFit="1" customWidth="1"/>
    <col min="4" max="4" width="15.5703125" bestFit="1" customWidth="1"/>
    <col min="5" max="5" width="13.140625" bestFit="1" customWidth="1"/>
    <col min="6" max="6" width="14.28515625" bestFit="1" customWidth="1"/>
    <col min="7" max="7" width="31" bestFit="1" customWidth="1"/>
    <col min="8" max="8" width="11" bestFit="1" customWidth="1"/>
    <col min="9" max="9" width="18" bestFit="1" customWidth="1"/>
    <col min="10" max="10" width="27.5703125" bestFit="1" customWidth="1"/>
    <col min="11" max="11" width="7.5703125" bestFit="1" customWidth="1"/>
    <col min="12" max="13" width="7" bestFit="1" customWidth="1"/>
    <col min="14" max="14" width="9.28515625" bestFit="1" customWidth="1"/>
    <col min="15" max="15" width="20.28515625" bestFit="1" customWidth="1"/>
    <col min="16" max="16" width="13.5703125" bestFit="1" customWidth="1"/>
    <col min="17" max="17" width="11.7109375" bestFit="1" customWidth="1"/>
    <col min="18" max="18" width="11.5703125" bestFit="1" customWidth="1"/>
    <col min="19" max="19" width="8.85546875" bestFit="1" customWidth="1"/>
    <col min="20" max="20" width="13.28515625" bestFit="1" customWidth="1"/>
    <col min="21" max="21" width="21.7109375" bestFit="1" customWidth="1"/>
    <col min="22" max="22" width="28.28515625" bestFit="1" customWidth="1"/>
    <col min="23" max="23" width="28.140625" bestFit="1" customWidth="1"/>
    <col min="29" max="29" width="17.5703125" bestFit="1" customWidth="1"/>
    <col min="30" max="30" width="17.85546875" bestFit="1" customWidth="1"/>
    <col min="31" max="31" width="17.42578125" bestFit="1" customWidth="1"/>
    <col min="32" max="32" width="16.85546875" bestFit="1" customWidth="1"/>
    <col min="33" max="33" width="16.7109375" bestFit="1" customWidth="1"/>
    <col min="34" max="34" width="15.5703125" bestFit="1" customWidth="1"/>
    <col min="35" max="35" width="18.7109375" bestFit="1" customWidth="1"/>
    <col min="36" max="36" width="23.5703125" bestFit="1" customWidth="1"/>
    <col min="37" max="37" width="23.28515625" bestFit="1" customWidth="1"/>
  </cols>
  <sheetData>
    <row r="1" spans="1:37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225</v>
      </c>
      <c r="AD1" s="172">
        <v>1</v>
      </c>
    </row>
    <row r="2" spans="1:37" x14ac:dyDescent="0.25">
      <c r="A2" s="169" t="s">
        <v>199</v>
      </c>
      <c r="C2" s="169" t="s">
        <v>322</v>
      </c>
      <c r="D2">
        <v>435816080</v>
      </c>
      <c r="F2" s="169" t="s">
        <v>176</v>
      </c>
      <c r="J2" s="169" t="s">
        <v>172</v>
      </c>
      <c r="K2">
        <v>30</v>
      </c>
      <c r="L2">
        <v>92</v>
      </c>
      <c r="M2">
        <v>256700</v>
      </c>
      <c r="N2">
        <v>37752</v>
      </c>
      <c r="O2">
        <v>86</v>
      </c>
      <c r="P2">
        <v>12</v>
      </c>
      <c r="Q2">
        <v>4</v>
      </c>
      <c r="R2">
        <v>20</v>
      </c>
      <c r="S2">
        <v>7</v>
      </c>
      <c r="T2">
        <v>8</v>
      </c>
      <c r="U2" s="168">
        <v>44769</v>
      </c>
      <c r="V2">
        <v>85</v>
      </c>
      <c r="W2" s="169" t="s">
        <v>181</v>
      </c>
      <c r="X2">
        <v>1</v>
      </c>
      <c r="Y2">
        <v>1</v>
      </c>
      <c r="AC2" s="171" t="s">
        <v>224</v>
      </c>
      <c r="AD2" s="172">
        <v>1</v>
      </c>
    </row>
    <row r="3" spans="1:37" x14ac:dyDescent="0.25">
      <c r="A3" s="169" t="s">
        <v>174</v>
      </c>
      <c r="C3" s="169" t="s">
        <v>339</v>
      </c>
      <c r="D3">
        <v>437682998</v>
      </c>
      <c r="F3" s="169" t="s">
        <v>183</v>
      </c>
      <c r="G3">
        <v>1</v>
      </c>
      <c r="J3" s="169" t="s">
        <v>172</v>
      </c>
      <c r="K3">
        <v>29</v>
      </c>
      <c r="L3">
        <v>104</v>
      </c>
      <c r="M3">
        <v>166600</v>
      </c>
      <c r="N3">
        <v>17260</v>
      </c>
      <c r="O3">
        <v>206</v>
      </c>
      <c r="P3">
        <v>12</v>
      </c>
      <c r="Q3">
        <v>4</v>
      </c>
      <c r="R3">
        <v>20</v>
      </c>
      <c r="S3">
        <v>8</v>
      </c>
      <c r="T3">
        <v>8</v>
      </c>
      <c r="U3" s="168">
        <v>44769</v>
      </c>
      <c r="V3">
        <v>105</v>
      </c>
      <c r="W3" s="169" t="s">
        <v>147</v>
      </c>
      <c r="X3">
        <v>1</v>
      </c>
      <c r="Y3">
        <v>1</v>
      </c>
    </row>
    <row r="4" spans="1:37" x14ac:dyDescent="0.25">
      <c r="A4" s="169" t="s">
        <v>174</v>
      </c>
      <c r="C4" s="169" t="s">
        <v>330</v>
      </c>
      <c r="D4">
        <v>435350188</v>
      </c>
      <c r="F4" s="169" t="s">
        <v>176</v>
      </c>
      <c r="G4">
        <v>1</v>
      </c>
      <c r="J4" s="169" t="s">
        <v>172</v>
      </c>
      <c r="K4">
        <v>31</v>
      </c>
      <c r="L4">
        <v>9</v>
      </c>
      <c r="M4">
        <v>129900</v>
      </c>
      <c r="N4">
        <v>22560</v>
      </c>
      <c r="O4">
        <v>225</v>
      </c>
      <c r="P4">
        <v>11</v>
      </c>
      <c r="Q4">
        <v>6</v>
      </c>
      <c r="R4">
        <v>20</v>
      </c>
      <c r="S4">
        <v>8</v>
      </c>
      <c r="T4">
        <v>8</v>
      </c>
      <c r="U4" s="168">
        <v>44769</v>
      </c>
      <c r="V4">
        <v>11</v>
      </c>
      <c r="W4" s="169" t="s">
        <v>147</v>
      </c>
      <c r="X4">
        <v>1</v>
      </c>
      <c r="Y4">
        <v>1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</row>
    <row r="5" spans="1:37" x14ac:dyDescent="0.25">
      <c r="A5" s="169" t="s">
        <v>174</v>
      </c>
      <c r="B5">
        <v>5</v>
      </c>
      <c r="C5" s="169" t="s">
        <v>319</v>
      </c>
      <c r="D5">
        <v>428964423</v>
      </c>
      <c r="F5" s="169" t="s">
        <v>171</v>
      </c>
      <c r="G5">
        <v>1</v>
      </c>
      <c r="J5" s="169" t="s">
        <v>172</v>
      </c>
      <c r="K5">
        <v>33</v>
      </c>
      <c r="L5">
        <v>42</v>
      </c>
      <c r="M5">
        <v>92060</v>
      </c>
      <c r="N5">
        <v>30090</v>
      </c>
      <c r="O5">
        <v>262</v>
      </c>
      <c r="P5">
        <v>14</v>
      </c>
      <c r="Q5">
        <v>3</v>
      </c>
      <c r="R5">
        <v>20</v>
      </c>
      <c r="S5">
        <v>7</v>
      </c>
      <c r="T5">
        <v>8</v>
      </c>
      <c r="U5" s="168">
        <v>44765</v>
      </c>
      <c r="V5">
        <v>11</v>
      </c>
      <c r="W5" s="169" t="s">
        <v>147</v>
      </c>
      <c r="X5">
        <v>1</v>
      </c>
      <c r="Y5">
        <v>1</v>
      </c>
      <c r="AC5" s="172"/>
      <c r="AD5" s="169">
        <v>2</v>
      </c>
      <c r="AE5" s="173">
        <v>30.5</v>
      </c>
      <c r="AF5" s="173">
        <v>54</v>
      </c>
      <c r="AG5" s="173">
        <v>87020</v>
      </c>
      <c r="AH5" s="173">
        <v>31092</v>
      </c>
      <c r="AI5" s="173">
        <v>6.5</v>
      </c>
      <c r="AJ5" s="173">
        <v>9.5</v>
      </c>
      <c r="AK5" s="173">
        <v>8</v>
      </c>
    </row>
    <row r="6" spans="1:37" x14ac:dyDescent="0.25">
      <c r="A6" s="169" t="s">
        <v>174</v>
      </c>
      <c r="C6" s="169" t="s">
        <v>340</v>
      </c>
      <c r="D6">
        <v>442335004</v>
      </c>
      <c r="F6" s="169" t="s">
        <v>176</v>
      </c>
      <c r="J6" s="169" t="s">
        <v>172</v>
      </c>
      <c r="K6">
        <v>28</v>
      </c>
      <c r="L6">
        <v>29</v>
      </c>
      <c r="M6">
        <v>73400</v>
      </c>
      <c r="N6">
        <v>35480</v>
      </c>
      <c r="O6">
        <v>114</v>
      </c>
      <c r="P6">
        <v>4</v>
      </c>
      <c r="Q6">
        <v>4</v>
      </c>
      <c r="R6">
        <v>20</v>
      </c>
      <c r="S6">
        <v>4</v>
      </c>
      <c r="T6">
        <v>9</v>
      </c>
      <c r="U6" s="168">
        <v>44765</v>
      </c>
      <c r="V6">
        <v>25</v>
      </c>
      <c r="W6" s="169" t="s">
        <v>146</v>
      </c>
      <c r="X6">
        <v>1</v>
      </c>
      <c r="Y6">
        <v>1</v>
      </c>
      <c r="AC6" s="172" t="s">
        <v>183</v>
      </c>
      <c r="AD6" s="169">
        <v>6</v>
      </c>
      <c r="AE6" s="173">
        <v>29.666666666666668</v>
      </c>
      <c r="AF6" s="173">
        <v>46.5</v>
      </c>
      <c r="AG6" s="173">
        <v>384140</v>
      </c>
      <c r="AH6" s="173">
        <v>65200</v>
      </c>
      <c r="AI6" s="173">
        <v>6.833333333333333</v>
      </c>
      <c r="AJ6" s="173">
        <v>9.3333333333333339</v>
      </c>
      <c r="AK6" s="173">
        <v>8</v>
      </c>
    </row>
    <row r="7" spans="1:37" x14ac:dyDescent="0.25">
      <c r="A7" s="169" t="s">
        <v>174</v>
      </c>
      <c r="B7">
        <v>4</v>
      </c>
      <c r="C7" s="169" t="s">
        <v>318</v>
      </c>
      <c r="D7">
        <v>434388447</v>
      </c>
      <c r="F7" s="169" t="s">
        <v>180</v>
      </c>
      <c r="G7">
        <v>1</v>
      </c>
      <c r="I7">
        <v>3</v>
      </c>
      <c r="J7" s="169" t="s">
        <v>172</v>
      </c>
      <c r="K7">
        <v>31</v>
      </c>
      <c r="L7">
        <v>64</v>
      </c>
      <c r="M7">
        <v>72720</v>
      </c>
      <c r="N7">
        <v>10950</v>
      </c>
      <c r="O7">
        <v>233</v>
      </c>
      <c r="P7">
        <v>8</v>
      </c>
      <c r="Q7">
        <v>4</v>
      </c>
      <c r="R7">
        <v>20</v>
      </c>
      <c r="S7">
        <v>6</v>
      </c>
      <c r="T7">
        <v>8</v>
      </c>
      <c r="U7" s="168">
        <v>44769</v>
      </c>
      <c r="V7">
        <v>65</v>
      </c>
      <c r="W7" s="169" t="s">
        <v>177</v>
      </c>
      <c r="X7">
        <v>1</v>
      </c>
      <c r="Y7">
        <v>1</v>
      </c>
      <c r="AC7" s="172" t="s">
        <v>171</v>
      </c>
      <c r="AD7" s="169">
        <v>1</v>
      </c>
      <c r="AE7" s="173">
        <v>33</v>
      </c>
      <c r="AF7" s="173">
        <v>42</v>
      </c>
      <c r="AG7" s="173">
        <v>92060</v>
      </c>
      <c r="AH7" s="173">
        <v>30090</v>
      </c>
      <c r="AI7" s="173">
        <v>7</v>
      </c>
      <c r="AJ7" s="173">
        <v>14</v>
      </c>
      <c r="AK7" s="173">
        <v>8</v>
      </c>
    </row>
    <row r="8" spans="1:37" x14ac:dyDescent="0.25">
      <c r="A8" s="169" t="s">
        <v>174</v>
      </c>
      <c r="C8" s="169" t="s">
        <v>338</v>
      </c>
      <c r="D8">
        <v>435294829</v>
      </c>
      <c r="F8" s="169" t="s">
        <v>183</v>
      </c>
      <c r="J8" s="169" t="s">
        <v>172</v>
      </c>
      <c r="K8">
        <v>31</v>
      </c>
      <c r="L8">
        <v>69</v>
      </c>
      <c r="M8">
        <v>69210</v>
      </c>
      <c r="N8">
        <v>7850</v>
      </c>
      <c r="O8">
        <v>175</v>
      </c>
      <c r="P8">
        <v>8</v>
      </c>
      <c r="Q8">
        <v>1</v>
      </c>
      <c r="R8">
        <v>20</v>
      </c>
      <c r="S8">
        <v>7</v>
      </c>
      <c r="T8">
        <v>8</v>
      </c>
      <c r="U8" s="168">
        <v>44769</v>
      </c>
      <c r="V8">
        <v>7</v>
      </c>
      <c r="W8" s="169" t="s">
        <v>207</v>
      </c>
      <c r="X8">
        <v>1</v>
      </c>
      <c r="Y8">
        <v>1</v>
      </c>
      <c r="AC8" s="172" t="s">
        <v>176</v>
      </c>
      <c r="AD8" s="169">
        <v>4</v>
      </c>
      <c r="AE8" s="173">
        <v>30.75</v>
      </c>
      <c r="AF8" s="173">
        <v>59.25</v>
      </c>
      <c r="AG8" s="173">
        <v>505540</v>
      </c>
      <c r="AH8" s="173">
        <v>118002</v>
      </c>
      <c r="AI8" s="173">
        <v>6.5</v>
      </c>
      <c r="AJ8" s="173">
        <v>10.25</v>
      </c>
      <c r="AK8" s="173">
        <v>8</v>
      </c>
    </row>
    <row r="9" spans="1:37" x14ac:dyDescent="0.25">
      <c r="A9" s="169" t="s">
        <v>174</v>
      </c>
      <c r="C9" s="169" t="s">
        <v>337</v>
      </c>
      <c r="D9">
        <v>432169917</v>
      </c>
      <c r="F9" s="169" t="s">
        <v>183</v>
      </c>
      <c r="J9" s="169" t="s">
        <v>172</v>
      </c>
      <c r="K9">
        <v>32</v>
      </c>
      <c r="L9">
        <v>27</v>
      </c>
      <c r="M9">
        <v>50380</v>
      </c>
      <c r="N9">
        <v>12620</v>
      </c>
      <c r="O9">
        <v>159</v>
      </c>
      <c r="P9">
        <v>11</v>
      </c>
      <c r="Q9">
        <v>5</v>
      </c>
      <c r="R9">
        <v>20</v>
      </c>
      <c r="S9">
        <v>7</v>
      </c>
      <c r="T9">
        <v>8</v>
      </c>
      <c r="U9" s="168">
        <v>44769</v>
      </c>
      <c r="V9">
        <v>11</v>
      </c>
      <c r="W9" s="169" t="s">
        <v>148</v>
      </c>
      <c r="X9">
        <v>1</v>
      </c>
      <c r="Y9">
        <v>1</v>
      </c>
      <c r="AC9" s="172" t="s">
        <v>180</v>
      </c>
      <c r="AD9" s="169">
        <v>5</v>
      </c>
      <c r="AE9" s="173">
        <v>33</v>
      </c>
      <c r="AF9" s="173">
        <v>37.6</v>
      </c>
      <c r="AG9" s="173">
        <v>205740</v>
      </c>
      <c r="AH9" s="173">
        <v>53370</v>
      </c>
      <c r="AI9" s="173">
        <v>6.4</v>
      </c>
      <c r="AJ9" s="173">
        <v>10.6</v>
      </c>
      <c r="AK9" s="173">
        <v>7.6</v>
      </c>
    </row>
    <row r="10" spans="1:37" x14ac:dyDescent="0.25">
      <c r="A10" s="169" t="s">
        <v>263</v>
      </c>
      <c r="C10" s="169" t="s">
        <v>335</v>
      </c>
      <c r="D10">
        <v>431152208</v>
      </c>
      <c r="F10" s="169" t="s">
        <v>172</v>
      </c>
      <c r="J10" s="169" t="s">
        <v>172</v>
      </c>
      <c r="K10">
        <v>32</v>
      </c>
      <c r="L10">
        <v>79</v>
      </c>
      <c r="M10">
        <v>47190</v>
      </c>
      <c r="N10">
        <v>16320</v>
      </c>
      <c r="O10">
        <v>20</v>
      </c>
      <c r="P10">
        <v>11</v>
      </c>
      <c r="Q10">
        <v>5</v>
      </c>
      <c r="R10">
        <v>13</v>
      </c>
      <c r="S10">
        <v>7</v>
      </c>
      <c r="T10">
        <v>8</v>
      </c>
      <c r="U10" s="168">
        <v>44769</v>
      </c>
      <c r="V10">
        <v>95</v>
      </c>
      <c r="W10" s="169" t="s">
        <v>148</v>
      </c>
      <c r="X10">
        <v>1</v>
      </c>
      <c r="Y10">
        <v>1</v>
      </c>
      <c r="AC10" s="172" t="s">
        <v>229</v>
      </c>
      <c r="AD10" s="169">
        <v>18</v>
      </c>
      <c r="AE10" s="173">
        <v>31.111111111111111</v>
      </c>
      <c r="AF10" s="173">
        <v>47.444444444444443</v>
      </c>
      <c r="AG10" s="173">
        <v>1274500</v>
      </c>
      <c r="AH10" s="173">
        <v>297754</v>
      </c>
      <c r="AI10" s="173">
        <v>6.6111111111111107</v>
      </c>
      <c r="AJ10" s="173">
        <v>10.166666666666666</v>
      </c>
      <c r="AK10" s="173">
        <v>7.8888888888888893</v>
      </c>
    </row>
    <row r="11" spans="1:37" x14ac:dyDescent="0.25">
      <c r="A11" s="169" t="s">
        <v>174</v>
      </c>
      <c r="C11" s="169" t="s">
        <v>336</v>
      </c>
      <c r="D11">
        <v>435756737</v>
      </c>
      <c r="F11" s="169" t="s">
        <v>180</v>
      </c>
      <c r="G11">
        <v>1</v>
      </c>
      <c r="J11" s="169" t="s">
        <v>172</v>
      </c>
      <c r="K11">
        <v>31</v>
      </c>
      <c r="L11">
        <v>56</v>
      </c>
      <c r="M11">
        <v>47140</v>
      </c>
      <c r="N11">
        <v>5190</v>
      </c>
      <c r="O11">
        <v>221</v>
      </c>
      <c r="P11">
        <v>8</v>
      </c>
      <c r="Q11">
        <v>4</v>
      </c>
      <c r="R11">
        <v>20</v>
      </c>
      <c r="S11">
        <v>7</v>
      </c>
      <c r="T11">
        <v>8</v>
      </c>
      <c r="U11" s="168">
        <v>44769</v>
      </c>
      <c r="V11">
        <v>7</v>
      </c>
      <c r="W11" s="169" t="s">
        <v>201</v>
      </c>
      <c r="X11">
        <v>1</v>
      </c>
      <c r="Y11">
        <v>1</v>
      </c>
    </row>
    <row r="12" spans="1:37" x14ac:dyDescent="0.25">
      <c r="A12" s="169" t="s">
        <v>174</v>
      </c>
      <c r="B12">
        <v>6</v>
      </c>
      <c r="C12" s="169" t="s">
        <v>320</v>
      </c>
      <c r="D12">
        <v>425551707</v>
      </c>
      <c r="F12" s="169" t="s">
        <v>176</v>
      </c>
      <c r="G12">
        <v>1</v>
      </c>
      <c r="J12" s="169" t="s">
        <v>172</v>
      </c>
      <c r="K12">
        <v>34</v>
      </c>
      <c r="L12">
        <v>107</v>
      </c>
      <c r="M12">
        <v>45540</v>
      </c>
      <c r="N12">
        <v>22210</v>
      </c>
      <c r="O12">
        <v>287</v>
      </c>
      <c r="P12">
        <v>14</v>
      </c>
      <c r="Q12">
        <v>4</v>
      </c>
      <c r="R12">
        <v>20</v>
      </c>
      <c r="S12">
        <v>7</v>
      </c>
      <c r="T12">
        <v>7</v>
      </c>
      <c r="U12" s="168">
        <v>44765</v>
      </c>
      <c r="V12">
        <v>85</v>
      </c>
      <c r="W12" s="169" t="s">
        <v>181</v>
      </c>
      <c r="X12">
        <v>1</v>
      </c>
      <c r="Y12">
        <v>1</v>
      </c>
    </row>
    <row r="13" spans="1:37" x14ac:dyDescent="0.25">
      <c r="A13" s="169" t="s">
        <v>174</v>
      </c>
      <c r="C13" s="169" t="s">
        <v>321</v>
      </c>
      <c r="D13">
        <v>436695906</v>
      </c>
      <c r="F13" s="169" t="s">
        <v>183</v>
      </c>
      <c r="J13" s="169" t="s">
        <v>172</v>
      </c>
      <c r="K13">
        <v>31</v>
      </c>
      <c r="L13">
        <v>16</v>
      </c>
      <c r="M13">
        <v>42430</v>
      </c>
      <c r="N13">
        <v>14170</v>
      </c>
      <c r="O13">
        <v>144</v>
      </c>
      <c r="P13">
        <v>10</v>
      </c>
      <c r="Q13">
        <v>5</v>
      </c>
      <c r="R13">
        <v>20</v>
      </c>
      <c r="S13">
        <v>5</v>
      </c>
      <c r="T13">
        <v>8</v>
      </c>
      <c r="U13" s="168">
        <v>44769</v>
      </c>
      <c r="V13">
        <v>85</v>
      </c>
      <c r="W13" s="169" t="s">
        <v>148</v>
      </c>
      <c r="X13">
        <v>1</v>
      </c>
      <c r="Y13">
        <v>1</v>
      </c>
    </row>
    <row r="14" spans="1:37" x14ac:dyDescent="0.25">
      <c r="A14" s="169" t="s">
        <v>268</v>
      </c>
      <c r="C14" s="169" t="s">
        <v>329</v>
      </c>
      <c r="D14">
        <v>439421251</v>
      </c>
      <c r="F14" s="169" t="s">
        <v>172</v>
      </c>
      <c r="J14" s="169" t="s">
        <v>172</v>
      </c>
      <c r="K14">
        <v>29</v>
      </c>
      <c r="L14">
        <v>29</v>
      </c>
      <c r="M14">
        <v>39830</v>
      </c>
      <c r="N14">
        <v>14772</v>
      </c>
      <c r="O14">
        <v>76</v>
      </c>
      <c r="P14">
        <v>8</v>
      </c>
      <c r="Q14">
        <v>3</v>
      </c>
      <c r="R14">
        <v>20</v>
      </c>
      <c r="S14">
        <v>6</v>
      </c>
      <c r="T14">
        <v>8</v>
      </c>
      <c r="U14" s="168">
        <v>44765</v>
      </c>
      <c r="V14">
        <v>7</v>
      </c>
      <c r="W14" s="169" t="s">
        <v>173</v>
      </c>
      <c r="X14">
        <v>1</v>
      </c>
      <c r="Y14">
        <v>1</v>
      </c>
    </row>
    <row r="15" spans="1:37" x14ac:dyDescent="0.25">
      <c r="A15" s="169" t="s">
        <v>174</v>
      </c>
      <c r="B15">
        <v>3</v>
      </c>
      <c r="C15" s="169" t="s">
        <v>317</v>
      </c>
      <c r="D15">
        <v>424287978</v>
      </c>
      <c r="F15" s="169" t="s">
        <v>180</v>
      </c>
      <c r="G15">
        <v>1</v>
      </c>
      <c r="J15" s="169" t="s">
        <v>172</v>
      </c>
      <c r="K15">
        <v>35</v>
      </c>
      <c r="L15">
        <v>24</v>
      </c>
      <c r="M15">
        <v>36670</v>
      </c>
      <c r="N15">
        <v>12630</v>
      </c>
      <c r="O15">
        <v>291</v>
      </c>
      <c r="P15">
        <v>14</v>
      </c>
      <c r="Q15">
        <v>4</v>
      </c>
      <c r="R15">
        <v>20</v>
      </c>
      <c r="S15">
        <v>7</v>
      </c>
      <c r="T15">
        <v>7</v>
      </c>
      <c r="U15" s="168">
        <v>44765</v>
      </c>
      <c r="V15">
        <v>6</v>
      </c>
      <c r="W15" s="169" t="s">
        <v>177</v>
      </c>
      <c r="X15">
        <v>1</v>
      </c>
      <c r="Y15">
        <v>1</v>
      </c>
    </row>
    <row r="16" spans="1:37" x14ac:dyDescent="0.25">
      <c r="A16" s="169" t="s">
        <v>174</v>
      </c>
      <c r="B16">
        <v>1</v>
      </c>
      <c r="C16" s="169" t="s">
        <v>316</v>
      </c>
      <c r="D16">
        <v>424047074</v>
      </c>
      <c r="F16" s="169" t="s">
        <v>180</v>
      </c>
      <c r="G16">
        <v>1</v>
      </c>
      <c r="J16" s="169" t="s">
        <v>172</v>
      </c>
      <c r="K16">
        <v>35</v>
      </c>
      <c r="L16">
        <v>42</v>
      </c>
      <c r="M16">
        <v>35800</v>
      </c>
      <c r="N16">
        <v>12430</v>
      </c>
      <c r="O16">
        <v>293</v>
      </c>
      <c r="P16">
        <v>15</v>
      </c>
      <c r="Q16">
        <v>3</v>
      </c>
      <c r="R16">
        <v>20</v>
      </c>
      <c r="S16">
        <v>7</v>
      </c>
      <c r="T16">
        <v>7</v>
      </c>
      <c r="U16" s="168">
        <v>44765</v>
      </c>
      <c r="V16">
        <v>65</v>
      </c>
      <c r="W16" s="169" t="s">
        <v>207</v>
      </c>
      <c r="X16">
        <v>1</v>
      </c>
      <c r="Y16">
        <v>1</v>
      </c>
    </row>
    <row r="17" spans="1:25" x14ac:dyDescent="0.25">
      <c r="A17" s="169" t="s">
        <v>174</v>
      </c>
      <c r="C17" s="169" t="s">
        <v>333</v>
      </c>
      <c r="D17">
        <v>425348003</v>
      </c>
      <c r="F17" s="169" t="s">
        <v>183</v>
      </c>
      <c r="J17" s="169" t="s">
        <v>172</v>
      </c>
      <c r="K17">
        <v>35</v>
      </c>
      <c r="L17">
        <v>5</v>
      </c>
      <c r="M17">
        <v>30070</v>
      </c>
      <c r="N17">
        <v>9570</v>
      </c>
      <c r="O17">
        <v>174</v>
      </c>
      <c r="P17">
        <v>13</v>
      </c>
      <c r="Q17">
        <v>2</v>
      </c>
      <c r="R17">
        <v>20</v>
      </c>
      <c r="S17">
        <v>7</v>
      </c>
      <c r="T17">
        <v>7</v>
      </c>
      <c r="U17" s="168">
        <v>44765</v>
      </c>
      <c r="V17">
        <v>85</v>
      </c>
      <c r="W17" s="169" t="s">
        <v>201</v>
      </c>
      <c r="X17">
        <v>1</v>
      </c>
      <c r="Y17">
        <v>1</v>
      </c>
    </row>
    <row r="18" spans="1:25" x14ac:dyDescent="0.25">
      <c r="A18" s="169" t="s">
        <v>174</v>
      </c>
      <c r="C18" s="169" t="s">
        <v>326</v>
      </c>
      <c r="D18">
        <v>461301434</v>
      </c>
      <c r="F18" s="169" t="s">
        <v>183</v>
      </c>
      <c r="G18">
        <v>1</v>
      </c>
      <c r="J18" s="169" t="s">
        <v>172</v>
      </c>
      <c r="K18">
        <v>20</v>
      </c>
      <c r="L18">
        <v>58</v>
      </c>
      <c r="M18">
        <v>25450</v>
      </c>
      <c r="N18">
        <v>3730</v>
      </c>
      <c r="O18">
        <v>56</v>
      </c>
      <c r="P18">
        <v>2</v>
      </c>
      <c r="Q18">
        <v>7</v>
      </c>
      <c r="R18">
        <v>20</v>
      </c>
      <c r="S18">
        <v>7</v>
      </c>
      <c r="T18">
        <v>9</v>
      </c>
      <c r="U18" s="168">
        <v>44769</v>
      </c>
      <c r="V18">
        <v>65</v>
      </c>
      <c r="W18" s="169" t="s">
        <v>147</v>
      </c>
      <c r="X18">
        <v>1</v>
      </c>
      <c r="Y18">
        <v>1</v>
      </c>
    </row>
    <row r="19" spans="1:25" x14ac:dyDescent="0.25">
      <c r="A19" s="169" t="s">
        <v>174</v>
      </c>
      <c r="C19" s="169" t="s">
        <v>328</v>
      </c>
      <c r="D19">
        <v>431230656</v>
      </c>
      <c r="F19" s="169" t="s">
        <v>180</v>
      </c>
      <c r="H19">
        <v>1</v>
      </c>
      <c r="J19" s="169" t="s">
        <v>172</v>
      </c>
      <c r="K19">
        <v>33</v>
      </c>
      <c r="L19">
        <v>2</v>
      </c>
      <c r="M19">
        <v>13410</v>
      </c>
      <c r="N19">
        <v>12170</v>
      </c>
      <c r="O19">
        <v>114</v>
      </c>
      <c r="P19">
        <v>8</v>
      </c>
      <c r="Q19">
        <v>3</v>
      </c>
      <c r="R19">
        <v>20</v>
      </c>
      <c r="S19">
        <v>5</v>
      </c>
      <c r="T19">
        <v>8</v>
      </c>
      <c r="U19" s="168">
        <v>44765</v>
      </c>
      <c r="V19">
        <v>35</v>
      </c>
      <c r="W19" s="169" t="s">
        <v>146</v>
      </c>
      <c r="X19">
        <v>1</v>
      </c>
      <c r="Y19">
        <v>1</v>
      </c>
    </row>
    <row r="20" spans="1:25" x14ac:dyDescent="0.25">
      <c r="A20" s="169" t="s">
        <v>174</v>
      </c>
      <c r="C20" s="169" t="s">
        <v>323</v>
      </c>
      <c r="D20">
        <v>425763529</v>
      </c>
      <c r="F20" s="169" t="s">
        <v>171</v>
      </c>
      <c r="J20" s="169" t="s">
        <v>172</v>
      </c>
      <c r="K20">
        <v>34</v>
      </c>
      <c r="L20">
        <v>98</v>
      </c>
      <c r="M20">
        <v>6310</v>
      </c>
      <c r="N20">
        <v>9950</v>
      </c>
      <c r="O20">
        <v>194</v>
      </c>
      <c r="P20">
        <v>13</v>
      </c>
      <c r="Q20">
        <v>5</v>
      </c>
      <c r="R20">
        <v>20</v>
      </c>
      <c r="S20">
        <v>6</v>
      </c>
      <c r="T20">
        <v>7</v>
      </c>
      <c r="U20" s="168">
        <v>44769</v>
      </c>
      <c r="V20">
        <v>8</v>
      </c>
      <c r="W20" s="169" t="s">
        <v>173</v>
      </c>
      <c r="Y20">
        <v>1</v>
      </c>
    </row>
    <row r="21" spans="1:25" x14ac:dyDescent="0.25">
      <c r="A21" s="169" t="s">
        <v>174</v>
      </c>
      <c r="C21" s="169" t="s">
        <v>331</v>
      </c>
      <c r="D21">
        <v>461786415</v>
      </c>
      <c r="F21" s="169" t="s">
        <v>183</v>
      </c>
      <c r="G21">
        <v>1</v>
      </c>
      <c r="J21" s="169" t="s">
        <v>172</v>
      </c>
      <c r="K21">
        <v>20</v>
      </c>
      <c r="L21">
        <v>29</v>
      </c>
      <c r="M21">
        <v>5360</v>
      </c>
      <c r="N21">
        <v>1270</v>
      </c>
      <c r="O21">
        <v>50</v>
      </c>
      <c r="P21">
        <v>2</v>
      </c>
      <c r="Q21">
        <v>2</v>
      </c>
      <c r="R21">
        <v>20</v>
      </c>
      <c r="S21">
        <v>4</v>
      </c>
      <c r="T21">
        <v>9</v>
      </c>
      <c r="U21" s="168">
        <v>44765</v>
      </c>
      <c r="V21">
        <v>45</v>
      </c>
      <c r="W21" s="169" t="s">
        <v>147</v>
      </c>
      <c r="Y21">
        <v>1</v>
      </c>
    </row>
    <row r="22" spans="1:25" x14ac:dyDescent="0.25">
      <c r="A22" s="169" t="s">
        <v>174</v>
      </c>
      <c r="C22" s="169" t="s">
        <v>327</v>
      </c>
      <c r="D22">
        <v>447466242</v>
      </c>
      <c r="F22" s="169" t="s">
        <v>176</v>
      </c>
      <c r="G22">
        <v>1</v>
      </c>
      <c r="J22" s="169" t="s">
        <v>172</v>
      </c>
      <c r="K22">
        <v>26</v>
      </c>
      <c r="L22">
        <v>73</v>
      </c>
      <c r="M22">
        <v>2970</v>
      </c>
      <c r="N22">
        <v>510</v>
      </c>
      <c r="O22">
        <v>139</v>
      </c>
      <c r="P22">
        <v>2</v>
      </c>
      <c r="Q22">
        <v>5</v>
      </c>
      <c r="R22">
        <v>20</v>
      </c>
      <c r="S22">
        <v>8</v>
      </c>
      <c r="T22">
        <v>9</v>
      </c>
      <c r="U22" s="168">
        <v>44765</v>
      </c>
      <c r="V22">
        <v>5</v>
      </c>
      <c r="W22" s="169" t="s">
        <v>148</v>
      </c>
      <c r="Y22">
        <v>1</v>
      </c>
    </row>
    <row r="23" spans="1:25" x14ac:dyDescent="0.25">
      <c r="A23" s="169" t="s">
        <v>174</v>
      </c>
      <c r="C23" s="169" t="s">
        <v>332</v>
      </c>
      <c r="D23">
        <v>444830705</v>
      </c>
      <c r="F23" s="169" t="s">
        <v>171</v>
      </c>
      <c r="G23">
        <v>1</v>
      </c>
      <c r="J23" s="169" t="s">
        <v>172</v>
      </c>
      <c r="K23">
        <v>27</v>
      </c>
      <c r="L23">
        <v>30</v>
      </c>
      <c r="M23">
        <v>1640</v>
      </c>
      <c r="N23">
        <v>370</v>
      </c>
      <c r="O23">
        <v>155</v>
      </c>
      <c r="P23">
        <v>2</v>
      </c>
      <c r="Q23">
        <v>4</v>
      </c>
      <c r="R23">
        <v>20</v>
      </c>
      <c r="S23">
        <v>4</v>
      </c>
      <c r="T23">
        <v>8</v>
      </c>
      <c r="U23" s="168">
        <v>44762</v>
      </c>
      <c r="V23">
        <v>3</v>
      </c>
      <c r="W23" s="169" t="s">
        <v>148</v>
      </c>
      <c r="Y23">
        <v>1</v>
      </c>
    </row>
    <row r="24" spans="1:25" x14ac:dyDescent="0.25">
      <c r="A24" s="169" t="s">
        <v>174</v>
      </c>
      <c r="C24" s="169" t="s">
        <v>324</v>
      </c>
      <c r="D24">
        <v>416592860</v>
      </c>
      <c r="F24" s="169" t="s">
        <v>183</v>
      </c>
      <c r="J24" s="169" t="s">
        <v>172</v>
      </c>
      <c r="K24">
        <v>39</v>
      </c>
      <c r="L24">
        <v>23</v>
      </c>
      <c r="M24">
        <v>1210</v>
      </c>
      <c r="N24">
        <v>570</v>
      </c>
      <c r="O24">
        <v>71</v>
      </c>
      <c r="P24">
        <v>11</v>
      </c>
      <c r="Q24">
        <v>6</v>
      </c>
      <c r="R24">
        <v>20</v>
      </c>
      <c r="S24">
        <v>6</v>
      </c>
      <c r="T24">
        <v>3</v>
      </c>
      <c r="U24" s="168">
        <v>44741</v>
      </c>
      <c r="V24">
        <v>1</v>
      </c>
      <c r="W24" s="169" t="s">
        <v>177</v>
      </c>
      <c r="Y24">
        <v>1</v>
      </c>
    </row>
    <row r="25" spans="1:25" x14ac:dyDescent="0.25">
      <c r="A25" s="169" t="s">
        <v>174</v>
      </c>
      <c r="C25" s="169" t="s">
        <v>334</v>
      </c>
      <c r="D25">
        <v>470786338</v>
      </c>
      <c r="F25" s="169" t="s">
        <v>180</v>
      </c>
      <c r="G25">
        <v>1</v>
      </c>
      <c r="J25" s="169" t="s">
        <v>172</v>
      </c>
      <c r="K25">
        <v>17</v>
      </c>
      <c r="L25">
        <v>73</v>
      </c>
      <c r="M25">
        <v>940</v>
      </c>
      <c r="N25">
        <v>310</v>
      </c>
      <c r="O25">
        <v>1</v>
      </c>
      <c r="P25">
        <v>2</v>
      </c>
      <c r="Q25">
        <v>4</v>
      </c>
      <c r="R25">
        <v>20</v>
      </c>
      <c r="S25">
        <v>5</v>
      </c>
      <c r="T25">
        <v>5</v>
      </c>
      <c r="U25" s="168">
        <v>44765</v>
      </c>
      <c r="V25">
        <v>3</v>
      </c>
      <c r="W25" s="169" t="s">
        <v>146</v>
      </c>
      <c r="Y25">
        <v>1</v>
      </c>
    </row>
    <row r="26" spans="1:25" x14ac:dyDescent="0.25">
      <c r="A26" s="169" t="s">
        <v>268</v>
      </c>
      <c r="C26" s="169" t="s">
        <v>325</v>
      </c>
      <c r="D26">
        <v>334269782</v>
      </c>
      <c r="E26">
        <v>1</v>
      </c>
      <c r="F26" s="169" t="s">
        <v>172</v>
      </c>
      <c r="J26" s="169" t="s">
        <v>172</v>
      </c>
      <c r="K26">
        <v>52</v>
      </c>
      <c r="L26">
        <v>17</v>
      </c>
      <c r="M26">
        <v>0</v>
      </c>
      <c r="N26">
        <v>300</v>
      </c>
      <c r="O26">
        <v>240</v>
      </c>
      <c r="P26">
        <v>15</v>
      </c>
      <c r="Q26">
        <v>5</v>
      </c>
      <c r="R26">
        <v>20</v>
      </c>
      <c r="S26">
        <v>2</v>
      </c>
      <c r="T26">
        <v>2</v>
      </c>
      <c r="U26" s="168">
        <v>43397</v>
      </c>
      <c r="V26">
        <v>5</v>
      </c>
      <c r="W26" s="169" t="s">
        <v>147</v>
      </c>
      <c r="Y26">
        <v>1</v>
      </c>
    </row>
  </sheetData>
  <phoneticPr fontId="22" type="noConversion"/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39D-77FB-49BA-BEC4-05417726C068}">
  <sheetPr>
    <tabColor theme="9" tint="0.79998168889431442"/>
  </sheetPr>
  <dimension ref="A1:AK26"/>
  <sheetViews>
    <sheetView topLeftCell="AA1" workbookViewId="0">
      <selection activeCell="AI10" sqref="AI10:AK10"/>
    </sheetView>
  </sheetViews>
  <sheetFormatPr baseColWidth="10" defaultRowHeight="15" x14ac:dyDescent="0.25"/>
  <cols>
    <col min="1" max="1" width="15.42578125" bestFit="1" customWidth="1"/>
    <col min="2" max="2" width="8.85546875" bestFit="1" customWidth="1"/>
    <col min="3" max="3" width="25.7109375" bestFit="1" customWidth="1"/>
    <col min="4" max="4" width="15.5703125" bestFit="1" customWidth="1"/>
    <col min="5" max="5" width="13.140625" bestFit="1" customWidth="1"/>
    <col min="6" max="6" width="14.28515625" bestFit="1" customWidth="1"/>
    <col min="7" max="7" width="31" bestFit="1" customWidth="1"/>
    <col min="8" max="8" width="11" bestFit="1" customWidth="1"/>
    <col min="9" max="9" width="18" bestFit="1" customWidth="1"/>
    <col min="10" max="10" width="27.5703125" bestFit="1" customWidth="1"/>
    <col min="11" max="11" width="7.5703125" bestFit="1" customWidth="1"/>
    <col min="12" max="13" width="7" bestFit="1" customWidth="1"/>
    <col min="14" max="14" width="9.28515625" bestFit="1" customWidth="1"/>
    <col min="15" max="15" width="20.28515625" bestFit="1" customWidth="1"/>
    <col min="16" max="16" width="13.5703125" bestFit="1" customWidth="1"/>
    <col min="17" max="17" width="11.7109375" bestFit="1" customWidth="1"/>
    <col min="18" max="18" width="11.5703125" bestFit="1" customWidth="1"/>
    <col min="19" max="19" width="8.85546875" bestFit="1" customWidth="1"/>
    <col min="20" max="20" width="13.28515625" bestFit="1" customWidth="1"/>
    <col min="21" max="21" width="21.7109375" bestFit="1" customWidth="1"/>
    <col min="22" max="22" width="28.28515625" bestFit="1" customWidth="1"/>
    <col min="23" max="23" width="28.140625" bestFit="1" customWidth="1"/>
    <col min="29" max="29" width="17.5703125" bestFit="1" customWidth="1"/>
    <col min="30" max="30" width="17.85546875" bestFit="1" customWidth="1"/>
    <col min="31" max="31" width="17.28515625" bestFit="1" customWidth="1"/>
    <col min="32" max="32" width="16.7109375" bestFit="1" customWidth="1"/>
    <col min="33" max="33" width="11.5703125" bestFit="1" customWidth="1"/>
    <col min="34" max="34" width="15" bestFit="1" customWidth="1"/>
    <col min="35" max="35" width="18.5703125" bestFit="1" customWidth="1"/>
    <col min="36" max="36" width="23.42578125" bestFit="1" customWidth="1"/>
    <col min="37" max="37" width="23.140625" bestFit="1" customWidth="1"/>
  </cols>
  <sheetData>
    <row r="1" spans="1:37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225</v>
      </c>
      <c r="AD1" s="172">
        <v>1</v>
      </c>
    </row>
    <row r="2" spans="1:37" x14ac:dyDescent="0.25">
      <c r="A2" s="169" t="s">
        <v>174</v>
      </c>
      <c r="B2" s="169" t="s">
        <v>172</v>
      </c>
      <c r="C2" s="169" t="s">
        <v>371</v>
      </c>
      <c r="D2">
        <v>435465952</v>
      </c>
      <c r="F2" s="169" t="s">
        <v>171</v>
      </c>
      <c r="I2">
        <v>1</v>
      </c>
      <c r="J2" s="169" t="s">
        <v>172</v>
      </c>
      <c r="K2">
        <v>31</v>
      </c>
      <c r="L2">
        <v>5</v>
      </c>
      <c r="M2">
        <v>311540</v>
      </c>
      <c r="N2">
        <v>58110</v>
      </c>
      <c r="O2">
        <v>222</v>
      </c>
      <c r="P2">
        <v>13</v>
      </c>
      <c r="Q2">
        <v>4</v>
      </c>
      <c r="R2">
        <v>20</v>
      </c>
      <c r="S2">
        <v>6</v>
      </c>
      <c r="T2">
        <v>8</v>
      </c>
      <c r="U2" s="168">
        <v>44769</v>
      </c>
      <c r="V2">
        <v>105</v>
      </c>
      <c r="W2" s="169" t="s">
        <v>147</v>
      </c>
      <c r="X2">
        <v>1</v>
      </c>
      <c r="Y2">
        <v>1</v>
      </c>
      <c r="AC2" s="171" t="s">
        <v>224</v>
      </c>
      <c r="AD2" s="172">
        <v>1</v>
      </c>
    </row>
    <row r="3" spans="1:37" x14ac:dyDescent="0.25">
      <c r="A3" s="169" t="s">
        <v>174</v>
      </c>
      <c r="B3" s="169" t="s">
        <v>172</v>
      </c>
      <c r="C3" s="169" t="s">
        <v>356</v>
      </c>
      <c r="D3">
        <v>435305632</v>
      </c>
      <c r="F3" s="169" t="s">
        <v>171</v>
      </c>
      <c r="J3" s="169" t="s">
        <v>172</v>
      </c>
      <c r="K3">
        <v>31</v>
      </c>
      <c r="L3">
        <v>12</v>
      </c>
      <c r="M3">
        <v>293510</v>
      </c>
      <c r="N3">
        <v>59990</v>
      </c>
      <c r="O3">
        <v>146</v>
      </c>
      <c r="P3">
        <v>14</v>
      </c>
      <c r="Q3">
        <v>5</v>
      </c>
      <c r="R3">
        <v>20</v>
      </c>
      <c r="S3">
        <v>7</v>
      </c>
      <c r="T3">
        <v>8</v>
      </c>
      <c r="U3" s="168">
        <v>44769</v>
      </c>
      <c r="V3">
        <v>11</v>
      </c>
      <c r="W3" s="169" t="s">
        <v>147</v>
      </c>
      <c r="X3">
        <v>1</v>
      </c>
      <c r="Y3">
        <v>1</v>
      </c>
    </row>
    <row r="4" spans="1:37" x14ac:dyDescent="0.25">
      <c r="A4" s="169" t="s">
        <v>186</v>
      </c>
      <c r="B4" s="169" t="s">
        <v>172</v>
      </c>
      <c r="C4" s="169" t="s">
        <v>364</v>
      </c>
      <c r="D4">
        <v>433807278</v>
      </c>
      <c r="F4" s="169" t="s">
        <v>183</v>
      </c>
      <c r="J4" s="169" t="s">
        <v>172</v>
      </c>
      <c r="K4">
        <v>31</v>
      </c>
      <c r="L4">
        <v>88</v>
      </c>
      <c r="M4">
        <v>117970</v>
      </c>
      <c r="N4">
        <v>21780</v>
      </c>
      <c r="O4">
        <v>0</v>
      </c>
      <c r="P4">
        <v>13</v>
      </c>
      <c r="Q4">
        <v>4</v>
      </c>
      <c r="R4">
        <v>3</v>
      </c>
      <c r="S4">
        <v>8</v>
      </c>
      <c r="T4">
        <v>7</v>
      </c>
      <c r="U4" s="168">
        <v>44769</v>
      </c>
      <c r="V4">
        <v>85</v>
      </c>
      <c r="W4" s="169" t="s">
        <v>146</v>
      </c>
      <c r="X4">
        <v>1</v>
      </c>
      <c r="Y4">
        <v>1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</row>
    <row r="5" spans="1:37" x14ac:dyDescent="0.25">
      <c r="A5" s="169" t="s">
        <v>304</v>
      </c>
      <c r="B5" s="169" t="s">
        <v>172</v>
      </c>
      <c r="C5" s="169" t="s">
        <v>360</v>
      </c>
      <c r="D5">
        <v>436903655</v>
      </c>
      <c r="F5" s="169" t="s">
        <v>180</v>
      </c>
      <c r="J5" s="169" t="s">
        <v>172</v>
      </c>
      <c r="K5">
        <v>30</v>
      </c>
      <c r="L5">
        <v>28</v>
      </c>
      <c r="M5">
        <v>116210</v>
      </c>
      <c r="N5">
        <v>19344</v>
      </c>
      <c r="O5">
        <v>1</v>
      </c>
      <c r="P5">
        <v>8</v>
      </c>
      <c r="Q5">
        <v>2</v>
      </c>
      <c r="R5">
        <v>3</v>
      </c>
      <c r="S5">
        <v>7</v>
      </c>
      <c r="T5">
        <v>7</v>
      </c>
      <c r="U5" s="168">
        <v>44769</v>
      </c>
      <c r="V5">
        <v>8</v>
      </c>
      <c r="W5" s="169" t="s">
        <v>147</v>
      </c>
      <c r="X5">
        <v>1</v>
      </c>
      <c r="Y5">
        <v>1</v>
      </c>
      <c r="AC5" s="172"/>
      <c r="AD5" s="169">
        <v>5</v>
      </c>
      <c r="AE5" s="173">
        <v>32.6</v>
      </c>
      <c r="AF5" s="173">
        <v>68.2</v>
      </c>
      <c r="AG5" s="173">
        <v>205050</v>
      </c>
      <c r="AH5" s="173">
        <v>46578</v>
      </c>
      <c r="AI5" s="173">
        <v>7.2</v>
      </c>
      <c r="AJ5" s="173">
        <v>10.199999999999999</v>
      </c>
      <c r="AK5" s="173">
        <v>6.8</v>
      </c>
    </row>
    <row r="6" spans="1:37" x14ac:dyDescent="0.25">
      <c r="A6" s="169" t="s">
        <v>174</v>
      </c>
      <c r="B6" s="169" t="s">
        <v>172</v>
      </c>
      <c r="C6" s="169" t="s">
        <v>350</v>
      </c>
      <c r="D6">
        <v>428042425</v>
      </c>
      <c r="F6" s="169" t="s">
        <v>172</v>
      </c>
      <c r="J6" s="169" t="s">
        <v>172</v>
      </c>
      <c r="K6">
        <v>33</v>
      </c>
      <c r="L6">
        <v>91</v>
      </c>
      <c r="M6">
        <v>81540</v>
      </c>
      <c r="N6">
        <v>13270</v>
      </c>
      <c r="O6">
        <v>0</v>
      </c>
      <c r="P6">
        <v>14</v>
      </c>
      <c r="Q6">
        <v>5</v>
      </c>
      <c r="R6">
        <v>3</v>
      </c>
      <c r="S6">
        <v>6</v>
      </c>
      <c r="T6">
        <v>7</v>
      </c>
      <c r="U6" s="168">
        <v>44769</v>
      </c>
      <c r="V6">
        <v>75</v>
      </c>
      <c r="W6" s="169" t="s">
        <v>181</v>
      </c>
      <c r="X6">
        <v>1</v>
      </c>
      <c r="Y6">
        <v>1</v>
      </c>
      <c r="AC6" s="172" t="s">
        <v>183</v>
      </c>
      <c r="AD6" s="169">
        <v>3</v>
      </c>
      <c r="AE6" s="173">
        <v>32</v>
      </c>
      <c r="AF6" s="173">
        <v>55</v>
      </c>
      <c r="AG6" s="173">
        <v>223770</v>
      </c>
      <c r="AH6" s="173">
        <v>57936</v>
      </c>
      <c r="AI6" s="173">
        <v>7.666666666666667</v>
      </c>
      <c r="AJ6" s="173">
        <v>12</v>
      </c>
      <c r="AK6" s="173">
        <v>6.666666666666667</v>
      </c>
    </row>
    <row r="7" spans="1:37" x14ac:dyDescent="0.25">
      <c r="A7" s="169" t="s">
        <v>372</v>
      </c>
      <c r="B7" s="169" t="s">
        <v>172</v>
      </c>
      <c r="C7" s="169" t="s">
        <v>373</v>
      </c>
      <c r="D7">
        <v>430896706</v>
      </c>
      <c r="F7" s="169" t="s">
        <v>171</v>
      </c>
      <c r="J7" s="169" t="s">
        <v>172</v>
      </c>
      <c r="K7">
        <v>32</v>
      </c>
      <c r="L7">
        <v>96</v>
      </c>
      <c r="M7">
        <v>73510</v>
      </c>
      <c r="N7">
        <v>16920</v>
      </c>
      <c r="O7">
        <v>49</v>
      </c>
      <c r="P7">
        <v>10</v>
      </c>
      <c r="Q7">
        <v>6</v>
      </c>
      <c r="R7">
        <v>20</v>
      </c>
      <c r="S7">
        <v>8</v>
      </c>
      <c r="T7">
        <v>8</v>
      </c>
      <c r="U7" s="168">
        <v>44769</v>
      </c>
      <c r="V7">
        <v>9</v>
      </c>
      <c r="W7" s="169" t="s">
        <v>146</v>
      </c>
      <c r="X7">
        <v>1</v>
      </c>
      <c r="Y7">
        <v>1</v>
      </c>
      <c r="AC7" s="172" t="s">
        <v>171</v>
      </c>
      <c r="AD7" s="169">
        <v>4</v>
      </c>
      <c r="AE7" s="173">
        <v>32</v>
      </c>
      <c r="AF7" s="173">
        <v>50.5</v>
      </c>
      <c r="AG7" s="173">
        <v>718480</v>
      </c>
      <c r="AH7" s="173">
        <v>157496</v>
      </c>
      <c r="AI7" s="173">
        <v>7.25</v>
      </c>
      <c r="AJ7" s="173">
        <v>12.5</v>
      </c>
      <c r="AK7" s="173">
        <v>7.75</v>
      </c>
    </row>
    <row r="8" spans="1:37" x14ac:dyDescent="0.25">
      <c r="A8" s="169" t="s">
        <v>348</v>
      </c>
      <c r="B8" s="169" t="s">
        <v>172</v>
      </c>
      <c r="C8" s="169" t="s">
        <v>349</v>
      </c>
      <c r="D8">
        <v>424276729</v>
      </c>
      <c r="F8" s="169" t="s">
        <v>172</v>
      </c>
      <c r="J8" s="169" t="s">
        <v>172</v>
      </c>
      <c r="K8">
        <v>35</v>
      </c>
      <c r="L8">
        <v>26</v>
      </c>
      <c r="M8">
        <v>61190</v>
      </c>
      <c r="N8">
        <v>18408</v>
      </c>
      <c r="O8">
        <v>1</v>
      </c>
      <c r="P8">
        <v>15</v>
      </c>
      <c r="Q8">
        <v>4</v>
      </c>
      <c r="R8">
        <v>4</v>
      </c>
      <c r="S8">
        <v>7</v>
      </c>
      <c r="T8">
        <v>5</v>
      </c>
      <c r="U8" s="168">
        <v>44769</v>
      </c>
      <c r="V8">
        <v>9</v>
      </c>
      <c r="W8" s="169" t="s">
        <v>173</v>
      </c>
      <c r="X8">
        <v>1</v>
      </c>
      <c r="Y8">
        <v>1</v>
      </c>
      <c r="AC8" s="172" t="s">
        <v>180</v>
      </c>
      <c r="AD8" s="169">
        <v>1</v>
      </c>
      <c r="AE8" s="173">
        <v>30</v>
      </c>
      <c r="AF8" s="173">
        <v>28</v>
      </c>
      <c r="AG8" s="173">
        <v>116210</v>
      </c>
      <c r="AH8" s="173">
        <v>19344</v>
      </c>
      <c r="AI8" s="173">
        <v>7</v>
      </c>
      <c r="AJ8" s="173">
        <v>8</v>
      </c>
      <c r="AK8" s="173">
        <v>7</v>
      </c>
    </row>
    <row r="9" spans="1:37" x14ac:dyDescent="0.25">
      <c r="A9" s="169" t="s">
        <v>304</v>
      </c>
      <c r="B9" s="169" t="s">
        <v>172</v>
      </c>
      <c r="C9" s="169" t="s">
        <v>361</v>
      </c>
      <c r="D9">
        <v>429013734</v>
      </c>
      <c r="F9" s="169" t="s">
        <v>183</v>
      </c>
      <c r="J9" s="169" t="s">
        <v>172</v>
      </c>
      <c r="K9">
        <v>33</v>
      </c>
      <c r="L9">
        <v>68</v>
      </c>
      <c r="M9">
        <v>55090</v>
      </c>
      <c r="N9">
        <v>22104</v>
      </c>
      <c r="O9">
        <v>0</v>
      </c>
      <c r="P9">
        <v>13</v>
      </c>
      <c r="Q9">
        <v>4</v>
      </c>
      <c r="R9">
        <v>3</v>
      </c>
      <c r="S9">
        <v>7</v>
      </c>
      <c r="T9">
        <v>7</v>
      </c>
      <c r="U9" s="168">
        <v>44769</v>
      </c>
      <c r="V9">
        <v>9</v>
      </c>
      <c r="W9" s="169" t="s">
        <v>146</v>
      </c>
      <c r="X9">
        <v>1</v>
      </c>
      <c r="Y9">
        <v>1</v>
      </c>
      <c r="AC9" s="172" t="s">
        <v>347</v>
      </c>
      <c r="AD9" s="169">
        <v>1</v>
      </c>
      <c r="AE9" s="173">
        <v>22</v>
      </c>
      <c r="AF9" s="173">
        <v>39</v>
      </c>
      <c r="AG9" s="173">
        <v>3230</v>
      </c>
      <c r="AH9" s="173">
        <v>370</v>
      </c>
      <c r="AI9" s="173">
        <v>7</v>
      </c>
      <c r="AJ9" s="173">
        <v>3</v>
      </c>
      <c r="AK9" s="173">
        <v>8</v>
      </c>
    </row>
    <row r="10" spans="1:37" x14ac:dyDescent="0.25">
      <c r="A10" s="169" t="s">
        <v>306</v>
      </c>
      <c r="B10" s="169" t="s">
        <v>172</v>
      </c>
      <c r="C10" s="169" t="s">
        <v>369</v>
      </c>
      <c r="D10">
        <v>433207304</v>
      </c>
      <c r="F10" s="169" t="s">
        <v>183</v>
      </c>
      <c r="J10" s="169" t="s">
        <v>172</v>
      </c>
      <c r="K10">
        <v>32</v>
      </c>
      <c r="L10">
        <v>9</v>
      </c>
      <c r="M10">
        <v>50710</v>
      </c>
      <c r="N10">
        <v>14052</v>
      </c>
      <c r="O10">
        <v>1</v>
      </c>
      <c r="P10">
        <v>10</v>
      </c>
      <c r="Q10">
        <v>5</v>
      </c>
      <c r="R10">
        <v>4</v>
      </c>
      <c r="S10">
        <v>8</v>
      </c>
      <c r="T10">
        <v>6</v>
      </c>
      <c r="U10" s="168">
        <v>44769</v>
      </c>
      <c r="V10">
        <v>8</v>
      </c>
      <c r="W10" s="169" t="s">
        <v>177</v>
      </c>
      <c r="X10">
        <v>1</v>
      </c>
      <c r="Y10">
        <v>1</v>
      </c>
      <c r="AC10" s="172" t="s">
        <v>229</v>
      </c>
      <c r="AD10" s="169">
        <v>14</v>
      </c>
      <c r="AE10" s="173">
        <v>31.357142857142858</v>
      </c>
      <c r="AF10" s="173">
        <v>55.357142857142854</v>
      </c>
      <c r="AG10" s="173">
        <v>1266740</v>
      </c>
      <c r="AH10" s="173">
        <v>281724</v>
      </c>
      <c r="AI10" s="173">
        <v>7.2857142857142856</v>
      </c>
      <c r="AJ10" s="173">
        <v>10.571428571428571</v>
      </c>
      <c r="AK10" s="173">
        <v>7.1428571428571432</v>
      </c>
    </row>
    <row r="11" spans="1:37" x14ac:dyDescent="0.25">
      <c r="A11" s="169" t="s">
        <v>292</v>
      </c>
      <c r="B11" s="169" t="s">
        <v>172</v>
      </c>
      <c r="C11" s="169" t="s">
        <v>368</v>
      </c>
      <c r="D11">
        <v>426083825</v>
      </c>
      <c r="F11" s="169" t="s">
        <v>171</v>
      </c>
      <c r="J11" s="169" t="s">
        <v>172</v>
      </c>
      <c r="K11">
        <v>34</v>
      </c>
      <c r="L11">
        <v>89</v>
      </c>
      <c r="M11">
        <v>39920</v>
      </c>
      <c r="N11">
        <v>22476</v>
      </c>
      <c r="O11">
        <v>131</v>
      </c>
      <c r="P11">
        <v>13</v>
      </c>
      <c r="Q11">
        <v>3</v>
      </c>
      <c r="R11">
        <v>20</v>
      </c>
      <c r="S11">
        <v>8</v>
      </c>
      <c r="T11">
        <v>7</v>
      </c>
      <c r="U11" s="168">
        <v>44769</v>
      </c>
      <c r="V11">
        <v>85</v>
      </c>
      <c r="W11" s="169" t="s">
        <v>201</v>
      </c>
      <c r="X11">
        <v>1</v>
      </c>
      <c r="Y11">
        <v>1</v>
      </c>
    </row>
    <row r="12" spans="1:37" x14ac:dyDescent="0.25">
      <c r="A12" s="169" t="s">
        <v>292</v>
      </c>
      <c r="B12" s="169" t="s">
        <v>172</v>
      </c>
      <c r="C12" s="169" t="s">
        <v>370</v>
      </c>
      <c r="D12">
        <v>427940588</v>
      </c>
      <c r="F12" s="169" t="s">
        <v>172</v>
      </c>
      <c r="J12" s="169" t="s">
        <v>172</v>
      </c>
      <c r="K12">
        <v>33</v>
      </c>
      <c r="L12">
        <v>100</v>
      </c>
      <c r="M12">
        <v>36950</v>
      </c>
      <c r="N12">
        <v>12060</v>
      </c>
      <c r="O12">
        <v>1</v>
      </c>
      <c r="P12">
        <v>14</v>
      </c>
      <c r="Q12">
        <v>4</v>
      </c>
      <c r="R12">
        <v>4</v>
      </c>
      <c r="S12">
        <v>8</v>
      </c>
      <c r="T12">
        <v>7</v>
      </c>
      <c r="U12" s="168">
        <v>44769</v>
      </c>
      <c r="V12">
        <v>8</v>
      </c>
      <c r="W12" s="169" t="s">
        <v>207</v>
      </c>
      <c r="X12">
        <v>1</v>
      </c>
      <c r="Y12">
        <v>1</v>
      </c>
    </row>
    <row r="13" spans="1:37" x14ac:dyDescent="0.25">
      <c r="A13" s="169" t="s">
        <v>174</v>
      </c>
      <c r="B13" s="169" t="s">
        <v>172</v>
      </c>
      <c r="C13" s="169" t="s">
        <v>351</v>
      </c>
      <c r="D13">
        <v>435691290</v>
      </c>
      <c r="F13" s="169" t="s">
        <v>172</v>
      </c>
      <c r="G13">
        <v>1</v>
      </c>
      <c r="J13" s="169" t="s">
        <v>172</v>
      </c>
      <c r="K13">
        <v>30</v>
      </c>
      <c r="L13">
        <v>107</v>
      </c>
      <c r="M13">
        <v>18660</v>
      </c>
      <c r="N13">
        <v>1690</v>
      </c>
      <c r="O13">
        <v>222</v>
      </c>
      <c r="P13">
        <v>4</v>
      </c>
      <c r="Q13">
        <v>5</v>
      </c>
      <c r="R13">
        <v>20</v>
      </c>
      <c r="S13">
        <v>8</v>
      </c>
      <c r="T13">
        <v>8</v>
      </c>
      <c r="U13" s="168">
        <v>44765</v>
      </c>
      <c r="V13">
        <v>6</v>
      </c>
      <c r="W13" s="169" t="s">
        <v>201</v>
      </c>
      <c r="X13">
        <v>1</v>
      </c>
      <c r="Y13">
        <v>1</v>
      </c>
    </row>
    <row r="14" spans="1:37" x14ac:dyDescent="0.25">
      <c r="A14" s="169" t="s">
        <v>174</v>
      </c>
      <c r="B14" s="169" t="s">
        <v>172</v>
      </c>
      <c r="C14" s="169" t="s">
        <v>357</v>
      </c>
      <c r="D14">
        <v>433873906</v>
      </c>
      <c r="F14" s="169" t="s">
        <v>172</v>
      </c>
      <c r="G14">
        <v>1</v>
      </c>
      <c r="J14" s="169" t="s">
        <v>172</v>
      </c>
      <c r="K14">
        <v>32</v>
      </c>
      <c r="L14">
        <v>17</v>
      </c>
      <c r="M14">
        <v>6710</v>
      </c>
      <c r="N14">
        <v>1150</v>
      </c>
      <c r="O14">
        <v>235</v>
      </c>
      <c r="P14">
        <v>4</v>
      </c>
      <c r="Q14">
        <v>3</v>
      </c>
      <c r="R14">
        <v>20</v>
      </c>
      <c r="S14">
        <v>7</v>
      </c>
      <c r="T14">
        <v>7</v>
      </c>
      <c r="U14" s="168">
        <v>44755</v>
      </c>
      <c r="V14">
        <v>5</v>
      </c>
      <c r="W14" s="169" t="s">
        <v>147</v>
      </c>
      <c r="X14">
        <v>1</v>
      </c>
      <c r="Y14">
        <v>1</v>
      </c>
    </row>
    <row r="15" spans="1:37" x14ac:dyDescent="0.25">
      <c r="A15" s="169" t="s">
        <v>174</v>
      </c>
      <c r="B15" s="169" t="s">
        <v>172</v>
      </c>
      <c r="C15" s="169" t="s">
        <v>346</v>
      </c>
      <c r="D15">
        <v>462622778</v>
      </c>
      <c r="F15" s="169" t="s">
        <v>347</v>
      </c>
      <c r="G15">
        <v>1</v>
      </c>
      <c r="J15" s="169" t="s">
        <v>172</v>
      </c>
      <c r="K15">
        <v>22</v>
      </c>
      <c r="L15">
        <v>39</v>
      </c>
      <c r="M15">
        <v>3230</v>
      </c>
      <c r="N15">
        <v>370</v>
      </c>
      <c r="O15">
        <v>45</v>
      </c>
      <c r="P15">
        <v>3</v>
      </c>
      <c r="Q15">
        <v>4</v>
      </c>
      <c r="R15">
        <v>20</v>
      </c>
      <c r="S15">
        <v>7</v>
      </c>
      <c r="T15">
        <v>8</v>
      </c>
      <c r="U15" s="168">
        <v>44748</v>
      </c>
      <c r="V15">
        <v>45</v>
      </c>
      <c r="W15" s="169" t="s">
        <v>147</v>
      </c>
      <c r="X15">
        <v>1</v>
      </c>
      <c r="Y15">
        <v>1</v>
      </c>
    </row>
    <row r="16" spans="1:37" x14ac:dyDescent="0.25">
      <c r="A16" s="169" t="s">
        <v>174</v>
      </c>
      <c r="B16" s="169" t="s">
        <v>172</v>
      </c>
      <c r="C16" s="169" t="s">
        <v>367</v>
      </c>
      <c r="D16">
        <v>433917884</v>
      </c>
      <c r="F16" s="169" t="s">
        <v>171</v>
      </c>
      <c r="G16">
        <v>1</v>
      </c>
      <c r="J16" s="169" t="s">
        <v>172</v>
      </c>
      <c r="K16">
        <v>32</v>
      </c>
      <c r="L16">
        <v>58</v>
      </c>
      <c r="M16">
        <v>2620</v>
      </c>
      <c r="N16">
        <v>950</v>
      </c>
      <c r="O16">
        <v>234</v>
      </c>
      <c r="P16">
        <v>3</v>
      </c>
      <c r="Q16">
        <v>5</v>
      </c>
      <c r="R16">
        <v>20</v>
      </c>
      <c r="S16">
        <v>6</v>
      </c>
      <c r="T16">
        <v>7</v>
      </c>
      <c r="U16" s="168">
        <v>44755</v>
      </c>
      <c r="V16">
        <v>5</v>
      </c>
      <c r="W16" s="169" t="s">
        <v>201</v>
      </c>
      <c r="Y16">
        <v>1</v>
      </c>
    </row>
    <row r="17" spans="1:25" x14ac:dyDescent="0.25">
      <c r="A17" s="169" t="s">
        <v>174</v>
      </c>
      <c r="B17" s="169" t="s">
        <v>172</v>
      </c>
      <c r="C17" s="169" t="s">
        <v>353</v>
      </c>
      <c r="D17">
        <v>438575162</v>
      </c>
      <c r="F17" s="169" t="s">
        <v>183</v>
      </c>
      <c r="G17">
        <v>1</v>
      </c>
      <c r="J17" s="169" t="s">
        <v>172</v>
      </c>
      <c r="K17">
        <v>31</v>
      </c>
      <c r="L17">
        <v>72</v>
      </c>
      <c r="M17">
        <v>2070</v>
      </c>
      <c r="N17">
        <v>490</v>
      </c>
      <c r="O17">
        <v>200</v>
      </c>
      <c r="P17">
        <v>3</v>
      </c>
      <c r="Q17">
        <v>4</v>
      </c>
      <c r="R17">
        <v>20</v>
      </c>
      <c r="S17">
        <v>6</v>
      </c>
      <c r="T17">
        <v>6</v>
      </c>
      <c r="U17" s="168">
        <v>44720</v>
      </c>
      <c r="V17">
        <v>25</v>
      </c>
      <c r="W17" s="169" t="s">
        <v>146</v>
      </c>
      <c r="Y17">
        <v>1</v>
      </c>
    </row>
    <row r="18" spans="1:25" x14ac:dyDescent="0.25">
      <c r="A18" s="169" t="s">
        <v>174</v>
      </c>
      <c r="B18" s="169" t="s">
        <v>172</v>
      </c>
      <c r="C18" s="169" t="s">
        <v>354</v>
      </c>
      <c r="D18">
        <v>465852705</v>
      </c>
      <c r="F18" s="169" t="s">
        <v>176</v>
      </c>
      <c r="G18">
        <v>1</v>
      </c>
      <c r="J18" s="169" t="s">
        <v>172</v>
      </c>
      <c r="K18">
        <v>20</v>
      </c>
      <c r="L18">
        <v>9</v>
      </c>
      <c r="M18">
        <v>1410</v>
      </c>
      <c r="N18">
        <v>310</v>
      </c>
      <c r="O18">
        <v>23</v>
      </c>
      <c r="P18">
        <v>2</v>
      </c>
      <c r="Q18">
        <v>3</v>
      </c>
      <c r="R18">
        <v>20</v>
      </c>
      <c r="S18">
        <v>6</v>
      </c>
      <c r="T18">
        <v>8</v>
      </c>
      <c r="U18" s="168">
        <v>44762</v>
      </c>
      <c r="V18">
        <v>35</v>
      </c>
      <c r="W18" s="169" t="s">
        <v>146</v>
      </c>
      <c r="Y18">
        <v>1</v>
      </c>
    </row>
    <row r="19" spans="1:25" x14ac:dyDescent="0.25">
      <c r="A19" s="169" t="s">
        <v>174</v>
      </c>
      <c r="B19" s="169" t="s">
        <v>172</v>
      </c>
      <c r="C19" s="169" t="s">
        <v>359</v>
      </c>
      <c r="D19">
        <v>461499946</v>
      </c>
      <c r="F19" s="169" t="s">
        <v>180</v>
      </c>
      <c r="G19">
        <v>1</v>
      </c>
      <c r="J19" s="169" t="s">
        <v>172</v>
      </c>
      <c r="K19">
        <v>20</v>
      </c>
      <c r="L19">
        <v>56</v>
      </c>
      <c r="M19">
        <v>1280</v>
      </c>
      <c r="N19">
        <v>390</v>
      </c>
      <c r="O19">
        <v>54</v>
      </c>
      <c r="P19">
        <v>2</v>
      </c>
      <c r="Q19">
        <v>3</v>
      </c>
      <c r="R19">
        <v>20</v>
      </c>
      <c r="S19">
        <v>5</v>
      </c>
      <c r="T19">
        <v>9</v>
      </c>
      <c r="U19" s="168">
        <v>44762</v>
      </c>
      <c r="V19">
        <v>25</v>
      </c>
      <c r="W19" s="169" t="s">
        <v>146</v>
      </c>
      <c r="Y19">
        <v>1</v>
      </c>
    </row>
    <row r="20" spans="1:25" x14ac:dyDescent="0.25">
      <c r="A20" s="169" t="s">
        <v>174</v>
      </c>
      <c r="B20" s="169" t="s">
        <v>172</v>
      </c>
      <c r="C20" s="169" t="s">
        <v>355</v>
      </c>
      <c r="D20">
        <v>469974779</v>
      </c>
      <c r="F20" s="169" t="s">
        <v>183</v>
      </c>
      <c r="G20">
        <v>1</v>
      </c>
      <c r="J20" s="169" t="s">
        <v>172</v>
      </c>
      <c r="K20">
        <v>19</v>
      </c>
      <c r="L20">
        <v>54</v>
      </c>
      <c r="M20">
        <v>920</v>
      </c>
      <c r="N20">
        <v>330</v>
      </c>
      <c r="O20">
        <v>7</v>
      </c>
      <c r="P20">
        <v>2</v>
      </c>
      <c r="Q20">
        <v>4</v>
      </c>
      <c r="R20">
        <v>20</v>
      </c>
      <c r="S20">
        <v>6</v>
      </c>
      <c r="T20">
        <v>7</v>
      </c>
      <c r="U20" s="168">
        <v>44762</v>
      </c>
      <c r="V20">
        <v>3</v>
      </c>
      <c r="W20" s="169" t="s">
        <v>146</v>
      </c>
      <c r="Y20">
        <v>1</v>
      </c>
    </row>
    <row r="21" spans="1:25" x14ac:dyDescent="0.25">
      <c r="A21" s="169" t="s">
        <v>210</v>
      </c>
      <c r="B21" s="169" t="s">
        <v>172</v>
      </c>
      <c r="C21" s="169" t="s">
        <v>352</v>
      </c>
      <c r="D21">
        <v>412041029</v>
      </c>
      <c r="F21" s="169" t="s">
        <v>172</v>
      </c>
      <c r="J21" s="169" t="s">
        <v>172</v>
      </c>
      <c r="K21">
        <v>40</v>
      </c>
      <c r="L21">
        <v>20</v>
      </c>
      <c r="M21">
        <v>860</v>
      </c>
      <c r="N21">
        <v>588</v>
      </c>
      <c r="O21">
        <v>54</v>
      </c>
      <c r="P21">
        <v>11</v>
      </c>
      <c r="Q21">
        <v>5</v>
      </c>
      <c r="R21">
        <v>20</v>
      </c>
      <c r="S21">
        <v>7</v>
      </c>
      <c r="T21">
        <v>4</v>
      </c>
      <c r="U21" s="168">
        <v>44765</v>
      </c>
      <c r="V21">
        <v>45</v>
      </c>
      <c r="W21" s="169" t="s">
        <v>173</v>
      </c>
      <c r="Y21">
        <v>1</v>
      </c>
    </row>
    <row r="22" spans="1:25" x14ac:dyDescent="0.25">
      <c r="A22" s="169" t="s">
        <v>174</v>
      </c>
      <c r="B22" s="169" t="s">
        <v>172</v>
      </c>
      <c r="C22" s="169" t="s">
        <v>358</v>
      </c>
      <c r="D22">
        <v>428002107</v>
      </c>
      <c r="F22" s="169" t="s">
        <v>347</v>
      </c>
      <c r="G22">
        <v>1</v>
      </c>
      <c r="J22" s="169" t="s">
        <v>172</v>
      </c>
      <c r="K22">
        <v>33</v>
      </c>
      <c r="L22">
        <v>108</v>
      </c>
      <c r="M22">
        <v>810</v>
      </c>
      <c r="N22">
        <v>350</v>
      </c>
      <c r="O22">
        <v>269</v>
      </c>
      <c r="P22">
        <v>4</v>
      </c>
      <c r="Q22">
        <v>6</v>
      </c>
      <c r="R22">
        <v>20</v>
      </c>
      <c r="S22">
        <v>7</v>
      </c>
      <c r="T22">
        <v>7</v>
      </c>
      <c r="U22" s="168">
        <v>44762</v>
      </c>
      <c r="V22">
        <v>35</v>
      </c>
      <c r="W22" s="169" t="s">
        <v>177</v>
      </c>
      <c r="Y22">
        <v>1</v>
      </c>
    </row>
    <row r="23" spans="1:25" x14ac:dyDescent="0.25">
      <c r="A23" s="169" t="s">
        <v>174</v>
      </c>
      <c r="B23" s="169" t="s">
        <v>172</v>
      </c>
      <c r="C23" s="169" t="s">
        <v>365</v>
      </c>
      <c r="D23">
        <v>459498680</v>
      </c>
      <c r="F23" s="169" t="s">
        <v>172</v>
      </c>
      <c r="G23">
        <v>1</v>
      </c>
      <c r="J23" s="169" t="s">
        <v>172</v>
      </c>
      <c r="K23">
        <v>23</v>
      </c>
      <c r="L23">
        <v>23</v>
      </c>
      <c r="M23">
        <v>130</v>
      </c>
      <c r="N23">
        <v>790</v>
      </c>
      <c r="O23">
        <v>69</v>
      </c>
      <c r="P23">
        <v>3</v>
      </c>
      <c r="Q23">
        <v>2</v>
      </c>
      <c r="R23">
        <v>20</v>
      </c>
      <c r="S23">
        <v>6</v>
      </c>
      <c r="T23">
        <v>8</v>
      </c>
      <c r="U23" s="168">
        <v>44755</v>
      </c>
      <c r="V23">
        <v>3</v>
      </c>
      <c r="W23" s="169" t="s">
        <v>207</v>
      </c>
      <c r="Y23">
        <v>1</v>
      </c>
    </row>
    <row r="24" spans="1:25" x14ac:dyDescent="0.25">
      <c r="A24" s="169" t="s">
        <v>190</v>
      </c>
      <c r="B24" s="169" t="s">
        <v>172</v>
      </c>
      <c r="C24" s="169" t="s">
        <v>345</v>
      </c>
      <c r="D24">
        <v>400848125</v>
      </c>
      <c r="F24" s="169" t="s">
        <v>172</v>
      </c>
      <c r="J24" s="169" t="s">
        <v>172</v>
      </c>
      <c r="K24">
        <v>44</v>
      </c>
      <c r="L24">
        <v>56</v>
      </c>
      <c r="M24">
        <v>0</v>
      </c>
      <c r="N24">
        <v>300</v>
      </c>
      <c r="O24">
        <v>313</v>
      </c>
      <c r="P24">
        <v>5</v>
      </c>
      <c r="Q24">
        <v>3</v>
      </c>
      <c r="R24">
        <v>20</v>
      </c>
      <c r="S24">
        <v>2</v>
      </c>
      <c r="T24">
        <v>2</v>
      </c>
      <c r="U24" s="168">
        <v>44709</v>
      </c>
      <c r="V24">
        <v>0</v>
      </c>
      <c r="W24" s="169" t="s">
        <v>146</v>
      </c>
      <c r="Y24">
        <v>1</v>
      </c>
    </row>
    <row r="25" spans="1:25" x14ac:dyDescent="0.25">
      <c r="A25" s="169" t="s">
        <v>362</v>
      </c>
      <c r="B25" s="169" t="s">
        <v>172</v>
      </c>
      <c r="C25" s="169" t="s">
        <v>363</v>
      </c>
      <c r="D25">
        <v>391463093</v>
      </c>
      <c r="E25">
        <v>1</v>
      </c>
      <c r="F25" s="169" t="s">
        <v>183</v>
      </c>
      <c r="H25">
        <v>999</v>
      </c>
      <c r="J25" s="169" t="s">
        <v>172</v>
      </c>
      <c r="K25">
        <v>45</v>
      </c>
      <c r="L25">
        <v>6</v>
      </c>
      <c r="M25">
        <v>0</v>
      </c>
      <c r="N25">
        <v>300</v>
      </c>
      <c r="O25">
        <v>161</v>
      </c>
      <c r="P25">
        <v>16</v>
      </c>
      <c r="Q25">
        <v>4</v>
      </c>
      <c r="R25">
        <v>20</v>
      </c>
      <c r="S25">
        <v>4</v>
      </c>
      <c r="T25">
        <v>1</v>
      </c>
      <c r="U25" s="168">
        <v>44272</v>
      </c>
      <c r="V25">
        <v>35</v>
      </c>
      <c r="W25" s="169" t="s">
        <v>148</v>
      </c>
      <c r="Y25">
        <v>1</v>
      </c>
    </row>
    <row r="26" spans="1:25" x14ac:dyDescent="0.25">
      <c r="A26" s="169" t="s">
        <v>190</v>
      </c>
      <c r="B26" s="169" t="s">
        <v>172</v>
      </c>
      <c r="C26" s="169" t="s">
        <v>366</v>
      </c>
      <c r="D26">
        <v>412154044</v>
      </c>
      <c r="F26" s="169" t="s">
        <v>172</v>
      </c>
      <c r="J26" s="169" t="s">
        <v>172</v>
      </c>
      <c r="K26">
        <v>41</v>
      </c>
      <c r="L26">
        <v>53</v>
      </c>
      <c r="M26">
        <v>0</v>
      </c>
      <c r="N26">
        <v>300</v>
      </c>
      <c r="O26">
        <v>313</v>
      </c>
      <c r="P26">
        <v>5</v>
      </c>
      <c r="Q26">
        <v>4</v>
      </c>
      <c r="R26">
        <v>20</v>
      </c>
      <c r="S26">
        <v>3</v>
      </c>
      <c r="T26">
        <v>2</v>
      </c>
      <c r="U26" s="168">
        <v>44734</v>
      </c>
      <c r="V26">
        <v>5</v>
      </c>
      <c r="W26" s="169" t="s">
        <v>177</v>
      </c>
      <c r="Y26">
        <v>1</v>
      </c>
    </row>
  </sheetData>
  <phoneticPr fontId="2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7517-D1B5-456B-8A89-982039FB0634}">
  <sheetPr>
    <tabColor theme="5" tint="0.59999389629810485"/>
  </sheetPr>
  <dimension ref="A1:BS59"/>
  <sheetViews>
    <sheetView zoomScale="90" zoomScaleNormal="90" workbookViewId="0">
      <selection activeCell="C15" sqref="C15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142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2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245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0.58797156777868098</v>
      </c>
      <c r="U2" s="159">
        <f>SUM(U4:U16)</f>
        <v>1.058910964633653</v>
      </c>
      <c r="V2" s="4"/>
      <c r="W2" s="4"/>
      <c r="X2" s="158">
        <f>SUM(X4:X16)</f>
        <v>0.33994880974657476</v>
      </c>
      <c r="Y2" s="157">
        <f>SUM(Y4:Y16)</f>
        <v>0.59076014584023095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6" t="s">
        <v>4</v>
      </c>
      <c r="C3" s="186"/>
      <c r="D3" s="1" t="str">
        <f>IF(B3="Sol","SI",IF(B3="Lluvia","SI","NO"))</f>
        <v>SI</v>
      </c>
      <c r="E3" s="142"/>
      <c r="F3" s="127"/>
      <c r="G3" s="143" t="s">
        <v>93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94</v>
      </c>
      <c r="F4" s="143" t="s">
        <v>87</v>
      </c>
      <c r="G4" s="143" t="s">
        <v>131</v>
      </c>
      <c r="H4" s="143" t="s">
        <v>87</v>
      </c>
      <c r="I4" s="143" t="s">
        <v>131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2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1.1957555510739445E-2</v>
      </c>
      <c r="U4" s="124">
        <f t="shared" ref="U4:U9" si="4">IF(S4=0,0,S4*Q4^2.7/(P4^2.7+Q4^2.7)*Q4/L4)</f>
        <v>0.15540084989057321</v>
      </c>
      <c r="V4" s="123">
        <f>$G$17</f>
        <v>0.56999999999999995</v>
      </c>
      <c r="W4" s="117">
        <f>$H$17</f>
        <v>0.56999999999999995</v>
      </c>
      <c r="X4" s="122">
        <f t="shared" ref="X4:X16" si="5">V4*T4</f>
        <v>6.8158066411214829E-3</v>
      </c>
      <c r="Y4" s="121">
        <f t="shared" ref="Y4:Y16" si="6">W4*U4</f>
        <v>8.8578484437626726E-2</v>
      </c>
      <c r="Z4" s="146"/>
      <c r="AA4" s="120">
        <f t="shared" ref="AA4:AA16" si="7">X4</f>
        <v>6.8158066411214829E-3</v>
      </c>
      <c r="AB4" s="119">
        <f t="shared" ref="AB4:AB16" si="8">1-AA4</f>
        <v>0.99318419335887853</v>
      </c>
      <c r="AC4" s="119">
        <f>PRODUCT(AB5:AB16)*AA4</f>
        <v>4.8389665339976544E-3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9">Y4</f>
        <v>8.8578484437626726E-2</v>
      </c>
      <c r="AH4" s="117">
        <f t="shared" ref="AH4:AH16" si="10">(1-AG4)</f>
        <v>0.91142151556237327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1">$H$25*H40</f>
        <v>1.0537006528714466E-2</v>
      </c>
      <c r="BM4" s="1">
        <v>0</v>
      </c>
      <c r="BN4" s="1">
        <v>0</v>
      </c>
      <c r="BO4" s="2">
        <f>H25*H39</f>
        <v>4.4500480885198588E-3</v>
      </c>
      <c r="BQ4" s="1">
        <v>1</v>
      </c>
      <c r="BR4" s="1">
        <v>0</v>
      </c>
      <c r="BS4" s="2">
        <f>$H$26*H39</f>
        <v>1.6075287288904817E-2</v>
      </c>
    </row>
    <row r="5" spans="1:71" ht="15.75" x14ac:dyDescent="0.25">
      <c r="A5" s="65" t="s">
        <v>97</v>
      </c>
      <c r="B5" s="145">
        <v>352</v>
      </c>
      <c r="C5" s="145">
        <v>532</v>
      </c>
      <c r="E5" s="143" t="s">
        <v>93</v>
      </c>
      <c r="F5" s="143" t="s">
        <v>94</v>
      </c>
      <c r="G5" s="143" t="s">
        <v>87</v>
      </c>
      <c r="H5" s="143" t="s">
        <v>131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2</v>
      </c>
      <c r="Q5" s="126">
        <f>COUNTIF(E10:I11,"IMP")</f>
        <v>0</v>
      </c>
      <c r="R5" s="96">
        <f t="shared" si="1"/>
        <v>0.35</v>
      </c>
      <c r="S5" s="96">
        <f t="shared" si="2"/>
        <v>0.41840390879478823</v>
      </c>
      <c r="T5" s="125">
        <f t="shared" si="3"/>
        <v>0.10460097719869706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5.9622557003257318E-2</v>
      </c>
      <c r="Y5" s="121">
        <f t="shared" si="6"/>
        <v>0</v>
      </c>
      <c r="Z5" s="102"/>
      <c r="AA5" s="120">
        <f t="shared" si="7"/>
        <v>5.9622557003257318E-2</v>
      </c>
      <c r="AB5" s="119">
        <f t="shared" si="8"/>
        <v>0.94037744299674264</v>
      </c>
      <c r="AC5" s="119">
        <f>PRODUCT(AB6:AB16)*AA5*PRODUCT(AB4)</f>
        <v>4.4706796440019278E-2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1.2918492529318201E-2</v>
      </c>
      <c r="AF5" s="100"/>
      <c r="AG5" s="118">
        <f t="shared" si="9"/>
        <v>0</v>
      </c>
      <c r="AH5" s="117">
        <f t="shared" si="10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1"/>
        <v>1.1387673087999005E-2</v>
      </c>
      <c r="BM5" s="1">
        <v>1</v>
      </c>
      <c r="BN5" s="1">
        <v>1</v>
      </c>
      <c r="BO5" s="2">
        <f>$H$26*H40</f>
        <v>3.8063725097966399E-2</v>
      </c>
      <c r="BQ5" s="1">
        <f>BQ4+1</f>
        <v>2</v>
      </c>
      <c r="BR5" s="1">
        <v>0</v>
      </c>
      <c r="BS5" s="2">
        <f>$H$27*H39</f>
        <v>2.6623479538778319E-2</v>
      </c>
    </row>
    <row r="6" spans="1:71" ht="15.75" x14ac:dyDescent="0.25">
      <c r="A6" s="144" t="s">
        <v>95</v>
      </c>
      <c r="B6" s="135">
        <v>10.5</v>
      </c>
      <c r="C6" s="134">
        <v>4.25</v>
      </c>
      <c r="E6" s="142"/>
      <c r="F6" s="143" t="s">
        <v>94</v>
      </c>
      <c r="G6" s="143" t="s">
        <v>93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2</v>
      </c>
      <c r="Q6" s="126">
        <f>COUNTIF(E9:I11,"IMP")</f>
        <v>2</v>
      </c>
      <c r="R6" s="96">
        <f t="shared" si="1"/>
        <v>0.45</v>
      </c>
      <c r="S6" s="96">
        <f t="shared" si="2"/>
        <v>0.53794788273615635</v>
      </c>
      <c r="T6" s="125">
        <f t="shared" si="3"/>
        <v>4.1380606364319721E-2</v>
      </c>
      <c r="U6" s="124">
        <f t="shared" si="4"/>
        <v>4.1380606364319721E-2</v>
      </c>
      <c r="V6" s="123">
        <f>$G$18</f>
        <v>0.45</v>
      </c>
      <c r="W6" s="117">
        <f>$H$18</f>
        <v>0.45</v>
      </c>
      <c r="X6" s="122">
        <f t="shared" si="5"/>
        <v>1.8621272863943876E-2</v>
      </c>
      <c r="Y6" s="121">
        <f t="shared" si="6"/>
        <v>1.8621272863943876E-2</v>
      </c>
      <c r="Z6" s="102"/>
      <c r="AA6" s="120">
        <f t="shared" si="7"/>
        <v>1.8621272863943876E-2</v>
      </c>
      <c r="AB6" s="119">
        <f t="shared" si="8"/>
        <v>0.98137872713605612</v>
      </c>
      <c r="AC6" s="119">
        <f>PRODUCT(AB7:AB16)*AA6*PRODUCT(AB4:AB5)</f>
        <v>1.3379438282802639E-2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3.6122579179734011E-3</v>
      </c>
      <c r="AF6" s="100"/>
      <c r="AG6" s="118">
        <f t="shared" si="9"/>
        <v>1.8621272863943876E-2</v>
      </c>
      <c r="AH6" s="117">
        <f t="shared" si="10"/>
        <v>0.98137872713605612</v>
      </c>
      <c r="AI6" s="117">
        <f>AG6*PRODUCT(AH3:AH5)*PRODUCT(AH7:AH17)</f>
        <v>9.9850369191383688E-3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5.8357770577662903E-3</v>
      </c>
      <c r="AL6" s="98"/>
      <c r="AN6" s="97"/>
      <c r="AO6" s="96"/>
      <c r="BI6" s="1">
        <v>0</v>
      </c>
      <c r="BJ6" s="1">
        <v>3</v>
      </c>
      <c r="BK6" s="2">
        <f t="shared" si="11"/>
        <v>8.1937444497346672E-3</v>
      </c>
      <c r="BM6" s="1">
        <f>BI14+1</f>
        <v>2</v>
      </c>
      <c r="BN6" s="1">
        <v>2</v>
      </c>
      <c r="BO6" s="2">
        <f>$H$27*H41</f>
        <v>6.8129484316085065E-2</v>
      </c>
      <c r="BQ6" s="1">
        <f>BM5+1</f>
        <v>2</v>
      </c>
      <c r="BR6" s="1">
        <v>1</v>
      </c>
      <c r="BS6" s="2">
        <f>$H$27*H40</f>
        <v>6.3040167687381451E-2</v>
      </c>
    </row>
    <row r="7" spans="1:71" ht="15.75" x14ac:dyDescent="0.25">
      <c r="A7" s="141" t="s">
        <v>92</v>
      </c>
      <c r="B7" s="135">
        <v>14.5</v>
      </c>
      <c r="C7" s="134">
        <v>22.5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0</v>
      </c>
      <c r="R7" s="96">
        <f t="shared" si="1"/>
        <v>0.04</v>
      </c>
      <c r="S7" s="96">
        <f t="shared" si="2"/>
        <v>4.7817589576547234E-2</v>
      </c>
      <c r="T7" s="125">
        <f t="shared" si="3"/>
        <v>1.1954397394136809E-2</v>
      </c>
      <c r="U7" s="124">
        <f t="shared" si="4"/>
        <v>0</v>
      </c>
      <c r="V7" s="123">
        <f>$G$18</f>
        <v>0.45</v>
      </c>
      <c r="W7" s="117">
        <f>$H$18</f>
        <v>0.45</v>
      </c>
      <c r="X7" s="122">
        <f t="shared" si="5"/>
        <v>5.3794788273615638E-3</v>
      </c>
      <c r="Y7" s="121">
        <f t="shared" si="6"/>
        <v>0</v>
      </c>
      <c r="Z7" s="102"/>
      <c r="AA7" s="120">
        <f t="shared" si="7"/>
        <v>5.3794788273615638E-3</v>
      </c>
      <c r="AB7" s="119">
        <f t="shared" si="8"/>
        <v>0.99462052117263844</v>
      </c>
      <c r="AC7" s="119">
        <f>PRODUCT(AB8:AB$16)*AA7*PRODUCT(AB$4:AB6)</f>
        <v>3.8137124398357316E-3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1.0090213348984201E-3</v>
      </c>
      <c r="AF7" s="100"/>
      <c r="AG7" s="118">
        <f t="shared" si="9"/>
        <v>0</v>
      </c>
      <c r="AH7" s="117">
        <f t="shared" si="10"/>
        <v>1</v>
      </c>
      <c r="AI7" s="117">
        <f>AG7*PRODUCT(AH3:AH6)*PRODUCT(AH8:AH17)</f>
        <v>0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L7" s="98"/>
      <c r="AN7" s="97"/>
      <c r="AO7" s="96"/>
      <c r="BI7" s="1">
        <v>0</v>
      </c>
      <c r="BJ7" s="1">
        <v>4</v>
      </c>
      <c r="BK7" s="2">
        <f t="shared" si="11"/>
        <v>4.6116231226427783E-3</v>
      </c>
      <c r="BM7" s="1">
        <f>BI23+1</f>
        <v>3</v>
      </c>
      <c r="BN7" s="1">
        <v>3</v>
      </c>
      <c r="BO7" s="2">
        <f>$H$28*H42</f>
        <v>4.9307250141635013E-2</v>
      </c>
      <c r="BQ7" s="1">
        <f>BQ5+1</f>
        <v>3</v>
      </c>
      <c r="BR7" s="1">
        <v>0</v>
      </c>
      <c r="BS7" s="2">
        <f>$H$28*H39</f>
        <v>2.677892086932962E-2</v>
      </c>
    </row>
    <row r="8" spans="1:71" ht="15.75" x14ac:dyDescent="0.25">
      <c r="A8" s="141" t="s">
        <v>90</v>
      </c>
      <c r="B8" s="135">
        <v>13.25</v>
      </c>
      <c r="C8" s="134">
        <v>21.25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2</v>
      </c>
      <c r="Q8" s="126">
        <f>COUNTIF(E10:I11,"RAP")</f>
        <v>5</v>
      </c>
      <c r="R8" s="96">
        <f t="shared" si="1"/>
        <v>0.5</v>
      </c>
      <c r="S8" s="96">
        <f t="shared" si="2"/>
        <v>0.59771986970684043</v>
      </c>
      <c r="T8" s="125">
        <f t="shared" si="3"/>
        <v>1.161103312245922E-2</v>
      </c>
      <c r="U8" s="124">
        <f t="shared" si="4"/>
        <v>0.34454733576062718</v>
      </c>
      <c r="V8" s="123">
        <f>$G$17</f>
        <v>0.56999999999999995</v>
      </c>
      <c r="W8" s="117">
        <f>$H$17</f>
        <v>0.56999999999999995</v>
      </c>
      <c r="X8" s="122">
        <f t="shared" si="5"/>
        <v>6.6182888798017548E-3</v>
      </c>
      <c r="Y8" s="121">
        <f t="shared" si="6"/>
        <v>0.19639198138355748</v>
      </c>
      <c r="Z8" s="102"/>
      <c r="AA8" s="120">
        <f t="shared" si="7"/>
        <v>6.6182888798017548E-3</v>
      </c>
      <c r="AB8" s="119">
        <f t="shared" si="8"/>
        <v>0.99338171112019824</v>
      </c>
      <c r="AC8" s="119">
        <f>PRODUCT(AB9:AB$16)*AA8*PRODUCT(AB$4:AB7)</f>
        <v>4.6978020802954327E-3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1.2116327368073354E-3</v>
      </c>
      <c r="AF8" s="100"/>
      <c r="AG8" s="118">
        <f t="shared" si="9"/>
        <v>0.19639198138355748</v>
      </c>
      <c r="AH8" s="117">
        <f t="shared" si="10"/>
        <v>0.80360801861644249</v>
      </c>
      <c r="AI8" s="117">
        <f>AG8*PRODUCT(AH3:AH7)*PRODUCT(AH9:AH17)</f>
        <v>0.12860458160960334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4.3733845569728071E-2</v>
      </c>
      <c r="AL8" s="98"/>
      <c r="AN8" s="97"/>
      <c r="AO8" s="96"/>
      <c r="BI8" s="1">
        <v>0</v>
      </c>
      <c r="BJ8" s="1">
        <v>5</v>
      </c>
      <c r="BK8" s="2">
        <f t="shared" si="11"/>
        <v>2.0702923073096934E-3</v>
      </c>
      <c r="BM8" s="1">
        <f>BI31+1</f>
        <v>4</v>
      </c>
      <c r="BN8" s="1">
        <v>4</v>
      </c>
      <c r="BO8" s="2">
        <f>$H$29*H43</f>
        <v>1.8934566501897412E-2</v>
      </c>
      <c r="BQ8" s="1">
        <f>BQ6+1</f>
        <v>3</v>
      </c>
      <c r="BR8" s="1">
        <v>1</v>
      </c>
      <c r="BS8" s="2">
        <f>$H$28*H40</f>
        <v>6.3408228050386622E-2</v>
      </c>
    </row>
    <row r="9" spans="1:71" ht="15.75" x14ac:dyDescent="0.25">
      <c r="A9" s="141" t="s">
        <v>88</v>
      </c>
      <c r="B9" s="135">
        <v>14.75</v>
      </c>
      <c r="C9" s="134">
        <v>22.75</v>
      </c>
      <c r="E9" s="140" t="s">
        <v>93</v>
      </c>
      <c r="F9" s="140" t="s">
        <v>87</v>
      </c>
      <c r="G9" s="140" t="s">
        <v>87</v>
      </c>
      <c r="H9" s="140" t="s">
        <v>87</v>
      </c>
      <c r="I9" s="140" t="s">
        <v>93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2</v>
      </c>
      <c r="Q9" s="126">
        <f>COUNTIF(E10:I11,"RAP")</f>
        <v>5</v>
      </c>
      <c r="R9" s="96">
        <f t="shared" si="1"/>
        <v>0.5</v>
      </c>
      <c r="S9" s="96">
        <f t="shared" si="2"/>
        <v>0.59771986970684043</v>
      </c>
      <c r="T9" s="125">
        <f t="shared" si="3"/>
        <v>1.161103312245922E-2</v>
      </c>
      <c r="U9" s="124">
        <f t="shared" si="4"/>
        <v>0.34454733576062718</v>
      </c>
      <c r="V9" s="123">
        <f>$G$17</f>
        <v>0.56999999999999995</v>
      </c>
      <c r="W9" s="117">
        <f>$H$17</f>
        <v>0.56999999999999995</v>
      </c>
      <c r="X9" s="122">
        <f t="shared" si="5"/>
        <v>6.6182888798017548E-3</v>
      </c>
      <c r="Y9" s="121">
        <f t="shared" si="6"/>
        <v>0.19639198138355748</v>
      </c>
      <c r="Z9" s="102"/>
      <c r="AA9" s="120">
        <f t="shared" si="7"/>
        <v>6.6182888798017548E-3</v>
      </c>
      <c r="AB9" s="119">
        <f t="shared" si="8"/>
        <v>0.99338171112019824</v>
      </c>
      <c r="AC9" s="119">
        <f>PRODUCT(AB10:AB$16)*AA9*PRODUCT(AB$4:AB8)</f>
        <v>4.6978020802954327E-3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1.1803341826669858E-3</v>
      </c>
      <c r="AF9" s="100"/>
      <c r="AG9" s="118">
        <f t="shared" si="9"/>
        <v>0.19639198138355748</v>
      </c>
      <c r="AH9" s="117">
        <f t="shared" si="10"/>
        <v>0.80360801861644249</v>
      </c>
      <c r="AI9" s="117">
        <f>AG9*PRODUCT(AH3:AH8)*PRODUCT(AH10:AH17)</f>
        <v>0.12860458160960334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1.2304457096479909E-2</v>
      </c>
      <c r="AL9" s="98"/>
      <c r="AN9" s="97"/>
      <c r="AO9" s="96"/>
      <c r="BI9" s="1">
        <v>0</v>
      </c>
      <c r="BJ9" s="1">
        <v>6</v>
      </c>
      <c r="BK9" s="2">
        <f t="shared" si="11"/>
        <v>7.1029963528330172E-4</v>
      </c>
      <c r="BM9" s="1">
        <f>BI38+1</f>
        <v>5</v>
      </c>
      <c r="BN9" s="1">
        <v>5</v>
      </c>
      <c r="BO9" s="2">
        <f>$H$30*H44</f>
        <v>4.1631995553985468E-3</v>
      </c>
      <c r="BQ9" s="1">
        <f>BM6+1</f>
        <v>3</v>
      </c>
      <c r="BR9" s="1">
        <v>2</v>
      </c>
      <c r="BS9" s="2">
        <f>$H$28*H41</f>
        <v>6.8527258681995482E-2</v>
      </c>
    </row>
    <row r="10" spans="1:71" ht="15.75" x14ac:dyDescent="0.25">
      <c r="A10" s="138" t="s">
        <v>85</v>
      </c>
      <c r="B10" s="135">
        <v>18.75</v>
      </c>
      <c r="C10" s="134">
        <v>16.75</v>
      </c>
      <c r="E10" s="140" t="s">
        <v>3</v>
      </c>
      <c r="F10" s="140" t="s">
        <v>87</v>
      </c>
      <c r="G10" s="140" t="s">
        <v>3</v>
      </c>
      <c r="H10" s="140" t="s">
        <v>87</v>
      </c>
      <c r="I10" s="140" t="s">
        <v>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0.16168829017832495</v>
      </c>
      <c r="U10" s="124">
        <f>S10*G14</f>
        <v>6.5445260310274395E-2</v>
      </c>
      <c r="V10" s="123">
        <f>$G$18</f>
        <v>0.45</v>
      </c>
      <c r="W10" s="117">
        <f>$H$18</f>
        <v>0.45</v>
      </c>
      <c r="X10" s="122">
        <f t="shared" si="5"/>
        <v>7.2759730580246235E-2</v>
      </c>
      <c r="Y10" s="121">
        <f t="shared" si="6"/>
        <v>2.9450367139623478E-2</v>
      </c>
      <c r="Z10" s="102"/>
      <c r="AA10" s="120">
        <f t="shared" si="7"/>
        <v>7.2759730580246235E-2</v>
      </c>
      <c r="AB10" s="119">
        <f t="shared" si="8"/>
        <v>0.92724026941975379</v>
      </c>
      <c r="AC10" s="119">
        <f>PRODUCT(AB11:AB$16)*AA10*PRODUCT(AB$4:AB9)</f>
        <v>5.5330418372681274E-2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9.5601726076162789E-3</v>
      </c>
      <c r="AF10" s="100"/>
      <c r="AG10" s="118">
        <f t="shared" si="9"/>
        <v>2.9450367139623478E-2</v>
      </c>
      <c r="AH10" s="117">
        <f t="shared" si="10"/>
        <v>0.97054963286037654</v>
      </c>
      <c r="AI10" s="117">
        <f>AG10*PRODUCT(AH3:AH9)*PRODUCT(AH11:AH17)</f>
        <v>1.5967977585823145E-2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1.0432303343098914E-3</v>
      </c>
      <c r="AL10" s="98"/>
      <c r="AN10" s="97"/>
      <c r="AO10" s="96"/>
      <c r="BI10" s="1">
        <v>0</v>
      </c>
      <c r="BJ10" s="1">
        <v>7</v>
      </c>
      <c r="BK10" s="2">
        <f t="shared" si="11"/>
        <v>1.7985742659761304E-4</v>
      </c>
      <c r="BM10" s="1">
        <f>BI44+1</f>
        <v>6</v>
      </c>
      <c r="BN10" s="1">
        <v>6</v>
      </c>
      <c r="BO10" s="2">
        <f>$H$31*H45</f>
        <v>5.185088169587321E-4</v>
      </c>
      <c r="BQ10" s="1">
        <f>BQ7+1</f>
        <v>4</v>
      </c>
      <c r="BR10" s="1">
        <v>0</v>
      </c>
      <c r="BS10" s="2">
        <f>$H$29*H39</f>
        <v>1.8271165970829392E-2</v>
      </c>
    </row>
    <row r="11" spans="1:71" ht="15.75" x14ac:dyDescent="0.25">
      <c r="A11" s="138" t="s">
        <v>82</v>
      </c>
      <c r="B11" s="135">
        <v>11</v>
      </c>
      <c r="C11" s="134">
        <v>6.75</v>
      </c>
      <c r="E11" s="139"/>
      <c r="F11" s="140" t="s">
        <v>3</v>
      </c>
      <c r="G11" s="140" t="s">
        <v>87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3</v>
      </c>
      <c r="Q11" s="126">
        <f>COUNTIF(E9:I11,"CAB")</f>
        <v>0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7.5711183496199777E-2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0.83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6.284028230184581E-2</v>
      </c>
      <c r="Y11" s="121">
        <f t="shared" si="6"/>
        <v>0</v>
      </c>
      <c r="Z11" s="102"/>
      <c r="AA11" s="120">
        <f t="shared" si="7"/>
        <v>6.284028230184581E-2</v>
      </c>
      <c r="AB11" s="119">
        <f t="shared" si="8"/>
        <v>0.9371597176981542</v>
      </c>
      <c r="AC11" s="119">
        <f>PRODUCT(AB12:AB$16)*AA11*PRODUCT(AB$4:AB10)</f>
        <v>4.7281328506237598E-2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4.9990233306274213E-3</v>
      </c>
      <c r="AF11" s="100"/>
      <c r="AG11" s="118">
        <f t="shared" si="9"/>
        <v>0</v>
      </c>
      <c r="AH11" s="117">
        <f t="shared" si="10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1"/>
        <v>3.3144027057530912E-5</v>
      </c>
      <c r="BM11" s="1">
        <f>BI50+1</f>
        <v>7</v>
      </c>
      <c r="BN11" s="1">
        <v>7</v>
      </c>
      <c r="BO11" s="2">
        <f>$H$32*H46</f>
        <v>3.597247391761823E-5</v>
      </c>
      <c r="BQ11" s="1">
        <f>BQ8+1</f>
        <v>4</v>
      </c>
      <c r="BR11" s="1">
        <v>1</v>
      </c>
      <c r="BS11" s="2">
        <f>$H$29*H40</f>
        <v>4.3263216777032758E-2</v>
      </c>
    </row>
    <row r="12" spans="1:71" ht="15.75" x14ac:dyDescent="0.25">
      <c r="A12" s="138" t="s">
        <v>80</v>
      </c>
      <c r="B12" s="135">
        <v>19</v>
      </c>
      <c r="C12" s="134">
        <v>16.75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2</v>
      </c>
      <c r="Q12" s="126">
        <f>COUNTIF(F11:H11,"IMP")+COUNTIF(E10,"IMP")+COUNTIF(I10,"IMP")</f>
        <v>0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1.9127035830618894E-2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8.6071661237785025E-3</v>
      </c>
      <c r="Y12" s="121">
        <f t="shared" si="6"/>
        <v>0</v>
      </c>
      <c r="Z12" s="102"/>
      <c r="AA12" s="120">
        <f t="shared" si="7"/>
        <v>8.6071661237785025E-3</v>
      </c>
      <c r="AB12" s="119">
        <f t="shared" si="8"/>
        <v>0.99139283387622146</v>
      </c>
      <c r="AC12" s="119">
        <f>PRODUCT(AB13:AB$16)*AA12*PRODUCT(AB$4:AB11)</f>
        <v>6.1218060488592695E-3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5.9410560812827467E-4</v>
      </c>
      <c r="AF12" s="100"/>
      <c r="AG12" s="118">
        <f t="shared" si="9"/>
        <v>0</v>
      </c>
      <c r="AH12" s="117">
        <f t="shared" si="10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1"/>
        <v>4.4376683432192485E-6</v>
      </c>
      <c r="BM12" s="1">
        <f>BI54+1</f>
        <v>8</v>
      </c>
      <c r="BN12" s="1">
        <v>8</v>
      </c>
      <c r="BO12" s="2">
        <f>$H$33*H47</f>
        <v>1.3822736826826178E-6</v>
      </c>
      <c r="BQ12" s="1">
        <f>BQ9+1</f>
        <v>4</v>
      </c>
      <c r="BR12" s="1">
        <v>2</v>
      </c>
      <c r="BS12" s="2">
        <f>$H$29*H41</f>
        <v>4.6755913840378853E-2</v>
      </c>
    </row>
    <row r="13" spans="1:71" ht="15.75" x14ac:dyDescent="0.25">
      <c r="A13" s="136" t="s">
        <v>78</v>
      </c>
      <c r="B13" s="135">
        <v>8.5</v>
      </c>
      <c r="C13" s="134">
        <v>12</v>
      </c>
      <c r="E13" s="4"/>
      <c r="F13" s="4" t="s">
        <v>77</v>
      </c>
      <c r="G13" s="137">
        <f>B22</f>
        <v>0.71186440677966101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3.0739879013494648E-2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3.0739879013494648E-2</v>
      </c>
      <c r="Y13" s="121">
        <f t="shared" si="6"/>
        <v>0</v>
      </c>
      <c r="Z13" s="102"/>
      <c r="AA13" s="120">
        <f t="shared" si="7"/>
        <v>3.0739879013494648E-2</v>
      </c>
      <c r="AB13" s="119">
        <f t="shared" si="8"/>
        <v>0.96926012098650538</v>
      </c>
      <c r="AC13" s="119">
        <f>PRODUCT(AB14:AB$16)*AA13*PRODUCT(AB$4:AB12)</f>
        <v>2.2362840464635197E-2</v>
      </c>
      <c r="AD13" s="119">
        <f>AA13*AA14*PRODUCT(AB3:AB12)*PRODUCT(AB15:AB17)+AA13*AA15*PRODUCT(AB3:AB12)*AB14*PRODUCT(AB16:AB17)+AA13*AA16*PRODUCT(AB3:AB12)*AB14*AB15*AB17+AA13*AA17*PRODUCT(AB3:AB12)*AB14*AB15*AB16</f>
        <v>1.4610236899851904E-3</v>
      </c>
      <c r="AF13" s="100"/>
      <c r="AG13" s="118">
        <f t="shared" si="9"/>
        <v>0</v>
      </c>
      <c r="AH13" s="117">
        <f t="shared" si="10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1"/>
        <v>4.3306001843771963E-7</v>
      </c>
      <c r="BM13" s="1">
        <f>BI57+1</f>
        <v>9</v>
      </c>
      <c r="BN13" s="1">
        <v>9</v>
      </c>
      <c r="BO13" s="2">
        <f>$H$34*H48</f>
        <v>2.9321370779001399E-8</v>
      </c>
      <c r="BQ13" s="1">
        <f>BM7+1</f>
        <v>4</v>
      </c>
      <c r="BR13" s="1">
        <v>3</v>
      </c>
      <c r="BS13" s="2">
        <f>$H$29*H42</f>
        <v>3.3642167856540943E-2</v>
      </c>
    </row>
    <row r="14" spans="1:71" ht="15.75" x14ac:dyDescent="0.25">
      <c r="A14" s="136" t="s">
        <v>75</v>
      </c>
      <c r="B14" s="135">
        <v>5.75</v>
      </c>
      <c r="C14" s="134">
        <v>10</v>
      </c>
      <c r="E14" s="4"/>
      <c r="F14" s="4" t="s">
        <v>74</v>
      </c>
      <c r="G14" s="133">
        <f>C22</f>
        <v>0.28813559322033899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6"/>
        <v>6.1326058631921816E-2</v>
      </c>
      <c r="Z14" s="102"/>
      <c r="AA14" s="120">
        <f t="shared" si="7"/>
        <v>6.1326058631921816E-2</v>
      </c>
      <c r="AB14" s="119">
        <f t="shared" si="8"/>
        <v>0.93867394136807814</v>
      </c>
      <c r="AC14" s="119">
        <f>PRODUCT(AB15:AB$16)*AA14*PRODUCT(AB$4:AB13)</f>
        <v>4.6067585298482483E-2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9"/>
        <v>6.1326058631921816E-2</v>
      </c>
      <c r="AH14" s="117">
        <f t="shared" si="10"/>
        <v>0.93867394136807814</v>
      </c>
      <c r="AI14" s="117">
        <f>AG14*PRODUCT(AH3:AH13)*PRODUCT(AH15:AH17)</f>
        <v>3.4380108511143606E-2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2">$H$26*H41</f>
        <v>4.1136660278788574E-2</v>
      </c>
      <c r="BM14" s="1">
        <f>BQ39+1</f>
        <v>10</v>
      </c>
      <c r="BN14" s="1">
        <v>10</v>
      </c>
      <c r="BO14" s="2">
        <f>$H$35*H49</f>
        <v>3.3874218851541371E-10</v>
      </c>
      <c r="BQ14" s="1">
        <f>BQ10+1</f>
        <v>5</v>
      </c>
      <c r="BR14" s="1">
        <v>0</v>
      </c>
      <c r="BS14" s="2">
        <f>$H$30*H39</f>
        <v>8.9487064982156049E-3</v>
      </c>
    </row>
    <row r="15" spans="1:71" ht="15.75" x14ac:dyDescent="0.25">
      <c r="A15" s="70" t="s">
        <v>72</v>
      </c>
      <c r="B15" s="132">
        <v>8.4</v>
      </c>
      <c r="C15" s="131">
        <v>8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6"/>
        <v>0</v>
      </c>
      <c r="Z15" s="102"/>
      <c r="AA15" s="120">
        <f t="shared" si="7"/>
        <v>0</v>
      </c>
      <c r="AB15" s="119">
        <f t="shared" si="8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9"/>
        <v>0</v>
      </c>
      <c r="AH15" s="117">
        <f t="shared" si="10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2"/>
        <v>2.9598960141836293E-2</v>
      </c>
      <c r="BQ15" s="1">
        <f>BQ11+1</f>
        <v>5</v>
      </c>
      <c r="BR15" s="1">
        <v>1</v>
      </c>
      <c r="BS15" s="2">
        <f>$H$30*H40</f>
        <v>2.1189114571256305E-2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6"/>
        <v>0</v>
      </c>
      <c r="Z16" s="102"/>
      <c r="AA16" s="120">
        <f t="shared" si="7"/>
        <v>0</v>
      </c>
      <c r="AB16" s="119">
        <f t="shared" si="8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9"/>
        <v>0</v>
      </c>
      <c r="AH16" s="117">
        <f t="shared" si="10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2"/>
        <v>1.6658958530332786E-2</v>
      </c>
      <c r="BQ16" s="1">
        <f>BQ12+1</f>
        <v>5</v>
      </c>
      <c r="BR16" s="1">
        <v>2</v>
      </c>
      <c r="BS16" s="2">
        <f>$H$30*H41</f>
        <v>2.2899739988209097E-2</v>
      </c>
    </row>
    <row r="17" spans="1:71" x14ac:dyDescent="0.25">
      <c r="A17" s="116" t="s">
        <v>67</v>
      </c>
      <c r="B17" s="115" t="s">
        <v>66</v>
      </c>
      <c r="C17" s="114" t="s">
        <v>246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2"/>
        <v>7.4786930275808463E-3</v>
      </c>
      <c r="BQ17" s="1">
        <f>BQ13+1</f>
        <v>5</v>
      </c>
      <c r="BR17" s="1">
        <v>3</v>
      </c>
      <c r="BS17" s="2">
        <f>$H$30*H42</f>
        <v>1.6476993673667676E-2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0.70512344712999153</v>
      </c>
      <c r="AC18" s="107">
        <f>SUM(AC4:AC16)</f>
        <v>0.25329849654814196</v>
      </c>
      <c r="AD18" s="107">
        <f>SUM(AD3:AD17)</f>
        <v>3.6546063938021511E-2</v>
      </c>
      <c r="AE18" s="107">
        <f>IF((1-AB18-AC18-AD18)&lt;0,(1-AB18-AC18-AD18)-1,1-AB18-AC18-AD18)</f>
        <v>5.0319923838449965E-3</v>
      </c>
      <c r="AF18" s="100"/>
      <c r="AG18" s="4"/>
      <c r="AH18" s="108">
        <f>PRODUCT(AH3:AH17)</f>
        <v>0.52623163269812856</v>
      </c>
      <c r="AI18" s="107">
        <f>SUM(AI3:AI17)</f>
        <v>0.31754228623531178</v>
      </c>
      <c r="AJ18" s="107">
        <f>SUM(AJ3:AJ17)</f>
        <v>6.2917310058284159E-2</v>
      </c>
      <c r="AK18" s="107">
        <f>IF((1-AH18-AI18-AJ18)&lt;0,(1-AH18-AI18-AJ18)-1,(1-AH18-AI18-AJ18))</f>
        <v>9.3308771008275504E-2</v>
      </c>
      <c r="AL18" s="98"/>
      <c r="AN18" s="97"/>
      <c r="AO18" s="96"/>
      <c r="BI18" s="1">
        <v>1</v>
      </c>
      <c r="BJ18" s="1">
        <v>6</v>
      </c>
      <c r="BK18" s="2">
        <f t="shared" si="12"/>
        <v>2.5658757998233785E-3</v>
      </c>
      <c r="BQ18" s="1">
        <f>BM8+1</f>
        <v>5</v>
      </c>
      <c r="BR18" s="1">
        <v>4</v>
      </c>
      <c r="BS18" s="2">
        <f>$H$30*H43</f>
        <v>9.2736215393665646E-3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2"/>
        <v>6.497142831014685E-4</v>
      </c>
      <c r="BQ19" s="1">
        <f>BQ15+1</f>
        <v>6</v>
      </c>
      <c r="BR19" s="1">
        <v>1</v>
      </c>
      <c r="BS19" s="2">
        <f>$H$31*H40</f>
        <v>7.6918676542907915E-3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2"/>
        <v>1.1972898860026924E-4</v>
      </c>
      <c r="BQ20" s="1">
        <f>BQ16+1</f>
        <v>6</v>
      </c>
      <c r="BR20" s="1">
        <v>2</v>
      </c>
      <c r="BS20" s="2">
        <f>$H$31*H41</f>
        <v>8.3128423660475542E-3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2"/>
        <v>1.6030566881773901E-5</v>
      </c>
      <c r="BQ21" s="1">
        <f>BQ17+1</f>
        <v>6</v>
      </c>
      <c r="BR21" s="1">
        <v>3</v>
      </c>
      <c r="BS21" s="2">
        <f>$H$31*H42</f>
        <v>5.9813190519231807E-3</v>
      </c>
    </row>
    <row r="22" spans="1:71" x14ac:dyDescent="0.25">
      <c r="A22" s="67" t="s">
        <v>60</v>
      </c>
      <c r="B22" s="74">
        <f>(B6)/((B6)+(C6))</f>
        <v>0.71186440677966101</v>
      </c>
      <c r="C22" s="73">
        <f>1-B22</f>
        <v>0.28813559322033899</v>
      </c>
      <c r="V22" s="52">
        <f>SUM(V25:V35)</f>
        <v>1</v>
      </c>
      <c r="AS22" s="56">
        <f>Y23+AA23+AC23+AE23+AG23+AI23+AK23+AM23+AO23+AQ23+AS23</f>
        <v>1.0000000000000007</v>
      </c>
      <c r="BI22" s="1">
        <v>1</v>
      </c>
      <c r="BJ22" s="1">
        <v>10</v>
      </c>
      <c r="BK22" s="2">
        <f t="shared" si="12"/>
        <v>1.5643795462984005E-6</v>
      </c>
      <c r="BQ22" s="1">
        <f>BQ18+1</f>
        <v>6</v>
      </c>
      <c r="BR22" s="1">
        <v>4</v>
      </c>
      <c r="BS22" s="2">
        <f>$H$31*H43</f>
        <v>3.3664204946794439E-3</v>
      </c>
    </row>
    <row r="23" spans="1:71" ht="15.75" thickBot="1" x14ac:dyDescent="0.3">
      <c r="A23" s="65" t="s">
        <v>59</v>
      </c>
      <c r="B23" s="64">
        <f>((B22^2.8)/((B22^2.8)+(C22^2.8)))*B21</f>
        <v>4.6319374326486757</v>
      </c>
      <c r="C23" s="63">
        <f>B21-B23</f>
        <v>0.36806256735132425</v>
      </c>
      <c r="D23" s="88">
        <f>SUM(D25:D30)</f>
        <v>1</v>
      </c>
      <c r="E23" s="88">
        <f>SUM(E25:E30)</f>
        <v>1</v>
      </c>
      <c r="H23" s="50">
        <f>SUM(H25:H35)</f>
        <v>0.99999705385356485</v>
      </c>
      <c r="I23" s="51"/>
      <c r="J23" s="50">
        <f>SUM(J25:J35)</f>
        <v>1.0000000000000007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1.0050760126517704</v>
      </c>
      <c r="V23" s="52">
        <f>SUM(V25:V34)</f>
        <v>0.53532109871270794</v>
      </c>
      <c r="Y23" s="50">
        <f>SUM(Y25:Y35)</f>
        <v>4.6721466712215473E-12</v>
      </c>
      <c r="Z23" s="51"/>
      <c r="AA23" s="50">
        <f>SUM(AA25:AA35)</f>
        <v>5.8799663749715026E-10</v>
      </c>
      <c r="AB23" s="51"/>
      <c r="AC23" s="50">
        <f>SUM(AC25:AC35)</f>
        <v>3.3300410458426254E-8</v>
      </c>
      <c r="AD23" s="51"/>
      <c r="AE23" s="50">
        <f>SUM(AE25:AE35)</f>
        <v>1.1175986065750417E-6</v>
      </c>
      <c r="AF23" s="51"/>
      <c r="AG23" s="50">
        <f>SUM(AG25:AG35)</f>
        <v>2.4614952905993646E-5</v>
      </c>
      <c r="AH23" s="51"/>
      <c r="AI23" s="50">
        <f>SUM(AI25:AI35)</f>
        <v>3.7176348496146709E-4</v>
      </c>
      <c r="AJ23" s="51"/>
      <c r="AK23" s="50">
        <f>SUM(AK25:AK35)</f>
        <v>3.8993314323293076E-3</v>
      </c>
      <c r="AL23" s="51"/>
      <c r="AM23" s="50">
        <f>SUM(AM25:AM35)</f>
        <v>2.8047141808789183E-2</v>
      </c>
      <c r="AN23" s="51"/>
      <c r="AO23" s="50">
        <f>SUM(AO25:AO35)</f>
        <v>0.13240978842521442</v>
      </c>
      <c r="AP23" s="51"/>
      <c r="AQ23" s="50">
        <f>SUM(AQ25:AQ35)</f>
        <v>0.37056730711682201</v>
      </c>
      <c r="AR23" s="51"/>
      <c r="AS23" s="50">
        <f>SUM(AS25:AS35)</f>
        <v>0.46467890128729245</v>
      </c>
      <c r="BI23" s="1">
        <f t="shared" ref="BI23:BI30" si="13">BI15+1</f>
        <v>2</v>
      </c>
      <c r="BJ23" s="1">
        <v>3</v>
      </c>
      <c r="BK23" s="2">
        <f t="shared" ref="BK23:BK30" si="14">$H$27*H42</f>
        <v>4.9021040529035581E-2</v>
      </c>
      <c r="BQ23" s="1">
        <f>BM9+1</f>
        <v>6</v>
      </c>
      <c r="BR23" s="1">
        <v>5</v>
      </c>
      <c r="BS23" s="2">
        <f>$H$31*H44</f>
        <v>1.511284480096577E-3</v>
      </c>
    </row>
    <row r="24" spans="1:71" ht="15.75" thickBot="1" x14ac:dyDescent="0.3">
      <c r="A24" s="67" t="s">
        <v>58</v>
      </c>
      <c r="B24" s="87">
        <f>B23/B21</f>
        <v>0.92638748652973513</v>
      </c>
      <c r="C24" s="86">
        <f>C23/B21</f>
        <v>7.3612513470264845E-2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3"/>
        <v>2</v>
      </c>
      <c r="BJ24" s="1">
        <v>4</v>
      </c>
      <c r="BK24" s="2">
        <f t="shared" si="14"/>
        <v>2.7590140916224189E-2</v>
      </c>
      <c r="BQ24" s="1">
        <f>BI49+1</f>
        <v>7</v>
      </c>
      <c r="BR24" s="1">
        <v>0</v>
      </c>
      <c r="BS24" s="2">
        <f t="shared" ref="BS24:BS30" si="15">$H$32*H39</f>
        <v>8.900340776840178E-4</v>
      </c>
    </row>
    <row r="25" spans="1:71" x14ac:dyDescent="0.25">
      <c r="A25" s="67" t="s">
        <v>32</v>
      </c>
      <c r="B25" s="77">
        <f>1/(1+EXP(-3.1416*4*((B11/(B11+C8))-(3.1416/6))))</f>
        <v>9.1658300897409548E-2</v>
      </c>
      <c r="C25" s="73">
        <f>1/(1+EXP(-3.1416*4*((C11/(C11+B8))-(3.1416/6))))</f>
        <v>8.7975616111261368E-2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4.2178591719282267E-2</v>
      </c>
      <c r="I25" s="36">
        <v>0</v>
      </c>
      <c r="J25" s="34">
        <f t="shared" ref="J25:J35" si="16">Y25+AA25+AC25+AE25+AG25+AI25+AK25+AM25+AO25+AQ25+AS25</f>
        <v>5.9817315522492503E-2</v>
      </c>
      <c r="K25" s="36">
        <v>0</v>
      </c>
      <c r="L25" s="34">
        <f>AB18</f>
        <v>0.70512344712999153</v>
      </c>
      <c r="M25" s="17">
        <v>0</v>
      </c>
      <c r="N25" s="32">
        <f>(1-$B$24)^$B$21</f>
        <v>2.1615149019198428E-6</v>
      </c>
      <c r="O25" s="16">
        <v>0</v>
      </c>
      <c r="P25" s="32">
        <f t="shared" ref="P25:P30" si="17">N25</f>
        <v>2.1615149019198428E-6</v>
      </c>
      <c r="Q25" s="10">
        <v>0</v>
      </c>
      <c r="R25" s="11">
        <f>P25*N25</f>
        <v>4.6721466712215473E-12</v>
      </c>
      <c r="S25" s="16">
        <v>0</v>
      </c>
      <c r="T25" s="15">
        <f>(1-$B$33)^(INT(C23*2*(1-C31)))</f>
        <v>1</v>
      </c>
      <c r="U25" s="24">
        <v>0</v>
      </c>
      <c r="V25" s="23">
        <f>R25*T25</f>
        <v>4.6721466712215473E-12</v>
      </c>
      <c r="W25" s="33">
        <f>B31</f>
        <v>0.26498867518545427</v>
      </c>
      <c r="X25" s="10">
        <v>0</v>
      </c>
      <c r="Y25" s="9">
        <f>V25</f>
        <v>4.6721466712215473E-12</v>
      </c>
      <c r="Z25" s="10">
        <v>0</v>
      </c>
      <c r="AA25" s="9">
        <f>((1-W25)^Z26)*V26</f>
        <v>4.3218418751327862E-10</v>
      </c>
      <c r="AB25" s="10">
        <v>0</v>
      </c>
      <c r="AC25" s="9">
        <f>(((1-$W$25)^AB27))*V27</f>
        <v>1.7990268612004072E-8</v>
      </c>
      <c r="AD25" s="10">
        <v>0</v>
      </c>
      <c r="AE25" s="9">
        <f>(((1-$W$25)^AB28))*V28</f>
        <v>4.4378022236552037E-7</v>
      </c>
      <c r="AF25" s="10">
        <v>0</v>
      </c>
      <c r="AG25" s="9">
        <f>(((1-$W$25)^AB29))*V29</f>
        <v>7.1841457007297288E-6</v>
      </c>
      <c r="AH25" s="10">
        <v>0</v>
      </c>
      <c r="AI25" s="9">
        <f>(((1-$W$25)^AB30))*V30</f>
        <v>7.9751137036268552E-5</v>
      </c>
      <c r="AJ25" s="10">
        <v>0</v>
      </c>
      <c r="AK25" s="9">
        <f>(((1-$W$25)^AB31))*V31</f>
        <v>6.1482898622097434E-4</v>
      </c>
      <c r="AL25" s="10">
        <v>0</v>
      </c>
      <c r="AM25" s="9">
        <f>(((1-$W$25)^AB32))*V32</f>
        <v>3.2504749581641953E-3</v>
      </c>
      <c r="AN25" s="10">
        <v>0</v>
      </c>
      <c r="AO25" s="9">
        <f>(((1-$W$25)^AB33))*V33</f>
        <v>1.1279045183764384E-2</v>
      </c>
      <c r="AP25" s="10">
        <v>0</v>
      </c>
      <c r="AQ25" s="9">
        <f>(((1-$W$25)^AB34))*V34</f>
        <v>2.3201356483418929E-2</v>
      </c>
      <c r="AR25" s="10">
        <v>0</v>
      </c>
      <c r="AS25" s="9">
        <f>(((1-$W$25)^AB35))*V35</f>
        <v>2.1384212420839706E-2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3"/>
        <v>2</v>
      </c>
      <c r="BJ25" s="1">
        <v>5</v>
      </c>
      <c r="BK25" s="2">
        <f t="shared" si="14"/>
        <v>1.2386020057882753E-2</v>
      </c>
      <c r="BQ25" s="1">
        <f>BQ19+1</f>
        <v>7</v>
      </c>
      <c r="BR25" s="1">
        <v>1</v>
      </c>
      <c r="BS25" s="2">
        <f t="shared" si="15"/>
        <v>2.107459223087675E-3</v>
      </c>
    </row>
    <row r="26" spans="1:71" x14ac:dyDescent="0.25">
      <c r="A26" s="65" t="s">
        <v>31</v>
      </c>
      <c r="B26" s="74">
        <f>1/(1+EXP(-3.1416*4*((B10/(B10+C9))-(3.1416/6))))</f>
        <v>0.28860339473543511</v>
      </c>
      <c r="C26" s="73">
        <f>1/(1+EXP(-3.1416*4*((C10/(C10+B9))-(3.1416/6))))</f>
        <v>0.52556924918759429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0.15236531512503418</v>
      </c>
      <c r="I26" s="24">
        <v>1</v>
      </c>
      <c r="J26" s="23">
        <f t="shared" si="16"/>
        <v>0.19459525788587945</v>
      </c>
      <c r="K26" s="24">
        <v>1</v>
      </c>
      <c r="L26" s="23">
        <f>AC18</f>
        <v>0.25329849654814196</v>
      </c>
      <c r="M26" s="17">
        <v>1</v>
      </c>
      <c r="N26" s="32">
        <f>(($B$24)^M26)*((1-($B$24))^($B$21-M26))*HLOOKUP($B$21,$AV$24:$BF$34,M26+1)</f>
        <v>1.3600950862076883E-4</v>
      </c>
      <c r="O26" s="16">
        <v>1</v>
      </c>
      <c r="P26" s="32">
        <f t="shared" si="17"/>
        <v>1.3600950862076883E-4</v>
      </c>
      <c r="Q26" s="10">
        <v>1</v>
      </c>
      <c r="R26" s="11">
        <f>N26*P25+P26*N25</f>
        <v>5.8797315937317432E-10</v>
      </c>
      <c r="S26" s="16">
        <v>1</v>
      </c>
      <c r="T26" s="15">
        <f t="shared" ref="T26:T35" si="18">(($B$33)^S26)*((1-($B$33))^(INT($C$23*2*(1-$C$31))-S26))*HLOOKUP(INT($C$23*2*(1-$C$31)),$AV$24:$BF$34,S26+1)</f>
        <v>5.0251256281407036E-3</v>
      </c>
      <c r="U26" s="24">
        <v>1</v>
      </c>
      <c r="V26" s="23">
        <f>R26*T25+T26*R25</f>
        <v>5.8799663749715026E-10</v>
      </c>
      <c r="W26" s="12"/>
      <c r="X26" s="10">
        <v>1</v>
      </c>
      <c r="Y26" s="11"/>
      <c r="Z26" s="10">
        <v>1</v>
      </c>
      <c r="AA26" s="9">
        <f>(1-((1-W25)^Z26))*V26</f>
        <v>1.5581244998387161E-10</v>
      </c>
      <c r="AB26" s="10">
        <v>1</v>
      </c>
      <c r="AC26" s="9">
        <f>((($W$25)^M26)*((1-($W$25))^($U$27-M26))*HLOOKUP($U$27,$AV$24:$BF$34,M26+1))*V27</f>
        <v>1.2971820391823921E-8</v>
      </c>
      <c r="AD26" s="10">
        <v>1</v>
      </c>
      <c r="AE26" s="9">
        <f>((($W$25)^M26)*((1-($W$25))^($U$28-M26))*HLOOKUP($U$28,$AV$24:$BF$34,M26+1))*V28</f>
        <v>4.7997927063702154E-7</v>
      </c>
      <c r="AF26" s="10">
        <v>1</v>
      </c>
      <c r="AG26" s="9">
        <f>((($W$25)^M26)*((1-($W$25))^($U$29-M26))*HLOOKUP($U$29,$AV$24:$BF$34,M26+1))*V29</f>
        <v>1.0360206365832438E-5</v>
      </c>
      <c r="AH26" s="10">
        <v>1</v>
      </c>
      <c r="AI26" s="9">
        <f>((($W$25)^M26)*((1-($W$25))^($U$30-M26))*HLOOKUP($U$30,$AV$24:$BF$34,M26+1))*V30</f>
        <v>1.4376069751786903E-4</v>
      </c>
      <c r="AJ26" s="10">
        <v>1</v>
      </c>
      <c r="AK26" s="9">
        <f>((($W$25)^M26)*((1-($W$25))^($U$31-M26))*HLOOKUP($U$31,$AV$24:$BF$34,M26+1))*V31</f>
        <v>1.3299608837898085E-3</v>
      </c>
      <c r="AL26" s="10">
        <v>1</v>
      </c>
      <c r="AM26" s="9">
        <f>((($W$25)^Q26)*((1-($W$25))^($U$32-Q26))*HLOOKUP($U$32,$AV$24:$BF$34,Q26+1))*V32</f>
        <v>8.2031026824427155E-3</v>
      </c>
      <c r="AN26" s="10">
        <v>1</v>
      </c>
      <c r="AO26" s="9">
        <f>((($W$25)^Q26)*((1-($W$25))^($U$33-Q26))*HLOOKUP($U$33,$AV$24:$BF$34,Q26+1))*V33</f>
        <v>3.2530864651444384E-2</v>
      </c>
      <c r="AP26" s="10">
        <v>1</v>
      </c>
      <c r="AQ26" s="9">
        <f>((($W$25)^Q26)*((1-($W$25))^($U$34-Q26))*HLOOKUP($U$34,$AV$24:$BF$34,Q26+1))*V34</f>
        <v>7.5281657010361019E-2</v>
      </c>
      <c r="AR26" s="10">
        <v>1</v>
      </c>
      <c r="AS26" s="9">
        <f>((($W$25)^Q26)*((1-($W$25))^($U$35-Q26))*HLOOKUP($U$35,$AV$24:$BF$34,Q26+1))*V35</f>
        <v>7.7095058647054321E-2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3"/>
        <v>2</v>
      </c>
      <c r="BJ26" s="1">
        <v>6</v>
      </c>
      <c r="BK26" s="2">
        <f t="shared" si="14"/>
        <v>4.2495378544676809E-3</v>
      </c>
      <c r="BQ26" s="1">
        <f>BQ20+1</f>
        <v>7</v>
      </c>
      <c r="BR26" s="1">
        <v>2</v>
      </c>
      <c r="BS26" s="2">
        <f t="shared" si="15"/>
        <v>2.2775972106889013E-3</v>
      </c>
    </row>
    <row r="27" spans="1:71" x14ac:dyDescent="0.25">
      <c r="A27" s="67" t="s">
        <v>30</v>
      </c>
      <c r="B27" s="74">
        <f>1/(1+EXP(-3.1416*4*((B12/(B12+C7))-(3.1416/6))))</f>
        <v>0.30439082805709733</v>
      </c>
      <c r="C27" s="73">
        <f>1/(1+EXP(-3.1416*4*((C12/(C12+B7))-(3.1416/6))))</f>
        <v>0.53887720728727806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0.25234353680575622</v>
      </c>
      <c r="I27" s="24">
        <v>2</v>
      </c>
      <c r="J27" s="23">
        <f t="shared" si="16"/>
        <v>0.28486751352227946</v>
      </c>
      <c r="K27" s="24">
        <v>2</v>
      </c>
      <c r="L27" s="23">
        <f>AD18</f>
        <v>3.6546063938021511E-2</v>
      </c>
      <c r="M27" s="17">
        <v>2</v>
      </c>
      <c r="N27" s="32">
        <f>(($B$24)^M27)*((1-($B$24))^($B$21-M27))*HLOOKUP($B$21,$AV$24:$BF$34,M27+1)</f>
        <v>3.4232632712978602E-3</v>
      </c>
      <c r="O27" s="16">
        <v>2</v>
      </c>
      <c r="P27" s="32">
        <f t="shared" si="17"/>
        <v>3.4232632712978602E-3</v>
      </c>
      <c r="Q27" s="10">
        <v>2</v>
      </c>
      <c r="R27" s="11">
        <f>P25*N27+P26*N26+P27*N25</f>
        <v>3.3297455583473378E-8</v>
      </c>
      <c r="S27" s="16">
        <v>2</v>
      </c>
      <c r="T27" s="15">
        <f t="shared" si="18"/>
        <v>5.0503775157192999E-5</v>
      </c>
      <c r="U27" s="24">
        <v>2</v>
      </c>
      <c r="V27" s="23">
        <f>R27*T25+T26*R26+R25*T27</f>
        <v>3.3300410458426247E-8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2.3383214545982568E-9</v>
      </c>
      <c r="AD27" s="10">
        <v>2</v>
      </c>
      <c r="AE27" s="9">
        <f>((($W$25)^M27)*((1-($W$25))^($U$28-M27))*HLOOKUP($U$28,$AV$24:$BF$34,M27+1))*V28</f>
        <v>1.7304368891823078E-7</v>
      </c>
      <c r="AF27" s="10">
        <v>2</v>
      </c>
      <c r="AG27" s="9">
        <f>((($W$25)^M27)*((1-($W$25))^($U$29-M27))*HLOOKUP($U$29,$AV$24:$BF$34,M27+1))*V29</f>
        <v>5.6026429801388499E-6</v>
      </c>
      <c r="AH27" s="10">
        <v>2</v>
      </c>
      <c r="AI27" s="9">
        <f>((($W$25)^M27)*((1-($W$25))^($U$30-M27))*HLOOKUP($U$30,$AV$24:$BF$34,M27+1))*V30</f>
        <v>1.0365814918187512E-4</v>
      </c>
      <c r="AJ27" s="10">
        <v>2</v>
      </c>
      <c r="AK27" s="9">
        <f>((($W$25)^M27)*((1-($W$25))^($U$31-M27))*HLOOKUP($U$31,$AV$24:$BF$34,M27+1))*V31</f>
        <v>1.1987045666706536E-3</v>
      </c>
      <c r="AL27" s="10">
        <v>2</v>
      </c>
      <c r="AM27" s="9">
        <f>((($W$25)^Q27)*((1-($W$25))^($U$32-Q27))*HLOOKUP($U$32,$AV$24:$BF$34,Q27+1))*V32</f>
        <v>8.8722278372208984E-3</v>
      </c>
      <c r="AN27" s="10">
        <v>2</v>
      </c>
      <c r="AO27" s="9">
        <f>((($W$25)^Q27)*((1-($W$25))^($U$33-Q27))*HLOOKUP($U$33,$AV$24:$BF$34,Q27+1))*V33</f>
        <v>4.1048466227095362E-2</v>
      </c>
      <c r="AP27" s="10">
        <v>2</v>
      </c>
      <c r="AQ27" s="9">
        <f>((($W$25)^Q27)*((1-($W$25))^($U$34-Q27))*HLOOKUP($U$34,$AV$24:$BF$34,Q27+1))*V34</f>
        <v>0.10856315206830155</v>
      </c>
      <c r="AR27" s="10">
        <v>2</v>
      </c>
      <c r="AS27" s="9">
        <f>((($W$25)^Q27)*((1-($W$25))^($U$35-Q27))*HLOOKUP($U$35,$AV$24:$BF$34,Q27+1))*V35</f>
        <v>0.12507552664881863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3"/>
        <v>2</v>
      </c>
      <c r="BJ27" s="1">
        <v>7</v>
      </c>
      <c r="BK27" s="2">
        <f t="shared" si="14"/>
        <v>1.076040173424635E-3</v>
      </c>
      <c r="BQ27" s="1">
        <f>BQ21+1</f>
        <v>7</v>
      </c>
      <c r="BR27" s="1">
        <v>3</v>
      </c>
      <c r="BS27" s="2">
        <f t="shared" si="15"/>
        <v>1.6387939273986094E-3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0.25381684592224402</v>
      </c>
      <c r="I28" s="24">
        <v>3</v>
      </c>
      <c r="J28" s="23">
        <f t="shared" si="16"/>
        <v>0.24711650524174911</v>
      </c>
      <c r="K28" s="24">
        <v>3</v>
      </c>
      <c r="L28" s="23">
        <f>AE18</f>
        <v>5.0319923838449965E-3</v>
      </c>
      <c r="M28" s="17">
        <v>3</v>
      </c>
      <c r="N28" s="32">
        <f>(($B$24)^M28)*((1-($B$24))^($B$21-M28))*HLOOKUP($B$21,$AV$24:$BF$34,M28+1)</f>
        <v>4.3080559379461883E-2</v>
      </c>
      <c r="O28" s="16">
        <v>3</v>
      </c>
      <c r="P28" s="32">
        <f t="shared" si="17"/>
        <v>4.3080559379461883E-2</v>
      </c>
      <c r="Q28" s="10">
        <v>3</v>
      </c>
      <c r="R28" s="11">
        <f>P25*N28+P26*N27+P27*N26+P28*N25</f>
        <v>1.1174312529809941E-6</v>
      </c>
      <c r="S28" s="16">
        <v>3</v>
      </c>
      <c r="T28" s="15">
        <f t="shared" si="18"/>
        <v>3.8068172229039952E-7</v>
      </c>
      <c r="U28" s="24">
        <v>3</v>
      </c>
      <c r="V28" s="23">
        <f>R28*T25+R27*T26+R26*T27+R25*T28</f>
        <v>1.1175986065750415E-6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2.0795424654268943E-8</v>
      </c>
      <c r="AF28" s="10">
        <v>3</v>
      </c>
      <c r="AG28" s="9">
        <f>((($W$25)^M28)*((1-($W$25))^($U$29-M28))*HLOOKUP($U$29,$AV$24:$BF$34,M28+1))*V29</f>
        <v>1.3465887220342488E-6</v>
      </c>
      <c r="AH28" s="10">
        <v>3</v>
      </c>
      <c r="AI28" s="9">
        <f>((($W$25)^M28)*((1-($W$25))^($U$30-M28))*HLOOKUP($U$30,$AV$24:$BF$34,M28+1))*V30</f>
        <v>3.7371173336427045E-5</v>
      </c>
      <c r="AJ28" s="10">
        <v>3</v>
      </c>
      <c r="AK28" s="9">
        <f>((($W$25)^M28)*((1-($W$25))^($U$31-M28))*HLOOKUP($U$31,$AV$24:$BF$34,M28+1))*V31</f>
        <v>5.7621449599833325E-4</v>
      </c>
      <c r="AL28" s="10">
        <v>3</v>
      </c>
      <c r="AM28" s="9">
        <f>((($W$25)^Q28)*((1-($W$25))^($U$32-Q28))*HLOOKUP($U$32,$AV$24:$BF$34,Q28+1))*V32</f>
        <v>5.3310740963115454E-3</v>
      </c>
      <c r="AN28" s="10">
        <v>3</v>
      </c>
      <c r="AO28" s="9">
        <f>((($W$25)^Q28)*((1-($W$25))^($U$33-Q28))*HLOOKUP($U$33,$AV$24:$BF$34,Q28+1))*V33</f>
        <v>2.9597853302892677E-2</v>
      </c>
      <c r="AP28" s="10">
        <v>3</v>
      </c>
      <c r="AQ28" s="9">
        <f>((($W$25)^Q28)*((1-($W$25))^($U$34-Q28))*HLOOKUP($U$34,$AV$24:$BF$34,Q28+1))*V34</f>
        <v>9.1325595531725895E-2</v>
      </c>
      <c r="AR28" s="10">
        <v>3</v>
      </c>
      <c r="AS28" s="9">
        <f>((($W$25)^Q28)*((1-($W$25))^($U$35-Q28))*HLOOKUP($U$35,$AV$24:$BF$34,Q28+1))*V35</f>
        <v>0.12024702925733756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9">BE27+BE28</f>
        <v>210</v>
      </c>
      <c r="BI28" s="1">
        <f t="shared" si="13"/>
        <v>2</v>
      </c>
      <c r="BJ28" s="1">
        <v>8</v>
      </c>
      <c r="BK28" s="2">
        <f t="shared" si="14"/>
        <v>1.9829208778109848E-4</v>
      </c>
      <c r="BQ28" s="1">
        <f>BQ22+1</f>
        <v>7</v>
      </c>
      <c r="BR28" s="1">
        <v>4</v>
      </c>
      <c r="BS28" s="2">
        <f t="shared" si="15"/>
        <v>9.2234997261633289E-4</v>
      </c>
    </row>
    <row r="29" spans="1:71" x14ac:dyDescent="0.25">
      <c r="A29" s="67" t="s">
        <v>28</v>
      </c>
      <c r="B29" s="74">
        <f>1/(1+EXP(-3.1416*4*((B14/(B14+C13))-(3.1416/6))))</f>
        <v>7.523233510804074E-2</v>
      </c>
      <c r="C29" s="73">
        <f>1/(1+EXP(-3.1416*4*((C14/(C14+B13))-(3.1416/6))))</f>
        <v>0.55302031944174657</v>
      </c>
      <c r="D29" s="8">
        <v>0.04</v>
      </c>
      <c r="E29" s="8">
        <v>0.04</v>
      </c>
      <c r="G29" s="62">
        <v>4</v>
      </c>
      <c r="H29" s="61">
        <f>J29*L25+J28*L26+J27*L27+J26*L28</f>
        <v>0.17317836445564908</v>
      </c>
      <c r="I29" s="24">
        <v>4</v>
      </c>
      <c r="J29" s="23">
        <f t="shared" si="16"/>
        <v>0.14067627078742106</v>
      </c>
      <c r="K29" s="24">
        <v>4</v>
      </c>
      <c r="L29" s="23"/>
      <c r="M29" s="17">
        <v>4</v>
      </c>
      <c r="N29" s="32">
        <f>(($B$24)^M29)*((1-($B$24))^($B$21-M29))*HLOOKUP($B$21,$AV$24:$BF$34,M29+1)</f>
        <v>0.27107681316951437</v>
      </c>
      <c r="O29" s="16">
        <v>4</v>
      </c>
      <c r="P29" s="32">
        <f t="shared" si="17"/>
        <v>0.27107681316951437</v>
      </c>
      <c r="Q29" s="10">
        <v>4</v>
      </c>
      <c r="R29" s="11">
        <f>P25*N29+P26*N28+P27*N27+P28*N26+P29*N25</f>
        <v>2.460933599169555E-5</v>
      </c>
      <c r="S29" s="16">
        <v>4</v>
      </c>
      <c r="T29" s="15">
        <f t="shared" si="18"/>
        <v>2.5506313051283046E-9</v>
      </c>
      <c r="U29" s="24">
        <v>4</v>
      </c>
      <c r="V29" s="23">
        <f>T29*R25+T28*R26+T27*R27+T26*R28+T25*R29</f>
        <v>2.4614952905993643E-5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1.213691372583828E-7</v>
      </c>
      <c r="AH29" s="10">
        <v>4</v>
      </c>
      <c r="AI29" s="9">
        <f>((($W$25)^M29)*((1-($W$25))^($U$30-M29))*HLOOKUP($U$30,$AV$24:$BF$34,M29+1))*V30</f>
        <v>6.7365885247036374E-6</v>
      </c>
      <c r="AJ29" s="10">
        <v>4</v>
      </c>
      <c r="AK29" s="9">
        <f>((($W$25)^M29)*((1-($W$25))^($U$31-M29))*HLOOKUP($U$31,$AV$24:$BF$34,M29+1))*V31</f>
        <v>1.5580404419868489E-4</v>
      </c>
      <c r="AL29" s="10">
        <v>4</v>
      </c>
      <c r="AM29" s="9">
        <f>((($W$25)^Q29)*((1-($W$25))^($U$32-Q29))*HLOOKUP($U$32,$AV$24:$BF$34,Q29+1))*V32</f>
        <v>1.9219761851336473E-3</v>
      </c>
      <c r="AN29" s="10">
        <v>4</v>
      </c>
      <c r="AO29" s="9">
        <f>((($W$25)^Q29)*((1-($W$25))^($U$33-Q29))*HLOOKUP($U$33,$AV$24:$BF$34,Q29+1))*V33</f>
        <v>1.3338393012253723E-2</v>
      </c>
      <c r="AP29" s="10">
        <v>4</v>
      </c>
      <c r="AQ29" s="9">
        <f>((($W$25)^Q29)*((1-($W$25))^($U$34-Q29))*HLOOKUP($U$34,$AV$24:$BF$34,Q29+1))*V34</f>
        <v>4.9387501430499935E-2</v>
      </c>
      <c r="AR29" s="10">
        <v>4</v>
      </c>
      <c r="AS29" s="9">
        <f>((($W$25)^Q29)*((1-($W$25))^($U$35-Q29))*HLOOKUP($U$35,$AV$24:$BF$34,Q29+1))*V35</f>
        <v>7.5865738157673127E-2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9"/>
        <v>252</v>
      </c>
      <c r="BI29" s="1">
        <f t="shared" si="13"/>
        <v>2</v>
      </c>
      <c r="BJ29" s="1">
        <v>9</v>
      </c>
      <c r="BK29" s="2">
        <f t="shared" si="14"/>
        <v>2.6549414744612083E-5</v>
      </c>
      <c r="BQ29" s="1">
        <f>BQ23+1</f>
        <v>7</v>
      </c>
      <c r="BR29" s="1">
        <v>5</v>
      </c>
      <c r="BS29" s="2">
        <f t="shared" si="15"/>
        <v>4.1406984095886074E-4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8.4817923378771087E-2</v>
      </c>
      <c r="I30" s="24">
        <v>5</v>
      </c>
      <c r="J30" s="23">
        <f t="shared" si="16"/>
        <v>5.4912723278120495E-2</v>
      </c>
      <c r="K30" s="24">
        <v>5</v>
      </c>
      <c r="L30" s="23"/>
      <c r="M30" s="17">
        <v>5</v>
      </c>
      <c r="N30" s="32">
        <f>(($B$24)^M30)*((1-($B$24))^($B$21-M30))*HLOOKUP($B$21,$AV$24:$BF$34,M30+1)</f>
        <v>0.68228119315620317</v>
      </c>
      <c r="O30" s="16">
        <v>5</v>
      </c>
      <c r="P30" s="32">
        <f t="shared" si="17"/>
        <v>0.68228119315620317</v>
      </c>
      <c r="Q30" s="10">
        <v>5</v>
      </c>
      <c r="R30" s="11">
        <f>P25*N30+P26*N29+P27*N28+P28*N27+P29*N26+P30*N25</f>
        <v>3.7163976350930959E-4</v>
      </c>
      <c r="S30" s="16">
        <v>5</v>
      </c>
      <c r="T30" s="15">
        <f t="shared" si="18"/>
        <v>1.6021553424172769E-11</v>
      </c>
      <c r="U30" s="24">
        <v>5</v>
      </c>
      <c r="V30" s="23">
        <f>T30*R25+T29*R26+T28*R27+T27*R28+T26*R29+T25*R30</f>
        <v>3.7176348496146698E-4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4.8573936432371643E-7</v>
      </c>
      <c r="AJ30" s="10">
        <v>5</v>
      </c>
      <c r="AK30" s="9">
        <f>((($W$25)^M30)*((1-($W$25))^($U$31-M30))*HLOOKUP($U$31,$AV$24:$BF$34,M30+1))*V31</f>
        <v>2.2468392454313604E-5</v>
      </c>
      <c r="AL30" s="10">
        <v>5</v>
      </c>
      <c r="AM30" s="9">
        <f>((($W$25)^Q30)*((1-($W$25))^($U$32-Q30))*HLOOKUP($U$32,$AV$24:$BF$34,Q30+1))*V32</f>
        <v>4.1575026602350357E-4</v>
      </c>
      <c r="AN30" s="10">
        <v>5</v>
      </c>
      <c r="AO30" s="9">
        <f>((($W$25)^Q30)*((1-($W$25))^($U$33-Q30))*HLOOKUP($U$33,$AV$24:$BF$34,Q30+1))*V33</f>
        <v>3.8470406907668772E-3</v>
      </c>
      <c r="AP30" s="10">
        <v>5</v>
      </c>
      <c r="AQ30" s="9">
        <f>((($W$25)^Q30)*((1-($W$25))^($U$34-Q30))*HLOOKUP($U$34,$AV$24:$BF$34,Q30+1))*V34</f>
        <v>1.7805342765419268E-2</v>
      </c>
      <c r="AR30" s="10">
        <v>5</v>
      </c>
      <c r="AS30" s="9">
        <f>((($W$25)^Q30)*((1-($W$25))^($U$35-Q30))*HLOOKUP($U$35,$AV$24:$BF$34,Q30+1))*V35</f>
        <v>3.2821635424092208E-2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9"/>
        <v>210</v>
      </c>
      <c r="BI30" s="1">
        <f t="shared" si="13"/>
        <v>2</v>
      </c>
      <c r="BJ30" s="1">
        <v>10</v>
      </c>
      <c r="BK30" s="2">
        <f t="shared" si="14"/>
        <v>2.5908853815947114E-6</v>
      </c>
      <c r="BQ30" s="1">
        <f>BM10+1</f>
        <v>7</v>
      </c>
      <c r="BR30" s="1">
        <v>6</v>
      </c>
      <c r="BS30" s="2">
        <f t="shared" si="15"/>
        <v>1.4206383126501049E-4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0.26498867518545427</v>
      </c>
      <c r="C31" s="68">
        <f>(C25*E25)+(C26*E26)+(C27*E27)+(C28*E28)+(C29*E29)+(C30*E30)/(C25+C26+C27+C28+C29+C30)</f>
        <v>0.40390921161125326</v>
      </c>
      <c r="G31" s="62">
        <v>6</v>
      </c>
      <c r="H31" s="61">
        <f>J31*L25+J30*L26+J29*L27+J28*L28</f>
        <v>3.0789783081653456E-2</v>
      </c>
      <c r="I31" s="24">
        <v>6</v>
      </c>
      <c r="J31" s="23">
        <f t="shared" si="16"/>
        <v>1.4885082204546306E-2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3.8974626525394166E-3</v>
      </c>
      <c r="S31" s="16">
        <v>6</v>
      </c>
      <c r="T31" s="15">
        <f t="shared" si="18"/>
        <v>9.6612382457323207E-14</v>
      </c>
      <c r="U31" s="24">
        <v>6</v>
      </c>
      <c r="V31" s="23">
        <f>T31*R25+T30*R26+T29*R27+T28*R28+T27*R29+T26*R30+T25*R31</f>
        <v>3.8993314323293058E-3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1.3500629965390143E-6</v>
      </c>
      <c r="AL31" s="10">
        <v>6</v>
      </c>
      <c r="AM31" s="9">
        <f>((($W$25)^Q31)*((1-($W$25))^($U$32-Q31))*HLOOKUP($U$32,$AV$24:$BF$34,Q31+1))*V32</f>
        <v>4.9962546372722287E-5</v>
      </c>
      <c r="AN31" s="10">
        <v>6</v>
      </c>
      <c r="AO31" s="9">
        <f>((($W$25)^Q31)*((1-($W$25))^($U$33-Q31))*HLOOKUP($U$33,$AV$24:$BF$34,Q31+1))*V33</f>
        <v>6.9347381571846175E-4</v>
      </c>
      <c r="AP31" s="10">
        <v>6</v>
      </c>
      <c r="AQ31" s="9">
        <f>((($W$25)^Q31)*((1-($W$25))^($U$34-Q31))*HLOOKUP($U$34,$AV$24:$BF$34,Q31+1))*V34</f>
        <v>4.2794934185282456E-3</v>
      </c>
      <c r="AR31" s="10">
        <v>6</v>
      </c>
      <c r="AS31" s="9">
        <f>((($W$25)^Q31)*((1-($W$25))^($U$35-Q31))*HLOOKUP($U$35,$AV$24:$BF$34,Q31+1))*V35</f>
        <v>9.8608023609303378E-3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9"/>
        <v>120</v>
      </c>
      <c r="BI31" s="1">
        <f t="shared" ref="BI31:BI37" si="20">BI24+1</f>
        <v>3</v>
      </c>
      <c r="BJ31" s="1">
        <v>4</v>
      </c>
      <c r="BK31" s="2">
        <f t="shared" ref="BK31:BK37" si="21">$H$28*H43</f>
        <v>2.775122610450205E-2</v>
      </c>
      <c r="BQ31" s="1">
        <f t="shared" ref="BQ31:BQ37" si="22">BQ24+1</f>
        <v>8</v>
      </c>
      <c r="BR31" s="1">
        <v>0</v>
      </c>
      <c r="BS31" s="2">
        <f t="shared" ref="BS31:BS38" si="23">$H$33*H39</f>
        <v>1.855895286579375E-4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8.4359501812414223E-3</v>
      </c>
      <c r="I32" s="24">
        <v>7</v>
      </c>
      <c r="J32" s="23">
        <f t="shared" si="16"/>
        <v>2.7666863535054202E-3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2.8027537790746942E-2</v>
      </c>
      <c r="S32" s="16">
        <v>7</v>
      </c>
      <c r="T32" s="15">
        <f t="shared" si="18"/>
        <v>5.6640425226236405E-16</v>
      </c>
      <c r="U32" s="24">
        <v>7</v>
      </c>
      <c r="V32" s="23">
        <f>T32*R25+T31*R26+T30*R27+T29*R28+T28*R29+T27*R30+T26*R31+T25*R32</f>
        <v>2.8047141808789169E-2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2.5732371199547805E-6</v>
      </c>
      <c r="AN32" s="10">
        <v>7</v>
      </c>
      <c r="AO32" s="9">
        <f>((($W$25)^Q32)*((1-($W$25))^($U$33-Q32))*HLOOKUP($U$33,$AV$24:$BF$34,Q32+1))*V33</f>
        <v>7.1432410630603186E-5</v>
      </c>
      <c r="AP32" s="10">
        <v>7</v>
      </c>
      <c r="AQ32" s="9">
        <f>((($W$25)^Q32)*((1-($W$25))^($U$34-Q32))*HLOOKUP($U$34,$AV$24:$BF$34,Q32+1))*V34</f>
        <v>6.6122438418218549E-4</v>
      </c>
      <c r="AR32" s="10">
        <v>7</v>
      </c>
      <c r="AS32" s="9">
        <f>((($W$25)^Q32)*((1-($W$25))^($U$35-Q32))*HLOOKUP($U$35,$AV$24:$BF$34,Q32+1))*V35</f>
        <v>2.0314563215726765E-3</v>
      </c>
      <c r="AV32" s="22">
        <v>8</v>
      </c>
      <c r="BD32" s="1">
        <v>1</v>
      </c>
      <c r="BE32" s="1">
        <v>9</v>
      </c>
      <c r="BF32" s="1">
        <f t="shared" si="19"/>
        <v>45</v>
      </c>
      <c r="BI32" s="1">
        <f t="shared" si="20"/>
        <v>3</v>
      </c>
      <c r="BJ32" s="1">
        <v>5</v>
      </c>
      <c r="BK32" s="2">
        <f t="shared" si="21"/>
        <v>1.2458335903571824E-2</v>
      </c>
      <c r="BQ32" s="1">
        <f t="shared" si="22"/>
        <v>8</v>
      </c>
      <c r="BR32" s="1">
        <v>1</v>
      </c>
      <c r="BS32" s="2">
        <f t="shared" si="23"/>
        <v>4.3944650399950421E-4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0.48399999999999999</v>
      </c>
      <c r="G33" s="62">
        <v>8</v>
      </c>
      <c r="H33" s="61">
        <f>J33*L25+J32*L26+J31*L27+J30*L28</f>
        <v>1.7590607564065314E-3</v>
      </c>
      <c r="I33" s="24">
        <v>8</v>
      </c>
      <c r="J33" s="23">
        <f t="shared" si="16"/>
        <v>3.3746103938270353E-4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0.13226874954865164</v>
      </c>
      <c r="S33" s="16">
        <v>8</v>
      </c>
      <c r="T33" s="15">
        <f t="shared" si="18"/>
        <v>3.2528600273502595E-18</v>
      </c>
      <c r="U33" s="24">
        <v>8</v>
      </c>
      <c r="V33" s="23">
        <f>T33*R25+T32*R26+T31*R27+T30*R28+T29*R29+T28*R30+T27*R31+T26*R32+T25*R33</f>
        <v>0.13240978842521434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3.2191306479330285E-6</v>
      </c>
      <c r="AP33" s="10">
        <v>8</v>
      </c>
      <c r="AQ33" s="9">
        <f>((($W$25)^Q33)*((1-($W$25))^($U$34-Q33))*HLOOKUP($U$34,$AV$24:$BF$34,Q33+1))*V34</f>
        <v>5.9596691795519263E-5</v>
      </c>
      <c r="AR33" s="10">
        <v>8</v>
      </c>
      <c r="AS33" s="9">
        <f>((($W$25)^Q33)*((1-($W$25))^($U$35-Q33))*HLOOKUP($U$35,$AV$24:$BF$34,Q33+1))*V35</f>
        <v>2.7464521693925124E-4</v>
      </c>
      <c r="AV33" s="29">
        <v>9</v>
      </c>
      <c r="BE33" s="1">
        <v>1</v>
      </c>
      <c r="BF33" s="1">
        <f t="shared" si="19"/>
        <v>10</v>
      </c>
      <c r="BI33" s="1">
        <f t="shared" si="20"/>
        <v>3</v>
      </c>
      <c r="BJ33" s="1">
        <v>6</v>
      </c>
      <c r="BK33" s="2">
        <f t="shared" si="21"/>
        <v>4.2743488044174978E-3</v>
      </c>
      <c r="BQ33" s="1">
        <f t="shared" si="22"/>
        <v>8</v>
      </c>
      <c r="BR33" s="1">
        <v>2</v>
      </c>
      <c r="BS33" s="2">
        <f t="shared" si="23"/>
        <v>4.7492360506498914E-4</v>
      </c>
    </row>
    <row r="34" spans="1:71" x14ac:dyDescent="0.25">
      <c r="A34" s="65" t="s">
        <v>23</v>
      </c>
      <c r="B34" s="64">
        <f>B23*2</f>
        <v>9.2638748652973515</v>
      </c>
      <c r="C34" s="63">
        <f>C23*2</f>
        <v>0.73612513470264851</v>
      </c>
      <c r="G34" s="62">
        <v>9</v>
      </c>
      <c r="H34" s="61">
        <f>J34*L25+J33*L26+J32*L27+J31*L28</f>
        <v>2.7869007575271405E-4</v>
      </c>
      <c r="I34" s="24">
        <v>9</v>
      </c>
      <c r="J34" s="23">
        <f t="shared" si="16"/>
        <v>2.4390885377106078E-5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0.36990122305255485</v>
      </c>
      <c r="S34" s="16">
        <v>9</v>
      </c>
      <c r="T34" s="15">
        <f t="shared" si="18"/>
        <v>1.8389284074216291E-20</v>
      </c>
      <c r="U34" s="24">
        <v>9</v>
      </c>
      <c r="V34" s="23">
        <f>T34*R25+T33*R26+T32*R27+T31*R28+T30*R29+T29*R30+T28*R31+T27*R32+T26*R33+T25*R34</f>
        <v>0.37056730711682179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2.387332589484651E-6</v>
      </c>
      <c r="AR34" s="10">
        <v>9</v>
      </c>
      <c r="AS34" s="9">
        <f>((($W$25)^Q34)*((1-($W$25))^($U$35-Q34))*HLOOKUP($U$35,$AV$24:$BF$34,Q34+1))*V35</f>
        <v>2.2003552787621425E-5</v>
      </c>
      <c r="AV34" s="22">
        <v>10</v>
      </c>
      <c r="BF34" s="1">
        <f t="shared" si="19"/>
        <v>1</v>
      </c>
      <c r="BI34" s="1">
        <f t="shared" si="20"/>
        <v>3</v>
      </c>
      <c r="BJ34" s="1">
        <v>7</v>
      </c>
      <c r="BK34" s="2">
        <f t="shared" si="21"/>
        <v>1.0823226398483101E-3</v>
      </c>
      <c r="BQ34" s="1">
        <f t="shared" si="22"/>
        <v>8</v>
      </c>
      <c r="BR34" s="1">
        <v>3</v>
      </c>
      <c r="BS34" s="2">
        <f t="shared" si="23"/>
        <v>3.4172061517556387E-4</v>
      </c>
    </row>
    <row r="35" spans="1:71" ht="15.75" thickBot="1" x14ac:dyDescent="0.3">
      <c r="G35" s="60">
        <v>10</v>
      </c>
      <c r="H35" s="59">
        <f>J35*L25+J34*L26+J33*L27+J32*L28</f>
        <v>3.2992351773851312E-5</v>
      </c>
      <c r="I35" s="14">
        <v>10</v>
      </c>
      <c r="J35" s="13">
        <f t="shared" si="16"/>
        <v>7.9327924696074308E-7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0.46550762653465222</v>
      </c>
      <c r="S35" s="16">
        <v>10</v>
      </c>
      <c r="T35" s="15">
        <f t="shared" si="18"/>
        <v>1.0267606964944888E-22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0.46467890128729206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7.9327924696074308E-7</v>
      </c>
      <c r="BI35" s="1">
        <f t="shared" si="20"/>
        <v>3</v>
      </c>
      <c r="BJ35" s="1">
        <v>8</v>
      </c>
      <c r="BK35" s="2">
        <f t="shared" si="21"/>
        <v>1.9944981721753801E-4</v>
      </c>
      <c r="BQ35" s="1">
        <f t="shared" si="22"/>
        <v>8</v>
      </c>
      <c r="BR35" s="1">
        <v>4</v>
      </c>
      <c r="BS35" s="2">
        <f t="shared" si="23"/>
        <v>1.9232802537286556E-4</v>
      </c>
    </row>
    <row r="36" spans="1:71" ht="15.75" x14ac:dyDescent="0.25">
      <c r="A36" s="58" t="s">
        <v>22</v>
      </c>
      <c r="B36" s="48">
        <f>SUM(BO4:BO14)</f>
        <v>0.18360416692617426</v>
      </c>
      <c r="C36" s="57"/>
      <c r="D36" s="175"/>
      <c r="E36" s="175">
        <v>20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20"/>
        <v>3</v>
      </c>
      <c r="BJ36" s="1">
        <v>9</v>
      </c>
      <c r="BK36" s="2">
        <f t="shared" si="21"/>
        <v>2.6704423647458532E-5</v>
      </c>
      <c r="BQ36" s="1">
        <f t="shared" si="22"/>
        <v>8</v>
      </c>
      <c r="BR36" s="1">
        <v>5</v>
      </c>
      <c r="BS36" s="2">
        <f t="shared" si="23"/>
        <v>8.6341667742641798E-5</v>
      </c>
    </row>
    <row r="37" spans="1:71" ht="16.5" thickBot="1" x14ac:dyDescent="0.3">
      <c r="A37" s="55" t="s">
        <v>21</v>
      </c>
      <c r="B37" s="48">
        <f>SUM(BK4:BK59)</f>
        <v>0.29389291210266866</v>
      </c>
      <c r="D37" s="175" t="s">
        <v>247</v>
      </c>
      <c r="E37" s="175">
        <v>35</v>
      </c>
      <c r="G37" s="4"/>
      <c r="H37" s="50">
        <f>SUM(H39:H49)</f>
        <v>0.99999923380415567</v>
      </c>
      <c r="I37" s="53"/>
      <c r="J37" s="50">
        <f>SUM(J39:J49)</f>
        <v>1</v>
      </c>
      <c r="K37" s="50"/>
      <c r="L37" s="50">
        <f>SUM(L39:L49)</f>
        <v>1</v>
      </c>
      <c r="M37" s="53"/>
      <c r="N37" s="54">
        <f>SUM(N39:N49)</f>
        <v>0.99999999999999989</v>
      </c>
      <c r="O37" s="53"/>
      <c r="P37" s="54">
        <f>SUM(P39:P49)</f>
        <v>0.99999999999999989</v>
      </c>
      <c r="Q37" s="53"/>
      <c r="R37" s="50">
        <f>SUM(R39:R49)</f>
        <v>0.99999999999999967</v>
      </c>
      <c r="S37" s="53"/>
      <c r="T37" s="50">
        <f>SUM(T39:T49)</f>
        <v>0.99999999999999978</v>
      </c>
      <c r="U37" s="53"/>
      <c r="V37" s="52">
        <f>SUM(V39:V48)</f>
        <v>0.99990609844237699</v>
      </c>
      <c r="W37" s="4"/>
      <c r="X37" s="4"/>
      <c r="Y37" s="50">
        <f>SUM(Y39:Y49)</f>
        <v>8.7866840479965229E-3</v>
      </c>
      <c r="Z37" s="51"/>
      <c r="AA37" s="50">
        <f>SUM(AA39:AA49)</f>
        <v>5.6432706894316113E-2</v>
      </c>
      <c r="AB37" s="51"/>
      <c r="AC37" s="50">
        <f>SUM(AC39:AC49)</f>
        <v>0.15775089291447275</v>
      </c>
      <c r="AD37" s="51"/>
      <c r="AE37" s="50">
        <f>SUM(AE39:AE49)</f>
        <v>0.25174847232412878</v>
      </c>
      <c r="AF37" s="51"/>
      <c r="AG37" s="50">
        <f>SUM(AG39:AG49)</f>
        <v>0.2532621820117173</v>
      </c>
      <c r="AH37" s="51"/>
      <c r="AI37" s="50">
        <f>SUM(AI39:AI49)</f>
        <v>0.16795799015309043</v>
      </c>
      <c r="AJ37" s="51"/>
      <c r="AK37" s="50">
        <f>SUM(AK39:AK49)</f>
        <v>7.5132187330068767E-2</v>
      </c>
      <c r="AL37" s="51"/>
      <c r="AM37" s="50">
        <f>SUM(AM39:AM49)</f>
        <v>2.3083576931691701E-2</v>
      </c>
      <c r="AN37" s="51"/>
      <c r="AO37" s="50">
        <f>SUM(AO39:AO49)</f>
        <v>4.9812259550623267E-3</v>
      </c>
      <c r="AP37" s="51"/>
      <c r="AQ37" s="50">
        <f>SUM(AQ39:AQ49)</f>
        <v>7.7017987983226722E-4</v>
      </c>
      <c r="AR37" s="51"/>
      <c r="AS37" s="50">
        <f>SUM(AS39:AS49)</f>
        <v>9.3901557623010708E-5</v>
      </c>
      <c r="BI37" s="1">
        <f t="shared" si="20"/>
        <v>3</v>
      </c>
      <c r="BJ37" s="1">
        <v>10</v>
      </c>
      <c r="BK37" s="2">
        <f t="shared" si="21"/>
        <v>2.6060122800316496E-6</v>
      </c>
      <c r="BQ37" s="1">
        <f t="shared" si="22"/>
        <v>8</v>
      </c>
      <c r="BR37" s="1">
        <v>6</v>
      </c>
      <c r="BS37" s="2">
        <f t="shared" si="23"/>
        <v>2.962308988485094E-5</v>
      </c>
    </row>
    <row r="38" spans="1:71" ht="16.5" thickBot="1" x14ac:dyDescent="0.3">
      <c r="A38" s="49" t="s">
        <v>20</v>
      </c>
      <c r="B38" s="48">
        <f>SUM(BS4:BS47)</f>
        <v>0.52246621664338178</v>
      </c>
      <c r="D38" s="175"/>
      <c r="E38" s="175">
        <v>45</v>
      </c>
      <c r="G38" s="46" t="str">
        <f t="shared" ref="G38:AS38" si="24">G24</f>
        <v>G</v>
      </c>
      <c r="H38" s="47" t="str">
        <f t="shared" si="24"/>
        <v>p</v>
      </c>
      <c r="I38" s="46" t="str">
        <f t="shared" si="24"/>
        <v>GT</v>
      </c>
      <c r="J38" s="44" t="str">
        <f t="shared" si="24"/>
        <v>p(x)</v>
      </c>
      <c r="K38" s="45" t="str">
        <f t="shared" si="24"/>
        <v>EE(x)</v>
      </c>
      <c r="L38" s="44" t="str">
        <f t="shared" si="24"/>
        <v>p</v>
      </c>
      <c r="M38" s="40" t="str">
        <f t="shared" si="24"/>
        <v>OcaS</v>
      </c>
      <c r="N38" s="39" t="str">
        <f t="shared" si="24"/>
        <v>P</v>
      </c>
      <c r="O38" s="39" t="str">
        <f t="shared" si="24"/>
        <v>O_CA</v>
      </c>
      <c r="P38" s="39" t="str">
        <f t="shared" si="24"/>
        <v>p</v>
      </c>
      <c r="Q38" s="39" t="str">
        <f t="shared" si="24"/>
        <v>TotalN</v>
      </c>
      <c r="R38" s="39" t="str">
        <f t="shared" si="24"/>
        <v>p</v>
      </c>
      <c r="S38" s="39" t="str">
        <f t="shared" si="24"/>
        <v>OcaCA</v>
      </c>
      <c r="T38" s="43" t="str">
        <f t="shared" si="24"/>
        <v>p</v>
      </c>
      <c r="U38" s="42" t="str">
        <f t="shared" si="24"/>
        <v>Total</v>
      </c>
      <c r="V38" s="41" t="str">
        <f t="shared" si="24"/>
        <v>P</v>
      </c>
      <c r="W38" s="40" t="str">
        <f t="shared" si="24"/>
        <v>E(x)</v>
      </c>
      <c r="X38" s="39" t="str">
        <f t="shared" si="24"/>
        <v>G0</v>
      </c>
      <c r="Y38" s="39" t="str">
        <f t="shared" si="24"/>
        <v>p</v>
      </c>
      <c r="Z38" s="39" t="str">
        <f t="shared" si="24"/>
        <v>G1</v>
      </c>
      <c r="AA38" s="39" t="str">
        <f t="shared" si="24"/>
        <v>p</v>
      </c>
      <c r="AB38" s="39" t="str">
        <f t="shared" si="24"/>
        <v>G2</v>
      </c>
      <c r="AC38" s="39" t="str">
        <f t="shared" si="24"/>
        <v>p</v>
      </c>
      <c r="AD38" s="39" t="str">
        <f t="shared" si="24"/>
        <v>G3</v>
      </c>
      <c r="AE38" s="39" t="str">
        <f t="shared" si="24"/>
        <v>p</v>
      </c>
      <c r="AF38" s="39" t="str">
        <f t="shared" si="24"/>
        <v>G4</v>
      </c>
      <c r="AG38" s="39" t="str">
        <f t="shared" si="24"/>
        <v>p</v>
      </c>
      <c r="AH38" s="39" t="str">
        <f t="shared" si="24"/>
        <v>G5</v>
      </c>
      <c r="AI38" s="39" t="str">
        <f t="shared" si="24"/>
        <v>p</v>
      </c>
      <c r="AJ38" s="39" t="str">
        <f t="shared" si="24"/>
        <v>G6</v>
      </c>
      <c r="AK38" s="39" t="str">
        <f t="shared" si="24"/>
        <v>p</v>
      </c>
      <c r="AL38" s="39" t="str">
        <f t="shared" si="24"/>
        <v>G7</v>
      </c>
      <c r="AM38" s="39" t="str">
        <f t="shared" si="24"/>
        <v>p</v>
      </c>
      <c r="AN38" s="39" t="str">
        <f t="shared" si="24"/>
        <v>G8</v>
      </c>
      <c r="AO38" s="39" t="str">
        <f t="shared" si="24"/>
        <v>p</v>
      </c>
      <c r="AP38" s="39" t="str">
        <f t="shared" si="24"/>
        <v>G9</v>
      </c>
      <c r="AQ38" s="39" t="str">
        <f t="shared" si="24"/>
        <v>p</v>
      </c>
      <c r="AR38" s="39" t="str">
        <f t="shared" si="24"/>
        <v>G10</v>
      </c>
      <c r="AS38" s="39" t="str">
        <f t="shared" si="24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5">BI32+1</f>
        <v>4</v>
      </c>
      <c r="BJ38" s="1">
        <v>5</v>
      </c>
      <c r="BK38" s="2">
        <f t="shared" ref="BK38:BK43" si="26">$H$29*H44</f>
        <v>8.500279907664627E-3</v>
      </c>
      <c r="BQ38" s="1">
        <f>BM11+1</f>
        <v>8</v>
      </c>
      <c r="BR38" s="1">
        <v>7</v>
      </c>
      <c r="BS38" s="2">
        <f t="shared" si="23"/>
        <v>7.5009650151855067E-6</v>
      </c>
    </row>
    <row r="39" spans="1:71" x14ac:dyDescent="0.25">
      <c r="G39" s="38">
        <v>0</v>
      </c>
      <c r="H39" s="37">
        <f>L39*J39</f>
        <v>0.10550489969264396</v>
      </c>
      <c r="I39" s="36">
        <v>0</v>
      </c>
      <c r="J39" s="34">
        <f t="shared" ref="J39:J49" si="27">Y39+AA39+AC39+AE39+AG39+AI39+AK39+AM39+AO39+AQ39+AS39</f>
        <v>0.20049136755936253</v>
      </c>
      <c r="K39" s="35">
        <v>0</v>
      </c>
      <c r="L39" s="34">
        <f>AH18</f>
        <v>0.52623163269812856</v>
      </c>
      <c r="M39" s="17">
        <v>0</v>
      </c>
      <c r="N39" s="32">
        <f>(1-$C$24)^$B$21</f>
        <v>0.68228119315620317</v>
      </c>
      <c r="O39" s="16">
        <v>0</v>
      </c>
      <c r="P39" s="32">
        <f t="shared" ref="P39:P44" si="28">N39</f>
        <v>0.68228119315620317</v>
      </c>
      <c r="Q39" s="10">
        <v>0</v>
      </c>
      <c r="R39" s="11">
        <f>P39*N39</f>
        <v>0.46550762653465222</v>
      </c>
      <c r="S39" s="16">
        <v>0</v>
      </c>
      <c r="T39" s="15">
        <f>(1-$C$33)^(INT(B23*2*(1-B31)))</f>
        <v>1.8875488922505214E-2</v>
      </c>
      <c r="U39" s="24">
        <v>0</v>
      </c>
      <c r="V39" s="23">
        <f>R39*T39</f>
        <v>8.7866840479965229E-3</v>
      </c>
      <c r="W39" s="33">
        <f>C31</f>
        <v>0.40390921161125326</v>
      </c>
      <c r="X39" s="10">
        <v>0</v>
      </c>
      <c r="Y39" s="9">
        <f>V39</f>
        <v>8.7866840479965229E-3</v>
      </c>
      <c r="Z39" s="10">
        <v>0</v>
      </c>
      <c r="AA39" s="9">
        <f>((1-W39)^Z40)*V40</f>
        <v>3.3639016743543956E-2</v>
      </c>
      <c r="AB39" s="10">
        <v>0</v>
      </c>
      <c r="AC39" s="9">
        <f>(((1-$W$39)^AB41))*V41</f>
        <v>5.6052714241448212E-2</v>
      </c>
      <c r="AD39" s="10">
        <v>0</v>
      </c>
      <c r="AE39" s="9">
        <f>(((1-$W$39)^AB42))*V42</f>
        <v>5.3321710854276699E-2</v>
      </c>
      <c r="AF39" s="10">
        <v>0</v>
      </c>
      <c r="AG39" s="9">
        <f>(((1-$W$39)^AB43))*V43</f>
        <v>3.197569454268577E-2</v>
      </c>
      <c r="AH39" s="10">
        <v>0</v>
      </c>
      <c r="AI39" s="9">
        <f>(((1-$W$39)^AB44))*V44</f>
        <v>1.2640455437137333E-2</v>
      </c>
      <c r="AJ39" s="10">
        <v>0</v>
      </c>
      <c r="AK39" s="9">
        <f>(((1-$W$39)^AB45))*V45</f>
        <v>3.3705478430504274E-3</v>
      </c>
      <c r="AL39" s="10">
        <v>0</v>
      </c>
      <c r="AM39" s="9">
        <f>(((1-$W$39)^AB46))*V46</f>
        <v>6.1729104975712969E-4</v>
      </c>
      <c r="AN39" s="10">
        <v>0</v>
      </c>
      <c r="AO39" s="9">
        <f>(((1-$W$39)^AB47))*V47</f>
        <v>7.9402746901093081E-5</v>
      </c>
      <c r="AP39" s="10">
        <v>0</v>
      </c>
      <c r="AQ39" s="9">
        <f>(((1-$W$39)^AB48))*V48</f>
        <v>7.3181930885775418E-6</v>
      </c>
      <c r="AR39" s="10">
        <v>0</v>
      </c>
      <c r="AS39" s="9">
        <f>(((1-$W$39)^AB49))*V49</f>
        <v>5.3185947680115553E-7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5"/>
        <v>4</v>
      </c>
      <c r="BJ39" s="1">
        <v>6</v>
      </c>
      <c r="BK39" s="2">
        <f t="shared" si="26"/>
        <v>2.9163735463356389E-3</v>
      </c>
      <c r="BQ39" s="1">
        <f t="shared" ref="BQ39:BQ46" si="29">BQ31+1</f>
        <v>9</v>
      </c>
      <c r="BR39" s="1">
        <v>0</v>
      </c>
      <c r="BS39" s="2">
        <f t="shared" ref="BS39:BS47" si="30">$H$34*H39</f>
        <v>2.9403168487625442E-5</v>
      </c>
    </row>
    <row r="40" spans="1:71" x14ac:dyDescent="0.25">
      <c r="G40" s="27">
        <v>1</v>
      </c>
      <c r="H40" s="26">
        <f>L39*J40+L40*J39</f>
        <v>0.24981883223705151</v>
      </c>
      <c r="I40" s="24">
        <v>1</v>
      </c>
      <c r="J40" s="23">
        <f t="shared" si="27"/>
        <v>0.35374981936632127</v>
      </c>
      <c r="K40" s="25">
        <v>1</v>
      </c>
      <c r="L40" s="23">
        <f>AI18</f>
        <v>0.31754228623531178</v>
      </c>
      <c r="M40" s="17">
        <v>1</v>
      </c>
      <c r="N40" s="32">
        <f>(($C$24)^M26)*((1-($C$24))^($B$21-M26))*HLOOKUP($B$21,$AV$24:$BF$34,M26+1)</f>
        <v>0.27107681316951426</v>
      </c>
      <c r="O40" s="16">
        <v>1</v>
      </c>
      <c r="P40" s="32">
        <f t="shared" si="28"/>
        <v>0.27107681316951426</v>
      </c>
      <c r="Q40" s="10">
        <v>1</v>
      </c>
      <c r="R40" s="11">
        <f>P40*N39+P39*N40</f>
        <v>0.36990122305255474</v>
      </c>
      <c r="S40" s="16">
        <v>1</v>
      </c>
      <c r="T40" s="15">
        <f t="shared" ref="T40:T49" si="31">(($C$33)^S40)*((1-($C$33))^(INT($B$23*2*(1-$B$31))-S40))*HLOOKUP(INT($B$23*2*(1-$B$31)),$AV$24:$BF$34,S40+1)</f>
        <v>0.10622949579642471</v>
      </c>
      <c r="U40" s="24">
        <v>1</v>
      </c>
      <c r="V40" s="23">
        <f>R40*T39+T40*R39</f>
        <v>5.6432706894316113E-2</v>
      </c>
      <c r="W40" s="12"/>
      <c r="X40" s="10">
        <v>1</v>
      </c>
      <c r="Y40" s="11"/>
      <c r="Z40" s="10">
        <v>1</v>
      </c>
      <c r="AA40" s="9">
        <f>(1-((1-W39)^Z40))*V40</f>
        <v>2.2793690150772157E-2</v>
      </c>
      <c r="AB40" s="10">
        <v>1</v>
      </c>
      <c r="AC40" s="9">
        <f>((($W$39)^M40)*((1-($W$39))^($U$27-M40))*HLOOKUP($U$27,$AV$24:$BF$34,M40+1))*V41</f>
        <v>7.5962279769937219E-2</v>
      </c>
      <c r="AD40" s="10">
        <v>1</v>
      </c>
      <c r="AE40" s="9">
        <f>((($W$39)^M40)*((1-($W$39))^($U$28-M40))*HLOOKUP($U$28,$AV$24:$BF$34,M40+1))*V42</f>
        <v>0.10839186217486947</v>
      </c>
      <c r="AF40" s="10">
        <v>1</v>
      </c>
      <c r="AG40" s="9">
        <f>((($W$39)^M40)*((1-($W$39))^($U$29-M40))*HLOOKUP($U$29,$AV$24:$BF$34,M40+1))*V43</f>
        <v>8.6666513390477887E-2</v>
      </c>
      <c r="AH40" s="10">
        <v>1</v>
      </c>
      <c r="AI40" s="9">
        <f>((($W$39)^M40)*((1-($W$39))^($U$30-M40))*HLOOKUP($U$30,$AV$24:$BF$34,M40+1))*V44</f>
        <v>4.2825660868052638E-2</v>
      </c>
      <c r="AJ40" s="10">
        <v>1</v>
      </c>
      <c r="AK40" s="9">
        <f>((($W$39)^M40)*((1-($W$39))^($U$31-M40))*HLOOKUP($U$31,$AV$24:$BF$34,M40+1))*V45</f>
        <v>1.3703234626366951E-2</v>
      </c>
      <c r="AL40" s="10">
        <v>1</v>
      </c>
      <c r="AM40" s="9">
        <f>((($W$39)^Q40)*((1-($W$39))^($U$32-Q40))*HLOOKUP($U$32,$AV$24:$BF$34,Q40+1))*V46</f>
        <v>2.927921086336896E-3</v>
      </c>
      <c r="AN40" s="10">
        <v>1</v>
      </c>
      <c r="AO40" s="9">
        <f>((($W$39)^Q40)*((1-($W$39))^($U$33-Q40))*HLOOKUP($U$33,$AV$24:$BF$34,Q40+1))*V47</f>
        <v>4.3042437863908243E-4</v>
      </c>
      <c r="AP40" s="10">
        <v>1</v>
      </c>
      <c r="AQ40" s="9">
        <f>((($W$39)^Q40)*((1-($W$39))^($U$34-Q40))*HLOOKUP($U$34,$AV$24:$BF$34,Q40+1))*V48</f>
        <v>4.4629058065710439E-5</v>
      </c>
      <c r="AR40" s="10">
        <v>1</v>
      </c>
      <c r="AS40" s="9">
        <f>((($W$39)^Q40)*((1-($W$39))^($U$35-Q40))*HLOOKUP($U$35,$AV$24:$BF$34,Q40+1))*V49</f>
        <v>3.6038628032384446E-6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5"/>
        <v>4</v>
      </c>
      <c r="BJ40" s="1">
        <v>7</v>
      </c>
      <c r="BK40" s="2">
        <f t="shared" si="26"/>
        <v>7.3846502938449939E-4</v>
      </c>
      <c r="BQ40" s="1">
        <f t="shared" si="29"/>
        <v>9</v>
      </c>
      <c r="BR40" s="1">
        <v>1</v>
      </c>
      <c r="BS40" s="2">
        <f t="shared" si="30"/>
        <v>6.9622029280598445E-5</v>
      </c>
    </row>
    <row r="41" spans="1:71" x14ac:dyDescent="0.25">
      <c r="G41" s="27">
        <v>2</v>
      </c>
      <c r="H41" s="26">
        <f>L39*J41+J40*L40+J39*L41</f>
        <v>0.26998703901233012</v>
      </c>
      <c r="I41" s="24">
        <v>2</v>
      </c>
      <c r="J41" s="23">
        <f t="shared" si="27"/>
        <v>0.27562412836151395</v>
      </c>
      <c r="K41" s="25">
        <v>2</v>
      </c>
      <c r="L41" s="23">
        <f>AJ18</f>
        <v>6.2917310058284159E-2</v>
      </c>
      <c r="M41" s="17">
        <v>2</v>
      </c>
      <c r="N41" s="32">
        <f>(($C$24)^M27)*((1-($C$24))^($B$21-M27))*HLOOKUP($B$21,$AV$24:$BF$34,M27+1)</f>
        <v>4.3080559379461848E-2</v>
      </c>
      <c r="O41" s="16">
        <v>2</v>
      </c>
      <c r="P41" s="32">
        <f t="shared" si="28"/>
        <v>4.3080559379461848E-2</v>
      </c>
      <c r="Q41" s="10">
        <v>2</v>
      </c>
      <c r="R41" s="11">
        <f>P41*N39+P40*N40+P39*N41</f>
        <v>0.13226874954865153</v>
      </c>
      <c r="S41" s="16">
        <v>2</v>
      </c>
      <c r="T41" s="15">
        <f t="shared" si="31"/>
        <v>0.24910405022029819</v>
      </c>
      <c r="U41" s="24">
        <v>2</v>
      </c>
      <c r="V41" s="23">
        <f>R41*T39+T40*R40+R39*T41</f>
        <v>0.15775089291447275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2.5735898903087313E-2</v>
      </c>
      <c r="AD41" s="10">
        <v>2</v>
      </c>
      <c r="AE41" s="9">
        <f>((($W$39)^M41)*((1-($W$39))^($U$28-M41))*HLOOKUP($U$28,$AV$24:$BF$34,M41+1))*V42</f>
        <v>7.3445979117488513E-2</v>
      </c>
      <c r="AF41" s="10">
        <v>2</v>
      </c>
      <c r="AG41" s="9">
        <f>((($W$39)^M41)*((1-($W$39))^($U$29-M41))*HLOOKUP($U$29,$AV$24:$BF$34,M41+1))*V43</f>
        <v>8.8087428404819382E-2</v>
      </c>
      <c r="AH41" s="10">
        <v>2</v>
      </c>
      <c r="AI41" s="9">
        <f>((($W$39)^M41)*((1-($W$39))^($U$30-M41))*HLOOKUP($U$30,$AV$24:$BF$34,M41+1))*V44</f>
        <v>5.803706165197501E-2</v>
      </c>
      <c r="AJ41" s="10">
        <v>2</v>
      </c>
      <c r="AK41" s="9">
        <f>((($W$39)^M41)*((1-($W$39))^($U$31-M41))*HLOOKUP($U$31,$AV$24:$BF$34,M41+1))*V45</f>
        <v>2.3213169882312812E-2</v>
      </c>
      <c r="AL41" s="10">
        <v>2</v>
      </c>
      <c r="AM41" s="9">
        <f>((($W$39)^Q41)*((1-($W$39))^($U$32-Q41))*HLOOKUP($U$32,$AV$24:$BF$34,Q41+1))*V46</f>
        <v>5.9518498893714432E-3</v>
      </c>
      <c r="AN41" s="10">
        <v>2</v>
      </c>
      <c r="AO41" s="9">
        <f>((($W$39)^Q41)*((1-($W$39))^($U$33-Q41))*HLOOKUP($U$33,$AV$24:$BF$34,Q41+1))*V47</f>
        <v>1.0207896378755734E-3</v>
      </c>
      <c r="AP41" s="10">
        <v>2</v>
      </c>
      <c r="AQ41" s="9">
        <f>((($W$39)^Q41)*((1-($W$39))^($U$34-Q41))*HLOOKUP($U$34,$AV$24:$BF$34,Q41+1))*V48</f>
        <v>1.2096202799576262E-4</v>
      </c>
      <c r="AR41" s="10">
        <v>2</v>
      </c>
      <c r="AS41" s="9">
        <f>((($W$39)^Q41)*((1-($W$39))^($U$35-Q41))*HLOOKUP($U$35,$AV$24:$BF$34,Q41+1))*V49</f>
        <v>1.098884658821191E-5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5"/>
        <v>4</v>
      </c>
      <c r="BJ41" s="1">
        <v>8</v>
      </c>
      <c r="BK41" s="2">
        <f t="shared" si="26"/>
        <v>1.3608392701914171E-4</v>
      </c>
      <c r="BQ41" s="1">
        <f t="shared" si="29"/>
        <v>9</v>
      </c>
      <c r="BR41" s="1">
        <v>2</v>
      </c>
      <c r="BS41" s="2">
        <f t="shared" si="30"/>
        <v>7.5242708354597251E-5</v>
      </c>
    </row>
    <row r="42" spans="1:71" ht="15" customHeight="1" x14ac:dyDescent="0.25">
      <c r="G42" s="27">
        <v>3</v>
      </c>
      <c r="H42" s="26">
        <f>J42*L39+J41*L40+L42*J39+L41*J40</f>
        <v>0.19426311111257025</v>
      </c>
      <c r="I42" s="24">
        <v>3</v>
      </c>
      <c r="J42" s="23">
        <f t="shared" si="27"/>
        <v>0.12499477604742748</v>
      </c>
      <c r="K42" s="25">
        <v>3</v>
      </c>
      <c r="L42" s="23">
        <f>AK18</f>
        <v>9.3308771008275504E-2</v>
      </c>
      <c r="M42" s="17">
        <v>3</v>
      </c>
      <c r="N42" s="32">
        <f>(($C$24)^M28)*((1-($C$24))^($B$21-M28))*HLOOKUP($B$21,$AV$24:$BF$34,M28+1)</f>
        <v>3.4232632712978559E-3</v>
      </c>
      <c r="O42" s="16">
        <v>3</v>
      </c>
      <c r="P42" s="32">
        <f t="shared" si="28"/>
        <v>3.4232632712978559E-3</v>
      </c>
      <c r="Q42" s="10">
        <v>3</v>
      </c>
      <c r="R42" s="11">
        <f>P42*N39+P41*N40+P40*N41+P39*N42</f>
        <v>2.8027537790746907E-2</v>
      </c>
      <c r="S42" s="16">
        <v>3</v>
      </c>
      <c r="T42" s="15">
        <f t="shared" si="31"/>
        <v>0.31154098270445563</v>
      </c>
      <c r="U42" s="24">
        <v>3</v>
      </c>
      <c r="V42" s="23">
        <f>R42*T39+R41*T40+R40*T41+R39*T42</f>
        <v>0.25174847232412878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1.6588920177494106E-2</v>
      </c>
      <c r="AF42" s="10">
        <v>3</v>
      </c>
      <c r="AG42" s="9">
        <f>((($W$39)^M42)*((1-($W$39))^($U$29-M42))*HLOOKUP($U$29,$AV$24:$BF$34,M42+1))*V43</f>
        <v>3.9791839825859876E-2</v>
      </c>
      <c r="AH42" s="10">
        <v>3</v>
      </c>
      <c r="AI42" s="9">
        <f>((($W$39)^M42)*((1-($W$39))^($U$30-M42))*HLOOKUP($U$30,$AV$24:$BF$34,M42+1))*V44</f>
        <v>3.9325727343391154E-2</v>
      </c>
      <c r="AJ42" s="10">
        <v>3</v>
      </c>
      <c r="AK42" s="9">
        <f>((($W$39)^M42)*((1-($W$39))^($U$31-M42))*HLOOKUP($U$31,$AV$24:$BF$34,M42+1))*V45</f>
        <v>2.0972226219670851E-2</v>
      </c>
      <c r="AL42" s="10">
        <v>3</v>
      </c>
      <c r="AM42" s="9">
        <f>((($W$39)^Q42)*((1-($W$39))^($U$32-Q42))*HLOOKUP($U$32,$AV$24:$BF$34,Q42+1))*V46</f>
        <v>6.7215907466675676E-3</v>
      </c>
      <c r="AN42" s="10">
        <v>3</v>
      </c>
      <c r="AO42" s="9">
        <f>((($W$39)^Q42)*((1-($W$39))^($U$33-Q42))*HLOOKUP($U$33,$AV$24:$BF$34,Q42+1))*V47</f>
        <v>1.3833675872419945E-3</v>
      </c>
      <c r="AP42" s="10">
        <v>3</v>
      </c>
      <c r="AQ42" s="9">
        <f>((($W$39)^Q42)*((1-($W$39))^($U$34-Q42))*HLOOKUP($U$34,$AV$24:$BF$34,Q42+1))*V48</f>
        <v>1.9124812763455899E-4</v>
      </c>
      <c r="AR42" s="10">
        <v>3</v>
      </c>
      <c r="AS42" s="9">
        <f>((($W$39)^Q42)*((1-($W$39))^($U$35-Q42))*HLOOKUP($U$35,$AV$24:$BF$34,Q42+1))*V49</f>
        <v>1.985601946736597E-5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2">BE41+BE42</f>
        <v>210</v>
      </c>
      <c r="BI42" s="1">
        <f t="shared" si="25"/>
        <v>4</v>
      </c>
      <c r="BJ42" s="1">
        <v>9</v>
      </c>
      <c r="BK42" s="2">
        <f t="shared" si="26"/>
        <v>1.822033677155679E-5</v>
      </c>
      <c r="BQ42" s="1">
        <f t="shared" si="29"/>
        <v>9</v>
      </c>
      <c r="BR42" s="1">
        <v>3</v>
      </c>
      <c r="BS42" s="2">
        <f t="shared" si="30"/>
        <v>5.413920115192011E-5</v>
      </c>
    </row>
    <row r="43" spans="1:71" ht="15" customHeight="1" x14ac:dyDescent="0.25">
      <c r="G43" s="27">
        <v>4</v>
      </c>
      <c r="H43" s="26">
        <f>J43*L39+J42*L40+J41*L41+J40*L42</f>
        <v>0.10933563532265919</v>
      </c>
      <c r="I43" s="24">
        <v>4</v>
      </c>
      <c r="J43" s="23">
        <f t="shared" si="27"/>
        <v>3.6666398477455724E-2</v>
      </c>
      <c r="K43" s="25">
        <v>4</v>
      </c>
      <c r="L43" s="23"/>
      <c r="M43" s="17">
        <v>4</v>
      </c>
      <c r="N43" s="32">
        <f>(($C$24)^M29)*((1-($C$24))^($B$21-M29))*HLOOKUP($B$21,$AV$24:$BF$34,M29+1)</f>
        <v>1.3600950862076861E-4</v>
      </c>
      <c r="O43" s="16">
        <v>4</v>
      </c>
      <c r="P43" s="32">
        <f t="shared" si="28"/>
        <v>1.3600950862076861E-4</v>
      </c>
      <c r="Q43" s="10">
        <v>4</v>
      </c>
      <c r="R43" s="11">
        <f>P43*N39+P42*N40+P41*N41+P40*N42+P39*N43</f>
        <v>3.8974626525394101E-3</v>
      </c>
      <c r="S43" s="16">
        <v>4</v>
      </c>
      <c r="T43" s="15">
        <f t="shared" si="31"/>
        <v>0.21916545876301821</v>
      </c>
      <c r="U43" s="24">
        <v>4</v>
      </c>
      <c r="V43" s="23">
        <f>T43*R39+T42*R40+T41*R41+T40*R42+T39*R43</f>
        <v>0.2532621820117173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6.7407058478743936E-3</v>
      </c>
      <c r="AH43" s="10">
        <v>4</v>
      </c>
      <c r="AI43" s="9">
        <f>((($W$39)^M43)*((1-($W$39))^($U$30-M43))*HLOOKUP($U$30,$AV$24:$BF$34,M43+1))*V44</f>
        <v>1.332349353212056E-2</v>
      </c>
      <c r="AJ43" s="10">
        <v>4</v>
      </c>
      <c r="AK43" s="9">
        <f>((($W$39)^M43)*((1-($W$39))^($U$31-M43))*HLOOKUP($U$31,$AV$24:$BF$34,M43+1))*V45</f>
        <v>1.0658035054966835E-2</v>
      </c>
      <c r="AL43" s="10">
        <v>4</v>
      </c>
      <c r="AM43" s="9">
        <f>((($W$39)^Q43)*((1-($W$39))^($U$32-Q43))*HLOOKUP($U$32,$AV$24:$BF$34,Q43+1))*V46</f>
        <v>4.5545283908823529E-3</v>
      </c>
      <c r="AN43" s="10">
        <v>4</v>
      </c>
      <c r="AO43" s="9">
        <f>((($W$39)^Q43)*((1-($W$39))^($U$33-Q43))*HLOOKUP($U$33,$AV$24:$BF$34,Q43+1))*V47</f>
        <v>1.1717068155041633E-3</v>
      </c>
      <c r="AP43" s="10">
        <v>4</v>
      </c>
      <c r="AQ43" s="9">
        <f>((($W$39)^Q43)*((1-($W$39))^($U$34-Q43))*HLOOKUP($U$34,$AV$24:$BF$34,Q43+1))*V48</f>
        <v>1.9438367936485971E-4</v>
      </c>
      <c r="AR43" s="10">
        <v>4</v>
      </c>
      <c r="AS43" s="9">
        <f>((($W$39)^Q43)*((1-($W$39))^($U$35-Q43))*HLOOKUP($U$35,$AV$24:$BF$34,Q43+1))*V49</f>
        <v>2.3545156742548922E-5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2"/>
        <v>252</v>
      </c>
      <c r="BI43" s="1">
        <f t="shared" si="25"/>
        <v>4</v>
      </c>
      <c r="BJ43" s="1">
        <v>10</v>
      </c>
      <c r="BK43" s="2">
        <f t="shared" si="26"/>
        <v>1.7780732510775658E-6</v>
      </c>
      <c r="BQ43" s="1">
        <f t="shared" si="29"/>
        <v>9</v>
      </c>
      <c r="BR43" s="1">
        <v>4</v>
      </c>
      <c r="BS43" s="2">
        <f t="shared" si="30"/>
        <v>3.047075649054301E-5</v>
      </c>
    </row>
    <row r="44" spans="1:71" ht="15" customHeight="1" thickBot="1" x14ac:dyDescent="0.3">
      <c r="G44" s="27">
        <v>5</v>
      </c>
      <c r="H44" s="26">
        <f>J44*L39+J43*L40+J42*L41+J41*L42</f>
        <v>4.9083959964534407E-2</v>
      </c>
      <c r="I44" s="24">
        <v>5</v>
      </c>
      <c r="J44" s="23">
        <f t="shared" si="27"/>
        <v>7.3320263670269828E-3</v>
      </c>
      <c r="K44" s="25">
        <v>5</v>
      </c>
      <c r="L44" s="23"/>
      <c r="M44" s="17">
        <v>5</v>
      </c>
      <c r="N44" s="32">
        <f>(($C$24)^M30)*((1-($C$24))^($B$21-M30))*HLOOKUP($B$21,$AV$24:$BF$34,M30+1)</f>
        <v>2.161514901919839E-6</v>
      </c>
      <c r="O44" s="16">
        <v>5</v>
      </c>
      <c r="P44" s="32">
        <f t="shared" si="28"/>
        <v>2.161514901919839E-6</v>
      </c>
      <c r="Q44" s="10">
        <v>5</v>
      </c>
      <c r="R44" s="11">
        <f>P44*N39+P43*N40+P42*N41+P41*N42+P40*N43+P39*N44</f>
        <v>3.7163976350930889E-4</v>
      </c>
      <c r="S44" s="16">
        <v>5</v>
      </c>
      <c r="T44" s="15">
        <f t="shared" si="31"/>
        <v>8.2229520962248698E-2</v>
      </c>
      <c r="U44" s="24">
        <v>5</v>
      </c>
      <c r="V44" s="23">
        <f>T44*R39+T43*R40+T42*R41+T41*R42+T40*R43+T39*R44</f>
        <v>0.1679579901530904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1.8055913204137149E-3</v>
      </c>
      <c r="AJ44" s="10">
        <v>5</v>
      </c>
      <c r="AK44" s="9">
        <f>((($W$39)^M44)*((1-($W$39))^($U$31-M44))*HLOOKUP($U$31,$AV$24:$BF$34,M44+1))*V45</f>
        <v>2.8887401853754419E-3</v>
      </c>
      <c r="AL44" s="10">
        <v>5</v>
      </c>
      <c r="AM44" s="9">
        <f>((($W$39)^Q44)*((1-($W$39))^($U$32-Q44))*HLOOKUP($U$32,$AV$24:$BF$34,Q44+1))*V46</f>
        <v>1.8516803219807217E-3</v>
      </c>
      <c r="AN44" s="10">
        <v>5</v>
      </c>
      <c r="AO44" s="9">
        <f>((($W$39)^Q44)*((1-($W$39))^($U$33-Q44))*HLOOKUP($U$33,$AV$24:$BF$34,Q44+1))*V47</f>
        <v>6.3515583237790324E-4</v>
      </c>
      <c r="AP44" s="10">
        <v>5</v>
      </c>
      <c r="AQ44" s="9">
        <f>((($W$39)^Q44)*((1-($W$39))^($U$34-Q44))*HLOOKUP($U$34,$AV$24:$BF$34,Q44+1))*V48</f>
        <v>1.3171375939993862E-4</v>
      </c>
      <c r="AR44" s="10">
        <v>5</v>
      </c>
      <c r="AS44" s="9">
        <f>((($W$39)^Q44)*((1-($W$39))^($U$35-Q44))*HLOOKUP($U$35,$AV$24:$BF$34,Q44+1))*V49</f>
        <v>1.9144947479263919E-5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2"/>
        <v>210</v>
      </c>
      <c r="BI44" s="1">
        <f>BI39+1</f>
        <v>5</v>
      </c>
      <c r="BJ44" s="1">
        <v>6</v>
      </c>
      <c r="BK44" s="2">
        <f>$H$30*H45</f>
        <v>1.4283582638887904E-3</v>
      </c>
      <c r="BQ44" s="1">
        <f t="shared" si="29"/>
        <v>9</v>
      </c>
      <c r="BR44" s="1">
        <v>5</v>
      </c>
      <c r="BS44" s="2">
        <f t="shared" si="30"/>
        <v>1.3679212520759279E-5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1.6840288078148014E-2</v>
      </c>
      <c r="I45" s="24">
        <v>6</v>
      </c>
      <c r="J45" s="23">
        <f t="shared" si="27"/>
        <v>1.0299638637816862E-3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2.4609335991695489E-5</v>
      </c>
      <c r="S45" s="16">
        <v>6</v>
      </c>
      <c r="T45" s="15">
        <f t="shared" si="31"/>
        <v>1.2855002631049214E-2</v>
      </c>
      <c r="U45" s="24">
        <v>6</v>
      </c>
      <c r="V45" s="23">
        <f>T45*R39+T44*R40+T43*R41+T42*R42+T41*R43+T40*R44+T39*R45</f>
        <v>7.5132187330068767E-2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3.2623351832545769E-4</v>
      </c>
      <c r="AL45" s="10">
        <v>6</v>
      </c>
      <c r="AM45" s="9">
        <f>((($W$39)^Q45)*((1-($W$39))^($U$32-Q45))*HLOOKUP($U$32,$AV$24:$BF$34,Q45+1))*V46</f>
        <v>4.1823088785347196E-4</v>
      </c>
      <c r="AN45" s="10">
        <v>6</v>
      </c>
      <c r="AO45" s="9">
        <f>((($W$39)^Q45)*((1-($W$39))^($U$33-Q45))*HLOOKUP($U$33,$AV$24:$BF$34,Q45+1))*V47</f>
        <v>2.1518978023423132E-4</v>
      </c>
      <c r="AP45" s="10">
        <v>6</v>
      </c>
      <c r="AQ45" s="9">
        <f>((($W$39)^Q45)*((1-($W$39))^($U$34-Q45))*HLOOKUP($U$34,$AV$24:$BF$34,Q45+1))*V48</f>
        <v>5.949921472128539E-5</v>
      </c>
      <c r="AR45" s="10">
        <v>6</v>
      </c>
      <c r="AS45" s="9">
        <f>((($W$39)^Q45)*((1-($W$39))^($U$35-Q45))*HLOOKUP($U$35,$AV$24:$BF$34,Q45+1))*V49</f>
        <v>1.0810462647239824E-5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2"/>
        <v>120</v>
      </c>
      <c r="BI45" s="1">
        <f>BI40+1</f>
        <v>5</v>
      </c>
      <c r="BJ45" s="1">
        <v>7</v>
      </c>
      <c r="BK45" s="2">
        <f>$H$30*H46</f>
        <v>3.6167953472200176E-4</v>
      </c>
      <c r="BQ45" s="1">
        <f t="shared" si="29"/>
        <v>9</v>
      </c>
      <c r="BR45" s="1">
        <v>6</v>
      </c>
      <c r="BS45" s="2">
        <f t="shared" si="30"/>
        <v>4.6932211601965971E-6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4.264187571615622E-3</v>
      </c>
      <c r="I46" s="24">
        <v>7</v>
      </c>
      <c r="J46" s="23">
        <f t="shared" si="27"/>
        <v>1.0360938541499186E-4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1.117431252980991E-6</v>
      </c>
      <c r="S46" s="16">
        <v>7</v>
      </c>
      <c r="T46" s="15">
        <f t="shared" si="31"/>
        <v>0</v>
      </c>
      <c r="U46" s="24">
        <v>7</v>
      </c>
      <c r="V46" s="23">
        <f>T46*R39+T45*R40+T44*R41+T43*R42+T42*R43+T41*R44+T40*R45+T39*R46</f>
        <v>2.3083576931691697E-2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4.0484558842115427E-5</v>
      </c>
      <c r="AN46" s="10">
        <v>7</v>
      </c>
      <c r="AO46" s="9">
        <f>((($W$39)^Q46)*((1-($W$39))^($U$33-Q46))*HLOOKUP($U$33,$AV$24:$BF$34,Q46+1))*V47</f>
        <v>4.1660544800157581E-5</v>
      </c>
      <c r="AP46" s="10">
        <v>7</v>
      </c>
      <c r="AQ46" s="9">
        <f>((($W$39)^Q46)*((1-($W$39))^($U$34-Q46))*HLOOKUP($U$34,$AV$24:$BF$34,Q46+1))*V48</f>
        <v>1.7278490394192024E-5</v>
      </c>
      <c r="AR46" s="10">
        <v>7</v>
      </c>
      <c r="AS46" s="9">
        <f>((($W$39)^Q46)*((1-($W$39))^($U$35-Q46))*HLOOKUP($U$35,$AV$24:$BF$34,Q46+1))*V49</f>
        <v>4.185791378526833E-6</v>
      </c>
      <c r="AV46" s="22">
        <v>8</v>
      </c>
      <c r="BD46" s="1">
        <v>1</v>
      </c>
      <c r="BE46" s="1">
        <v>9</v>
      </c>
      <c r="BF46" s="1">
        <f t="shared" si="32"/>
        <v>45</v>
      </c>
      <c r="BI46" s="1">
        <f>BI41+1</f>
        <v>5</v>
      </c>
      <c r="BJ46" s="1">
        <v>8</v>
      </c>
      <c r="BK46" s="2">
        <f>$H$30*H47</f>
        <v>6.6650104539749436E-5</v>
      </c>
      <c r="BQ46" s="1">
        <f t="shared" si="29"/>
        <v>9</v>
      </c>
      <c r="BR46" s="1">
        <v>7</v>
      </c>
      <c r="BS46" s="2">
        <f t="shared" si="30"/>
        <v>1.1883867573573395E-6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7.8580212630425183E-4</v>
      </c>
      <c r="I47" s="24">
        <v>8</v>
      </c>
      <c r="J47" s="23">
        <f t="shared" si="27"/>
        <v>7.5191985132333821E-6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3.3297455583473279E-8</v>
      </c>
      <c r="S47" s="16">
        <v>8</v>
      </c>
      <c r="T47" s="15">
        <f t="shared" si="31"/>
        <v>0</v>
      </c>
      <c r="U47" s="24">
        <v>8</v>
      </c>
      <c r="V47" s="23">
        <f>T47*R39+T46*R40+T45*R41+T44*R42+T43*R43+T42*R44+T41*R45+T40*R46+T39*R47</f>
        <v>4.9812259550623249E-3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3.5286314881268125E-6</v>
      </c>
      <c r="AP47" s="10">
        <v>8</v>
      </c>
      <c r="AQ47" s="9">
        <f>((($W$39)^Q47)*((1-($W$39))^($U$34-Q47))*HLOOKUP($U$34,$AV$24:$BF$34,Q47+1))*V48</f>
        <v>2.9269624564300944E-6</v>
      </c>
      <c r="AR47" s="10">
        <v>8</v>
      </c>
      <c r="AS47" s="9">
        <f>((($W$39)^Q47)*((1-($W$39))^($U$35-Q47))*HLOOKUP($U$35,$AV$24:$BF$34,Q47+1))*V49</f>
        <v>1.0636045686764747E-6</v>
      </c>
      <c r="AV47" s="29">
        <v>9</v>
      </c>
      <c r="BE47" s="1">
        <v>1</v>
      </c>
      <c r="BF47" s="1">
        <f t="shared" si="32"/>
        <v>10</v>
      </c>
      <c r="BI47" s="1">
        <f>BI42+1</f>
        <v>5</v>
      </c>
      <c r="BJ47" s="1">
        <v>9</v>
      </c>
      <c r="BK47" s="2">
        <f>$H$30*H48</f>
        <v>8.9238117768521164E-6</v>
      </c>
      <c r="BQ47" s="1">
        <f>BM12+1</f>
        <v>9</v>
      </c>
      <c r="BR47" s="1">
        <v>8</v>
      </c>
      <c r="BS47" s="2">
        <f t="shared" si="30"/>
        <v>2.1899525410637572E-7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1.0521139190122686E-4</v>
      </c>
      <c r="I48" s="24">
        <v>9</v>
      </c>
      <c r="J48" s="23">
        <f t="shared" si="27"/>
        <v>3.805211673489732E-7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5.8797315937317225E-10</v>
      </c>
      <c r="S48" s="16">
        <v>9</v>
      </c>
      <c r="T48" s="15">
        <f t="shared" si="31"/>
        <v>0</v>
      </c>
      <c r="U48" s="24">
        <v>9</v>
      </c>
      <c r="V48" s="23">
        <f>T48*R39+T47*R40+T46*R41+T45*R42+T44*R43+T43*R44+T42*R45+T41*R46+T40*R47+T39*R48</f>
        <v>7.701798798322669E-4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2.2036671095168353E-7</v>
      </c>
      <c r="AR48" s="10">
        <v>9</v>
      </c>
      <c r="AS48" s="9">
        <f>((($W$39)^Q48)*((1-($W$39))^($U$35-Q48))*HLOOKUP($U$35,$AV$24:$BF$34,Q48+1))*V49</f>
        <v>1.6015445639728967E-7</v>
      </c>
      <c r="AV48" s="22">
        <v>10</v>
      </c>
      <c r="BF48" s="1">
        <f t="shared" si="32"/>
        <v>1</v>
      </c>
      <c r="BI48" s="1">
        <f>BI43+1</f>
        <v>5</v>
      </c>
      <c r="BJ48" s="1">
        <v>10</v>
      </c>
      <c r="BK48" s="2">
        <f>$H$30*H49</f>
        <v>8.7085058948205059E-7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1.0267294397118122E-5</v>
      </c>
      <c r="I49" s="14">
        <v>10</v>
      </c>
      <c r="J49" s="13">
        <f t="shared" si="27"/>
        <v>1.0852014739954554E-8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4.6721466712215312E-12</v>
      </c>
      <c r="S49" s="16">
        <v>10</v>
      </c>
      <c r="T49" s="15">
        <f t="shared" si="31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9.3901557623010667E-5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1.0852014739954554E-8</v>
      </c>
      <c r="BI49" s="1">
        <f>BQ14+1</f>
        <v>6</v>
      </c>
      <c r="BJ49" s="1">
        <v>0</v>
      </c>
      <c r="BK49" s="2">
        <f>$H$31*H39</f>
        <v>3.2484729755881138E-3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1.3129341034952762E-4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2.4194677014009967E-5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3.2394359343576063E-6</v>
      </c>
    </row>
    <row r="53" spans="1:63" x14ac:dyDescent="0.25">
      <c r="BI53" s="1">
        <f>BI48+1</f>
        <v>6</v>
      </c>
      <c r="BJ53" s="1">
        <v>10</v>
      </c>
      <c r="BK53" s="2">
        <f>$H$31*H49</f>
        <v>3.1612776732274286E-7</v>
      </c>
    </row>
    <row r="54" spans="1:63" x14ac:dyDescent="0.25">
      <c r="BI54" s="1">
        <f>BI51+1</f>
        <v>7</v>
      </c>
      <c r="BJ54" s="1">
        <v>8</v>
      </c>
      <c r="BK54" s="2">
        <f>$H$32*H47</f>
        <v>6.6289875898162485E-6</v>
      </c>
    </row>
    <row r="55" spans="1:63" x14ac:dyDescent="0.25">
      <c r="BI55" s="1">
        <f>BI52+1</f>
        <v>7</v>
      </c>
      <c r="BJ55" s="1">
        <v>9</v>
      </c>
      <c r="BK55" s="2">
        <f>$H$32*H48</f>
        <v>8.8755806057781707E-7</v>
      </c>
    </row>
    <row r="56" spans="1:63" x14ac:dyDescent="0.25">
      <c r="BI56" s="1">
        <f>BI53+1</f>
        <v>7</v>
      </c>
      <c r="BJ56" s="1">
        <v>10</v>
      </c>
      <c r="BK56" s="2">
        <f>$H$32*H49</f>
        <v>8.6614384030227655E-8</v>
      </c>
    </row>
    <row r="57" spans="1:63" x14ac:dyDescent="0.25">
      <c r="BI57" s="1">
        <f>BI55+1</f>
        <v>8</v>
      </c>
      <c r="BJ57" s="1">
        <v>9</v>
      </c>
      <c r="BK57" s="2">
        <f>$H$33*H48</f>
        <v>1.8507323062035612E-7</v>
      </c>
    </row>
    <row r="58" spans="1:63" x14ac:dyDescent="0.25">
      <c r="BI58" s="1">
        <f>BI56+1</f>
        <v>8</v>
      </c>
      <c r="BJ58" s="1">
        <v>10</v>
      </c>
      <c r="BK58" s="2">
        <f>$H$33*H49</f>
        <v>1.8060794648443144E-8</v>
      </c>
    </row>
    <row r="59" spans="1:63" x14ac:dyDescent="0.25">
      <c r="BI59" s="1">
        <f>BI58+1</f>
        <v>9</v>
      </c>
      <c r="BJ59" s="1">
        <v>10</v>
      </c>
      <c r="BK59" s="2">
        <f>$H$34*H49</f>
        <v>2.8613930533082662E-9</v>
      </c>
    </row>
  </sheetData>
  <mergeCells count="1">
    <mergeCell ref="B3:C3"/>
  </mergeCells>
  <conditionalFormatting sqref="H49">
    <cfRule type="cellIs" dxfId="110" priority="1" operator="greaterThan">
      <formula>0.15</formula>
    </cfRule>
  </conditionalFormatting>
  <conditionalFormatting sqref="H39:H49">
    <cfRule type="cellIs" dxfId="109" priority="2" operator="greaterThan">
      <formula>0.15</formula>
    </cfRule>
  </conditionalFormatting>
  <conditionalFormatting sqref="H49">
    <cfRule type="cellIs" dxfId="108" priority="3" operator="greaterThan">
      <formula>0.15</formula>
    </cfRule>
  </conditionalFormatting>
  <conditionalFormatting sqref="H39:H49">
    <cfRule type="cellIs" dxfId="107" priority="4" operator="greaterThan">
      <formula>0.15</formula>
    </cfRule>
  </conditionalFormatting>
  <conditionalFormatting sqref="H35">
    <cfRule type="cellIs" dxfId="106" priority="5" operator="greaterThan">
      <formula>0.15</formula>
    </cfRule>
  </conditionalFormatting>
  <conditionalFormatting sqref="H25:H35">
    <cfRule type="cellIs" dxfId="105" priority="6" operator="greaterThan">
      <formula>0.15</formula>
    </cfRule>
  </conditionalFormatting>
  <conditionalFormatting sqref="H35">
    <cfRule type="cellIs" dxfId="104" priority="7" operator="greaterThan">
      <formula>0.15</formula>
    </cfRule>
  </conditionalFormatting>
  <conditionalFormatting sqref="H25:H35">
    <cfRule type="cellIs" dxfId="103" priority="8" operator="greaterThan">
      <formula>0.15</formula>
    </cfRule>
  </conditionalFormatting>
  <conditionalFormatting sqref="V49">
    <cfRule type="cellIs" dxfId="102" priority="9" operator="greaterThan">
      <formula>0.15</formula>
    </cfRule>
  </conditionalFormatting>
  <conditionalFormatting sqref="V35">
    <cfRule type="cellIs" dxfId="101" priority="10" operator="greaterThan">
      <formula>0.15</formula>
    </cfRule>
  </conditionalFormatting>
  <conditionalFormatting sqref="V25:V35 V39:V49">
    <cfRule type="cellIs" dxfId="100" priority="11" operator="greaterThan">
      <formula>0.15</formula>
    </cfRule>
  </conditionalFormatting>
  <conditionalFormatting sqref="V49">
    <cfRule type="cellIs" dxfId="99" priority="12" operator="greaterThan">
      <formula>0.15</formula>
    </cfRule>
  </conditionalFormatting>
  <conditionalFormatting sqref="V35">
    <cfRule type="cellIs" dxfId="98" priority="13" operator="greaterThan">
      <formula>0.15</formula>
    </cfRule>
  </conditionalFormatting>
  <conditionalFormatting sqref="V25:V35 V39:V49">
    <cfRule type="cellIs" dxfId="97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C336-5728-412B-B3FD-31CC66E228A3}">
  <sheetPr>
    <tabColor theme="5" tint="0.59999389629810485"/>
  </sheetPr>
  <dimension ref="A1:BS59"/>
  <sheetViews>
    <sheetView zoomScale="90" zoomScaleNormal="90" workbookViewId="0">
      <selection activeCell="F11" sqref="F11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121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1</v>
      </c>
      <c r="Q1" s="4">
        <f>COUNTIF(F10:H10,"CAB")+COUNTIF(E9:I9,"CAB")</f>
        <v>2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469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1.0422920471476871</v>
      </c>
      <c r="U2" s="159">
        <f>SUM(U4:U16)</f>
        <v>0.87216477471062492</v>
      </c>
      <c r="V2" s="4"/>
      <c r="W2" s="4"/>
      <c r="X2" s="158">
        <f>SUM(X4:X16)</f>
        <v>0.57653610900659014</v>
      </c>
      <c r="Y2" s="157">
        <f>SUM(Y4:Y16)</f>
        <v>0.46785124716951876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6" t="s">
        <v>4</v>
      </c>
      <c r="C3" s="186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93</v>
      </c>
      <c r="F4" s="143" t="s">
        <v>87</v>
      </c>
      <c r="G4" s="143" t="s">
        <v>87</v>
      </c>
      <c r="H4" s="143" t="s">
        <v>87</v>
      </c>
      <c r="I4" s="143" t="s">
        <v>93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2</v>
      </c>
      <c r="Q4" s="126">
        <f>COUNTIF(E8:I9,"IMP")</f>
        <v>1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0.15540084989057323</v>
      </c>
      <c r="U4" s="124">
        <f t="shared" ref="U4:U9" si="4">IF(S4=0,0,S4*Q4^2.7/(P4^2.7+Q4^2.7)*Q4/L4)</f>
        <v>1.1957555510739447E-2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8.8578484437626739E-2</v>
      </c>
      <c r="Y4" s="121">
        <f t="shared" si="5"/>
        <v>6.8158066411214847E-3</v>
      </c>
      <c r="Z4" s="146"/>
      <c r="AA4" s="120">
        <f t="shared" ref="AA4:AA16" si="6">X4</f>
        <v>8.8578484437626739E-2</v>
      </c>
      <c r="AB4" s="119">
        <f t="shared" ref="AB4:AB16" si="7">1-AA4</f>
        <v>0.91142151556237327</v>
      </c>
      <c r="AC4" s="119">
        <f>PRODUCT(AB5:AB16)*AA4</f>
        <v>5.2426788850458657E-2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6.8158066411214847E-3</v>
      </c>
      <c r="AH4" s="117">
        <f t="shared" ref="AH4:AH16" si="9">(1-AG4)</f>
        <v>0.99318419335887853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4.3537283115307277E-3</v>
      </c>
      <c r="BM4" s="1">
        <v>0</v>
      </c>
      <c r="BN4" s="1">
        <v>0</v>
      </c>
      <c r="BO4" s="2">
        <f>H25*H39</f>
        <v>1.6666182514711936E-3</v>
      </c>
      <c r="BQ4" s="1">
        <v>1</v>
      </c>
      <c r="BR4" s="1">
        <v>0</v>
      </c>
      <c r="BS4" s="2">
        <f>$H$26*H39</f>
        <v>7.7962364985312395E-3</v>
      </c>
    </row>
    <row r="5" spans="1:71" ht="15.75" x14ac:dyDescent="0.25">
      <c r="A5" s="65" t="s">
        <v>97</v>
      </c>
      <c r="B5" s="145">
        <v>352</v>
      </c>
      <c r="C5" s="145">
        <v>352</v>
      </c>
      <c r="D5" s="1" t="s">
        <v>473</v>
      </c>
      <c r="E5" s="143" t="s">
        <v>3</v>
      </c>
      <c r="F5" s="143" t="s">
        <v>94</v>
      </c>
      <c r="G5" s="143" t="s">
        <v>3</v>
      </c>
      <c r="H5" s="143" t="s">
        <v>93</v>
      </c>
      <c r="I5" s="143" t="s">
        <v>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1</v>
      </c>
      <c r="Q5" s="126">
        <f>COUNTIF(E10:I11,"IMP")</f>
        <v>4</v>
      </c>
      <c r="R5" s="96">
        <f t="shared" si="1"/>
        <v>0.35</v>
      </c>
      <c r="S5" s="96">
        <f t="shared" si="2"/>
        <v>0.41840390879478823</v>
      </c>
      <c r="T5" s="125">
        <f t="shared" si="3"/>
        <v>1.2099801568398404E-3</v>
      </c>
      <c r="U5" s="124">
        <f t="shared" si="4"/>
        <v>0.20436203377003476</v>
      </c>
      <c r="V5" s="123">
        <f>$G$17</f>
        <v>0.56999999999999995</v>
      </c>
      <c r="W5" s="117">
        <f>$H$17</f>
        <v>0.56999999999999995</v>
      </c>
      <c r="X5" s="122">
        <f t="shared" si="5"/>
        <v>6.8968868939870895E-4</v>
      </c>
      <c r="Y5" s="121">
        <f t="shared" si="5"/>
        <v>0.1164863592489198</v>
      </c>
      <c r="Z5" s="102"/>
      <c r="AA5" s="120">
        <f t="shared" si="6"/>
        <v>6.8968868939870895E-4</v>
      </c>
      <c r="AB5" s="119">
        <f t="shared" si="7"/>
        <v>0.99931031131060133</v>
      </c>
      <c r="AC5" s="119">
        <f>PRODUCT(AB6:AB16)*AA5*PRODUCT(AB4)</f>
        <v>3.7230341882986818E-4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2.1027348610276172E-4</v>
      </c>
      <c r="AF5" s="100"/>
      <c r="AG5" s="118">
        <f t="shared" si="8"/>
        <v>0.1164863592489198</v>
      </c>
      <c r="AH5" s="117">
        <f t="shared" si="9"/>
        <v>0.88351364075108019</v>
      </c>
      <c r="AI5" s="117">
        <f>AG5*PRODUCT(AH3:AH4)*PRODUCT(AH6:AH17)</f>
        <v>8.0883398419910685E-2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1.9695630631474413E-2</v>
      </c>
      <c r="AL5" s="98"/>
      <c r="AN5" s="97"/>
      <c r="AO5" s="96"/>
      <c r="BI5" s="1">
        <v>0</v>
      </c>
      <c r="BJ5" s="1">
        <v>2</v>
      </c>
      <c r="BK5" s="2">
        <f t="shared" si="10"/>
        <v>5.2335553255025919E-3</v>
      </c>
      <c r="BM5" s="1">
        <v>1</v>
      </c>
      <c r="BN5" s="1">
        <v>1</v>
      </c>
      <c r="BO5" s="2">
        <f>$H$26*H40</f>
        <v>2.0366208960619511E-2</v>
      </c>
      <c r="BQ5" s="1">
        <f>BQ4+1</f>
        <v>2</v>
      </c>
      <c r="BR5" s="1">
        <v>0</v>
      </c>
      <c r="BS5" s="2">
        <f>$H$27*H39</f>
        <v>1.6718249109545794E-2</v>
      </c>
    </row>
    <row r="6" spans="1:71" ht="15.75" x14ac:dyDescent="0.25">
      <c r="A6" s="144" t="s">
        <v>95</v>
      </c>
      <c r="B6" s="135">
        <v>12.75</v>
      </c>
      <c r="C6" s="134">
        <v>11</v>
      </c>
      <c r="D6" s="1" t="s">
        <v>474</v>
      </c>
      <c r="E6" s="142"/>
      <c r="F6" s="143" t="s">
        <v>87</v>
      </c>
      <c r="G6" s="143" t="s">
        <v>87</v>
      </c>
      <c r="H6" s="143" t="s">
        <v>3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3</v>
      </c>
      <c r="Q6" s="126">
        <f>COUNTIF(E9:I11,"IMP")</f>
        <v>5</v>
      </c>
      <c r="R6" s="96">
        <f t="shared" si="1"/>
        <v>0.45</v>
      </c>
      <c r="S6" s="96">
        <f t="shared" si="2"/>
        <v>0.53794788273615635</v>
      </c>
      <c r="T6" s="125">
        <f t="shared" si="3"/>
        <v>2.4968994735339551E-2</v>
      </c>
      <c r="U6" s="124">
        <f t="shared" si="4"/>
        <v>0.16528804059603266</v>
      </c>
      <c r="V6" s="123">
        <f>$G$18</f>
        <v>0.45</v>
      </c>
      <c r="W6" s="117">
        <f>$H$18</f>
        <v>0.45</v>
      </c>
      <c r="X6" s="122">
        <f t="shared" si="5"/>
        <v>1.1236047630902798E-2</v>
      </c>
      <c r="Y6" s="121">
        <f t="shared" si="5"/>
        <v>7.4379618268214695E-2</v>
      </c>
      <c r="Z6" s="102"/>
      <c r="AA6" s="120">
        <f t="shared" si="6"/>
        <v>1.1236047630902798E-2</v>
      </c>
      <c r="AB6" s="119">
        <f t="shared" si="7"/>
        <v>0.9887639523690972</v>
      </c>
      <c r="AC6" s="119">
        <f>PRODUCT(AB7:AB16)*AA6*PRODUCT(AB4:AB5)</f>
        <v>6.1300672066341641E-3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3.3925441442764605E-3</v>
      </c>
      <c r="AF6" s="100"/>
      <c r="AG6" s="118">
        <f t="shared" si="8"/>
        <v>7.4379618268214695E-2</v>
      </c>
      <c r="AH6" s="117">
        <f t="shared" si="9"/>
        <v>0.92562038173178529</v>
      </c>
      <c r="AI6" s="117">
        <f>AG6*PRODUCT(AH3:AH5)*PRODUCT(AH7:AH17)</f>
        <v>4.9296786947735378E-2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8.0427689736937615E-3</v>
      </c>
      <c r="AL6" s="98"/>
      <c r="AN6" s="97"/>
      <c r="AO6" s="96"/>
      <c r="BI6" s="1">
        <v>0</v>
      </c>
      <c r="BJ6" s="1">
        <v>3</v>
      </c>
      <c r="BK6" s="2">
        <f t="shared" si="10"/>
        <v>3.9103408799069338E-3</v>
      </c>
      <c r="BM6" s="1">
        <f>BI14+1</f>
        <v>2</v>
      </c>
      <c r="BN6" s="1">
        <v>2</v>
      </c>
      <c r="BO6" s="2">
        <f>$H$27*H41</f>
        <v>5.2499054047383725E-2</v>
      </c>
      <c r="BQ6" s="1">
        <f>BM5+1</f>
        <v>2</v>
      </c>
      <c r="BR6" s="1">
        <v>1</v>
      </c>
      <c r="BS6" s="2">
        <f>$H$27*H40</f>
        <v>4.3673297351208666E-2</v>
      </c>
    </row>
    <row r="7" spans="1:71" ht="15.75" x14ac:dyDescent="0.25">
      <c r="A7" s="141" t="s">
        <v>92</v>
      </c>
      <c r="B7" s="135">
        <v>15.25</v>
      </c>
      <c r="C7" s="134">
        <v>15.25</v>
      </c>
      <c r="D7" s="1" t="s">
        <v>474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3</v>
      </c>
      <c r="R7" s="96">
        <f t="shared" si="1"/>
        <v>0.04</v>
      </c>
      <c r="S7" s="96">
        <f t="shared" si="2"/>
        <v>4.7817589576547234E-2</v>
      </c>
      <c r="T7" s="125">
        <f t="shared" si="3"/>
        <v>2.997251822684593E-3</v>
      </c>
      <c r="U7" s="124">
        <f t="shared" si="4"/>
        <v>1.3435718357178324E-2</v>
      </c>
      <c r="V7" s="123">
        <f>$G$18</f>
        <v>0.45</v>
      </c>
      <c r="W7" s="117">
        <f>$H$18</f>
        <v>0.45</v>
      </c>
      <c r="X7" s="122">
        <f t="shared" si="5"/>
        <v>1.3487633202080669E-3</v>
      </c>
      <c r="Y7" s="121">
        <f t="shared" si="5"/>
        <v>6.0460732607302463E-3</v>
      </c>
      <c r="Z7" s="102"/>
      <c r="AA7" s="120">
        <f t="shared" si="6"/>
        <v>1.3487633202080669E-3</v>
      </c>
      <c r="AB7" s="119">
        <f t="shared" si="7"/>
        <v>0.99865123667979194</v>
      </c>
      <c r="AC7" s="119">
        <f>PRODUCT(AB8:AB$16)*AA7*PRODUCT(AB$4:AB6)</f>
        <v>7.2856145650378027E-4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4.0222153053840089E-4</v>
      </c>
      <c r="AF7" s="100"/>
      <c r="AG7" s="118">
        <f t="shared" si="8"/>
        <v>6.0460732607302463E-3</v>
      </c>
      <c r="AH7" s="117">
        <f t="shared" si="9"/>
        <v>0.99395392673926974</v>
      </c>
      <c r="AI7" s="117">
        <f>AG7*PRODUCT(AH3:AH6)*PRODUCT(AH8:AH17)</f>
        <v>3.7316828722836078E-3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5.8612465360432012E-4</v>
      </c>
      <c r="AL7" s="98"/>
      <c r="AN7" s="97"/>
      <c r="AO7" s="96"/>
      <c r="BI7" s="1">
        <v>0</v>
      </c>
      <c r="BJ7" s="1">
        <v>4</v>
      </c>
      <c r="BK7" s="2">
        <f t="shared" si="10"/>
        <v>2.0712872277115824E-3</v>
      </c>
      <c r="BM7" s="1">
        <f>BI23+1</f>
        <v>3</v>
      </c>
      <c r="BN7" s="1">
        <v>3</v>
      </c>
      <c r="BO7" s="2">
        <f>$H$28*H42</f>
        <v>5.1294560814870674E-2</v>
      </c>
      <c r="BQ7" s="1">
        <f>BQ5+1</f>
        <v>3</v>
      </c>
      <c r="BR7" s="1">
        <v>0</v>
      </c>
      <c r="BS7" s="2">
        <f>$H$28*H39</f>
        <v>2.1862148053265678E-2</v>
      </c>
    </row>
    <row r="8" spans="1:71" ht="15.75" x14ac:dyDescent="0.25">
      <c r="A8" s="141" t="s">
        <v>90</v>
      </c>
      <c r="B8" s="135">
        <v>14.25</v>
      </c>
      <c r="C8" s="134">
        <v>15.25</v>
      </c>
      <c r="D8" s="1" t="s">
        <v>474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4</v>
      </c>
      <c r="Q8" s="126">
        <f>COUNTIF(E10:I11,"RAP")</f>
        <v>0</v>
      </c>
      <c r="R8" s="96">
        <f t="shared" si="1"/>
        <v>0.5</v>
      </c>
      <c r="S8" s="96">
        <f t="shared" si="2"/>
        <v>0.59771986970684043</v>
      </c>
      <c r="T8" s="125">
        <f t="shared" si="3"/>
        <v>0.29885993485342022</v>
      </c>
      <c r="U8" s="124">
        <f t="shared" si="4"/>
        <v>0</v>
      </c>
      <c r="V8" s="123">
        <f>$G$17</f>
        <v>0.56999999999999995</v>
      </c>
      <c r="W8" s="117">
        <f>$H$17</f>
        <v>0.56999999999999995</v>
      </c>
      <c r="X8" s="122">
        <f t="shared" si="5"/>
        <v>0.17035016286644952</v>
      </c>
      <c r="Y8" s="121">
        <f t="shared" si="5"/>
        <v>0</v>
      </c>
      <c r="Z8" s="102"/>
      <c r="AA8" s="120">
        <f t="shared" si="6"/>
        <v>0.17035016286644952</v>
      </c>
      <c r="AB8" s="119">
        <f t="shared" si="7"/>
        <v>0.82964983713355045</v>
      </c>
      <c r="AC8" s="119">
        <f>PRODUCT(AB9:AB$16)*AA8*PRODUCT(AB$4:AB7)</f>
        <v>0.11076231139225359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3.840666969385343E-2</v>
      </c>
      <c r="AF8" s="100"/>
      <c r="AG8" s="118">
        <f t="shared" si="8"/>
        <v>0</v>
      </c>
      <c r="AH8" s="117">
        <f t="shared" si="9"/>
        <v>1</v>
      </c>
      <c r="AI8" s="117">
        <f>AG8*PRODUCT(AH3:AH7)*PRODUCT(AH9:AH17)</f>
        <v>0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L8" s="98"/>
      <c r="AN8" s="97"/>
      <c r="AO8" s="96"/>
      <c r="BI8" s="1">
        <v>0</v>
      </c>
      <c r="BJ8" s="1">
        <v>5</v>
      </c>
      <c r="BK8" s="2">
        <f t="shared" si="10"/>
        <v>8.3675415085480856E-4</v>
      </c>
      <c r="BM8" s="1">
        <f>BI31+1</f>
        <v>4</v>
      </c>
      <c r="BN8" s="1">
        <v>4</v>
      </c>
      <c r="BO8" s="2">
        <f>$H$29*H43</f>
        <v>2.435297992426827E-2</v>
      </c>
      <c r="BQ8" s="1">
        <f>BQ6+1</f>
        <v>3</v>
      </c>
      <c r="BR8" s="1">
        <v>1</v>
      </c>
      <c r="BS8" s="2">
        <f>$H$28*H40</f>
        <v>5.7110770775705935E-2</v>
      </c>
    </row>
    <row r="9" spans="1:71" ht="15.75" x14ac:dyDescent="0.25">
      <c r="A9" s="141" t="s">
        <v>88</v>
      </c>
      <c r="B9" s="135">
        <v>14.75</v>
      </c>
      <c r="C9" s="134">
        <v>16</v>
      </c>
      <c r="D9" s="1" t="s">
        <v>472</v>
      </c>
      <c r="E9" s="140" t="s">
        <v>3</v>
      </c>
      <c r="F9" s="140" t="s">
        <v>87</v>
      </c>
      <c r="G9" s="140" t="s">
        <v>93</v>
      </c>
      <c r="H9" s="140" t="s">
        <v>87</v>
      </c>
      <c r="I9" s="140" t="s">
        <v>94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4</v>
      </c>
      <c r="Q9" s="126">
        <f>COUNTIF(E10:I11,"RAP")</f>
        <v>0</v>
      </c>
      <c r="R9" s="96">
        <f t="shared" si="1"/>
        <v>0.5</v>
      </c>
      <c r="S9" s="96">
        <f t="shared" si="2"/>
        <v>0.59771986970684043</v>
      </c>
      <c r="T9" s="125">
        <f t="shared" si="3"/>
        <v>0.29885993485342022</v>
      </c>
      <c r="U9" s="124">
        <f t="shared" si="4"/>
        <v>0</v>
      </c>
      <c r="V9" s="123">
        <f>$G$17</f>
        <v>0.56999999999999995</v>
      </c>
      <c r="W9" s="117">
        <f>$H$17</f>
        <v>0.56999999999999995</v>
      </c>
      <c r="X9" s="122">
        <f t="shared" si="5"/>
        <v>0.17035016286644952</v>
      </c>
      <c r="Y9" s="121">
        <f t="shared" si="5"/>
        <v>0</v>
      </c>
      <c r="Z9" s="102"/>
      <c r="AA9" s="120">
        <f t="shared" si="6"/>
        <v>0.17035016286644952</v>
      </c>
      <c r="AB9" s="119">
        <f t="shared" si="7"/>
        <v>0.82964983713355045</v>
      </c>
      <c r="AC9" s="119">
        <f>PRODUCT(AB10:AB$16)*AA9*PRODUCT(AB$4:AB8)</f>
        <v>0.11076231139225357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1.5664089703329654E-2</v>
      </c>
      <c r="AF9" s="100"/>
      <c r="AG9" s="118">
        <f t="shared" si="8"/>
        <v>0</v>
      </c>
      <c r="AH9" s="117">
        <f t="shared" si="9"/>
        <v>1</v>
      </c>
      <c r="AI9" s="117">
        <f>AG9*PRODUCT(AH3:AH8)*PRODUCT(AH10:AH17)</f>
        <v>0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L9" s="98"/>
      <c r="AN9" s="97"/>
      <c r="AO9" s="96"/>
      <c r="BI9" s="1">
        <v>0</v>
      </c>
      <c r="BJ9" s="1">
        <v>6</v>
      </c>
      <c r="BK9" s="2">
        <f t="shared" si="10"/>
        <v>2.6718311386792263E-4</v>
      </c>
      <c r="BM9" s="1">
        <f>BI38+1</f>
        <v>5</v>
      </c>
      <c r="BN9" s="1">
        <v>5</v>
      </c>
      <c r="BO9" s="2">
        <f>$H$30*H44</f>
        <v>6.451645143405081E-3</v>
      </c>
      <c r="BQ9" s="1">
        <f>BM6+1</f>
        <v>3</v>
      </c>
      <c r="BR9" s="1">
        <v>2</v>
      </c>
      <c r="BS9" s="2">
        <f>$H$28*H41</f>
        <v>6.8652051104141118E-2</v>
      </c>
    </row>
    <row r="10" spans="1:71" ht="15.75" x14ac:dyDescent="0.25">
      <c r="A10" s="138" t="s">
        <v>85</v>
      </c>
      <c r="B10" s="135">
        <v>16.75</v>
      </c>
      <c r="C10" s="134">
        <v>14.5</v>
      </c>
      <c r="D10" s="1" t="s">
        <v>474</v>
      </c>
      <c r="E10" s="140" t="s">
        <v>93</v>
      </c>
      <c r="F10" s="140" t="s">
        <v>93</v>
      </c>
      <c r="G10" s="140" t="s">
        <v>131</v>
      </c>
      <c r="H10" s="140" t="s">
        <v>94</v>
      </c>
      <c r="I10" s="140" t="s">
        <v>93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0.12193485342019544</v>
      </c>
      <c r="U10" s="124">
        <f>S10*G14</f>
        <v>0.1051986970684039</v>
      </c>
      <c r="V10" s="123">
        <f>$G$18</f>
        <v>0.45</v>
      </c>
      <c r="W10" s="117">
        <f>$H$18</f>
        <v>0.45</v>
      </c>
      <c r="X10" s="122">
        <f t="shared" si="5"/>
        <v>5.4870684039087951E-2</v>
      </c>
      <c r="Y10" s="121">
        <f t="shared" si="5"/>
        <v>4.7339413680781754E-2</v>
      </c>
      <c r="Z10" s="102"/>
      <c r="AA10" s="120">
        <f t="shared" si="6"/>
        <v>5.4870684039087951E-2</v>
      </c>
      <c r="AB10" s="119">
        <f t="shared" si="7"/>
        <v>0.9451293159609121</v>
      </c>
      <c r="AC10" s="119">
        <f>PRODUCT(AB11:AB$16)*AA10*PRODUCT(AB$4:AB9)</f>
        <v>3.1317957413098861E-2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2.6108053485527751E-3</v>
      </c>
      <c r="AF10" s="100"/>
      <c r="AG10" s="118">
        <f t="shared" si="8"/>
        <v>4.7339413680781754E-2</v>
      </c>
      <c r="AH10" s="117">
        <f t="shared" si="9"/>
        <v>0.95266058631921824</v>
      </c>
      <c r="AI10" s="117">
        <f>AG10*PRODUCT(AH3:AH9)*PRODUCT(AH11:AH17)</f>
        <v>3.0484723100681396E-2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3.2733068506956694E-3</v>
      </c>
      <c r="AL10" s="98"/>
      <c r="AN10" s="97"/>
      <c r="AO10" s="96"/>
      <c r="BI10" s="1">
        <v>0</v>
      </c>
      <c r="BJ10" s="1">
        <v>7</v>
      </c>
      <c r="BK10" s="2">
        <f t="shared" si="10"/>
        <v>6.7803236494870251E-5</v>
      </c>
      <c r="BM10" s="1">
        <f>BI44+1</f>
        <v>6</v>
      </c>
      <c r="BN10" s="1">
        <v>6</v>
      </c>
      <c r="BO10" s="2">
        <f>$H$31*H45</f>
        <v>1.0311652837261532E-3</v>
      </c>
      <c r="BQ10" s="1">
        <f>BQ7+1</f>
        <v>4</v>
      </c>
      <c r="BR10" s="1">
        <v>0</v>
      </c>
      <c r="BS10" s="2">
        <f>$H$29*H39</f>
        <v>1.9595119535564792E-2</v>
      </c>
    </row>
    <row r="11" spans="1:71" ht="15.75" x14ac:dyDescent="0.25">
      <c r="A11" s="138" t="s">
        <v>82</v>
      </c>
      <c r="B11" s="135">
        <v>14.5</v>
      </c>
      <c r="C11" s="134">
        <v>11.75</v>
      </c>
      <c r="D11" s="1" t="s">
        <v>474</v>
      </c>
      <c r="E11" s="139"/>
      <c r="F11" s="140" t="s">
        <v>93</v>
      </c>
      <c r="G11" s="140" t="s">
        <v>87</v>
      </c>
      <c r="H11" s="140" t="s">
        <v>131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1</v>
      </c>
      <c r="Q11" s="126">
        <f>COUNTIF(E9:I11,"CAB")</f>
        <v>2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1.5100731361235402E-2</v>
      </c>
      <c r="U11" s="124">
        <f>IF(Q11&gt;0,IF(P11&gt;0,G14^2.7/(G14^2.7+G13^2.7),1),0)*Q11/L11*S11</f>
        <v>2.0272659608329056E-2</v>
      </c>
      <c r="V11" s="123">
        <f>IF(P11-Q11&gt;3,0.9,IF(P11-Q11=3,0.83,IF(P11-Q11=2,0.75,IF(P11-Q11=1,0.65,IF(P11-Q11=0,0.44,IF(P11-Q11=-1,0.16,IF(P11-Q11&lt;-1,0.05,0.02)))))))</f>
        <v>0.16</v>
      </c>
      <c r="W11" s="117">
        <f>IF(Q11-P11&gt;3,0.9,IF(Q11-P11=3,0.83,IF(Q11-P11=2,0.75,IF(Q11-P11=1,0.65,IF(Q11-P11=0,0.44,IF(Q11-P11=-1,0.16,IF(Q11-P11&lt;-1,0.05,0.02)))))))</f>
        <v>0.65</v>
      </c>
      <c r="X11" s="122">
        <f t="shared" si="5"/>
        <v>2.4161170177976646E-3</v>
      </c>
      <c r="Y11" s="121">
        <f t="shared" si="5"/>
        <v>1.3177228745413886E-2</v>
      </c>
      <c r="Z11" s="102"/>
      <c r="AA11" s="120">
        <f t="shared" si="6"/>
        <v>2.4161170177976646E-3</v>
      </c>
      <c r="AB11" s="119">
        <f t="shared" si="7"/>
        <v>0.99758388298220235</v>
      </c>
      <c r="AC11" s="119">
        <f>PRODUCT(AB12:AB$16)*AA11*PRODUCT(AB$4:AB10)</f>
        <v>1.3065102745933521E-3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1.0575222732518713E-4</v>
      </c>
      <c r="AF11" s="100"/>
      <c r="AG11" s="118">
        <f t="shared" si="8"/>
        <v>1.3177228745413886E-2</v>
      </c>
      <c r="AH11" s="117">
        <f t="shared" si="9"/>
        <v>0.98682277125458606</v>
      </c>
      <c r="AI11" s="117">
        <f>AG11*PRODUCT(AH3:AH10)*PRODUCT(AH12:AH17)</f>
        <v>8.191859599536359E-3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7.7021610217753661E-4</v>
      </c>
      <c r="AL11" s="98"/>
      <c r="AN11" s="97"/>
      <c r="AO11" s="96"/>
      <c r="BI11" s="1">
        <v>0</v>
      </c>
      <c r="BJ11" s="1">
        <v>8</v>
      </c>
      <c r="BK11" s="2">
        <f t="shared" si="10"/>
        <v>1.3455261102353803E-5</v>
      </c>
      <c r="BM11" s="1">
        <f>BI50+1</f>
        <v>7</v>
      </c>
      <c r="BN11" s="1">
        <v>7</v>
      </c>
      <c r="BO11" s="2">
        <f>$H$32*H46</f>
        <v>1.0272506108456499E-4</v>
      </c>
      <c r="BQ11" s="1">
        <f>BQ8+1</f>
        <v>4</v>
      </c>
      <c r="BR11" s="1">
        <v>1</v>
      </c>
      <c r="BS11" s="2">
        <f>$H$29*H40</f>
        <v>5.1188582997041439E-2</v>
      </c>
    </row>
    <row r="12" spans="1:71" ht="15.75" x14ac:dyDescent="0.25">
      <c r="A12" s="138" t="s">
        <v>80</v>
      </c>
      <c r="B12" s="135">
        <v>16.5</v>
      </c>
      <c r="C12" s="134">
        <v>18</v>
      </c>
      <c r="D12" s="1" t="s">
        <v>475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0</v>
      </c>
      <c r="Q12" s="126">
        <f>COUNTIF(F11:H11,"IMP")+COUNTIF(E10,"IMP")+COUNTIF(I10,"IMP")</f>
        <v>3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0</v>
      </c>
      <c r="U12" s="124">
        <f>IF(S12=0,0,S12*Q12^2.7/(P12^2.7+Q12^2.7)*Q12/L12)</f>
        <v>2.8690553745928337E-2</v>
      </c>
      <c r="V12" s="123">
        <f>$G$18</f>
        <v>0.45</v>
      </c>
      <c r="W12" s="117">
        <f>$H$18</f>
        <v>0.45</v>
      </c>
      <c r="X12" s="122">
        <f t="shared" si="5"/>
        <v>0</v>
      </c>
      <c r="Y12" s="121">
        <f t="shared" si="5"/>
        <v>1.2910749185667751E-2</v>
      </c>
      <c r="Z12" s="102"/>
      <c r="AA12" s="120">
        <f t="shared" si="6"/>
        <v>0</v>
      </c>
      <c r="AB12" s="119">
        <f t="shared" si="7"/>
        <v>1</v>
      </c>
      <c r="AC12" s="119">
        <f>PRODUCT(AB13:AB$16)*AA12*PRODUCT(AB$4:AB11)</f>
        <v>0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F12" s="100"/>
      <c r="AG12" s="118">
        <f t="shared" si="8"/>
        <v>1.2910749185667751E-2</v>
      </c>
      <c r="AH12" s="117">
        <f t="shared" si="9"/>
        <v>0.9870892508143323</v>
      </c>
      <c r="AI12" s="117">
        <f>AG12*PRODUCT(AH3:AH11)*PRODUCT(AH13:AH17)</f>
        <v>8.024031029223817E-3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6.4948525087638075E-4</v>
      </c>
      <c r="AL12" s="98"/>
      <c r="AN12" s="97"/>
      <c r="AO12" s="96"/>
      <c r="BI12" s="1">
        <v>0</v>
      </c>
      <c r="BJ12" s="1">
        <v>9</v>
      </c>
      <c r="BK12" s="2">
        <f t="shared" si="10"/>
        <v>2.0273154052824858E-6</v>
      </c>
      <c r="BM12" s="1">
        <f>BI54+1</f>
        <v>8</v>
      </c>
      <c r="BN12" s="1">
        <v>8</v>
      </c>
      <c r="BO12" s="2">
        <f>$H$33*H47</f>
        <v>6.3442804586728292E-6</v>
      </c>
      <c r="BQ12" s="1">
        <f>BQ9+1</f>
        <v>4</v>
      </c>
      <c r="BR12" s="1">
        <v>2</v>
      </c>
      <c r="BS12" s="2">
        <f>$H$29*H41</f>
        <v>6.1533072800977619E-2</v>
      </c>
    </row>
    <row r="13" spans="1:71" ht="15.75" x14ac:dyDescent="0.25">
      <c r="A13" s="136" t="s">
        <v>78</v>
      </c>
      <c r="B13" s="135">
        <v>14.5</v>
      </c>
      <c r="C13" s="134">
        <v>12.75</v>
      </c>
      <c r="D13" s="1" t="s">
        <v>474</v>
      </c>
      <c r="E13" s="4"/>
      <c r="F13" s="4" t="s">
        <v>77</v>
      </c>
      <c r="G13" s="137">
        <f>B22</f>
        <v>0.5368421052631579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1</v>
      </c>
      <c r="Q13" s="126">
        <f>COUNTIF(E10:I11,"CAB")</f>
        <v>1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1.5369939506747324E-2</v>
      </c>
      <c r="U13" s="124">
        <f>IF(P13+Q13=0,0,S13*Q14/4*Q13/L13)</f>
        <v>1.5369939506747324E-2</v>
      </c>
      <c r="V13" s="123">
        <v>1</v>
      </c>
      <c r="W13" s="117">
        <v>1</v>
      </c>
      <c r="X13" s="122">
        <f t="shared" si="5"/>
        <v>1.5369939506747324E-2</v>
      </c>
      <c r="Y13" s="121">
        <f t="shared" si="5"/>
        <v>1.5369939506747324E-2</v>
      </c>
      <c r="Z13" s="102"/>
      <c r="AA13" s="120">
        <f t="shared" si="6"/>
        <v>1.5369939506747324E-2</v>
      </c>
      <c r="AB13" s="119">
        <f t="shared" si="7"/>
        <v>0.98463006049325263</v>
      </c>
      <c r="AC13" s="119">
        <f>PRODUCT(AB14:AB$16)*AA13*PRODUCT(AB$4:AB12)</f>
        <v>8.420606187298587E-3</v>
      </c>
      <c r="AD13" s="119">
        <f>AA13*AA14*PRODUCT(AB3:AB12)*PRODUCT(AB15:AB17)+AA13*AA15*PRODUCT(AB3:AB12)*AB14*PRODUCT(AB16:AB17)+AA13*AA16*PRODUCT(AB3:AB12)*AB14*AB15*AB17+AA13*AA17*PRODUCT(AB3:AB12)*AB14*AB15*AB16</f>
        <v>5.5014053975543573E-4</v>
      </c>
      <c r="AF13" s="100"/>
      <c r="AG13" s="118">
        <f t="shared" si="8"/>
        <v>1.5369939506747324E-2</v>
      </c>
      <c r="AH13" s="117">
        <f t="shared" si="9"/>
        <v>0.98463006049325263</v>
      </c>
      <c r="AI13" s="117">
        <f>AG13*PRODUCT(AH3:AH12)*PRODUCT(AH14:AH17)</f>
        <v>9.5762758001621054E-3</v>
      </c>
      <c r="AJ13" s="117">
        <f>AG13*AG14*PRODUCT(AH3:AH12)*PRODUCT(AH15:AH17)+AG13*AG15*PRODUCT(AH3:AH12)*AH14*PRODUCT(AH16:AH17)+AG13*AG16*PRODUCT(AH3:AH12)*AH14*AH15*AH17+AG13*AG17*PRODUCT(AH3:AH12)*AH14*AH15*AH16</f>
        <v>6.2564350123565384E-4</v>
      </c>
      <c r="AL13" s="98"/>
      <c r="AN13" s="97"/>
      <c r="AO13" s="96"/>
      <c r="BI13" s="1">
        <v>0</v>
      </c>
      <c r="BJ13" s="1">
        <v>10</v>
      </c>
      <c r="BK13" s="2">
        <f t="shared" si="10"/>
        <v>2.2267469435302356E-7</v>
      </c>
      <c r="BM13" s="1">
        <f>BI57+1</f>
        <v>9</v>
      </c>
      <c r="BN13" s="1">
        <v>9</v>
      </c>
      <c r="BO13" s="2">
        <f>$H$34*H48</f>
        <v>2.3348722475951512E-7</v>
      </c>
      <c r="BQ13" s="1">
        <f>BM7+1</f>
        <v>4</v>
      </c>
      <c r="BR13" s="1">
        <v>3</v>
      </c>
      <c r="BS13" s="2">
        <f>$H$29*H42</f>
        <v>4.5975493727458648E-2</v>
      </c>
    </row>
    <row r="14" spans="1:71" ht="15.75" x14ac:dyDescent="0.25">
      <c r="A14" s="136" t="s">
        <v>75</v>
      </c>
      <c r="B14" s="135">
        <v>12</v>
      </c>
      <c r="C14" s="134">
        <v>9.5</v>
      </c>
      <c r="D14" s="1" t="s">
        <v>474</v>
      </c>
      <c r="E14" s="4"/>
      <c r="F14" s="4" t="s">
        <v>74</v>
      </c>
      <c r="G14" s="133">
        <f>C22</f>
        <v>0.4631578947368421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5"/>
        <v>6.1326058631921816E-2</v>
      </c>
      <c r="Z14" s="102"/>
      <c r="AA14" s="120">
        <f t="shared" si="6"/>
        <v>6.1326058631921816E-2</v>
      </c>
      <c r="AB14" s="119">
        <f t="shared" si="7"/>
        <v>0.93867394136807814</v>
      </c>
      <c r="AC14" s="119">
        <f>PRODUCT(AB15:AB$16)*AA14*PRODUCT(AB$4:AB13)</f>
        <v>3.5243138901190116E-2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6.1326058631921816E-2</v>
      </c>
      <c r="AH14" s="117">
        <f t="shared" si="9"/>
        <v>0.93867394136807814</v>
      </c>
      <c r="AI14" s="117">
        <f>AG14*PRODUCT(AH3:AH13)*PRODUCT(AH15:AH17)</f>
        <v>4.0080014511341397E-2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2.4481932205979492E-2</v>
      </c>
      <c r="BM14" s="1">
        <f>BQ39+1</f>
        <v>10</v>
      </c>
      <c r="BN14" s="1">
        <v>10</v>
      </c>
      <c r="BO14" s="2">
        <f>$H$35*H49</f>
        <v>4.7460273088302312E-9</v>
      </c>
      <c r="BQ14" s="1">
        <f>BQ10+1</f>
        <v>5</v>
      </c>
      <c r="BR14" s="1">
        <v>0</v>
      </c>
      <c r="BS14" s="2">
        <f>$H$30*H39</f>
        <v>1.2850165770949523E-2</v>
      </c>
    </row>
    <row r="15" spans="1:71" ht="15.75" x14ac:dyDescent="0.25">
      <c r="A15" s="70" t="s">
        <v>72</v>
      </c>
      <c r="B15" s="132">
        <v>10.5</v>
      </c>
      <c r="C15" s="131">
        <v>11.25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1.8292096743041174E-2</v>
      </c>
      <c r="BQ15" s="1">
        <f>BQ11+1</f>
        <v>5</v>
      </c>
      <c r="BR15" s="1">
        <v>1</v>
      </c>
      <c r="BS15" s="2">
        <f>$H$30*H40</f>
        <v>3.3568653454658877E-2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1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0.2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0.11399999999999999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0.11399999999999999</v>
      </c>
      <c r="AH16" s="117">
        <f t="shared" si="9"/>
        <v>0.88600000000000001</v>
      </c>
      <c r="AI16" s="117">
        <f>AG16*PRODUCT(AH$4:AH15)</f>
        <v>7.8934835311324031E-2</v>
      </c>
      <c r="AJ16" s="117">
        <f>(FACT(2)/(FACT($AD$1)*FACT(2-$AD$1))*AG16^$AD$1*(1-AG16)^(2-$AD$1))</f>
        <v>1.2995999999999997E-2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9.6892285137114599E-3</v>
      </c>
      <c r="BQ16" s="1">
        <f>BQ12+1</f>
        <v>5</v>
      </c>
      <c r="BR16" s="1">
        <v>2</v>
      </c>
      <c r="BS16" s="2">
        <f>$H$30*H41</f>
        <v>4.0352404304211713E-2</v>
      </c>
    </row>
    <row r="17" spans="1:71" x14ac:dyDescent="0.25">
      <c r="A17" s="116" t="s">
        <v>67</v>
      </c>
      <c r="B17" s="115" t="s">
        <v>66</v>
      </c>
      <c r="C17" s="114" t="s">
        <v>66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3.914233655747606E-3</v>
      </c>
      <c r="BQ17" s="1">
        <f>BQ13+1</f>
        <v>5</v>
      </c>
      <c r="BR17" s="1">
        <v>3</v>
      </c>
      <c r="BS17" s="2">
        <f>$H$30*H42</f>
        <v>3.0149992947316066E-2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0.53944141913830435</v>
      </c>
      <c r="AC18" s="107">
        <f>SUM(AC4:AC16)</f>
        <v>0.35747055649311449</v>
      </c>
      <c r="AD18" s="107">
        <f>SUM(AD3:AD17)</f>
        <v>6.13424966737341E-2</v>
      </c>
      <c r="AE18" s="107">
        <f>IF((1-AB18-AC18-AD18)&lt;0,(1-AB18-AC18-AD18)-1,1-AB18-AC18-AD18)</f>
        <v>4.1745527694847066E-2</v>
      </c>
      <c r="AF18" s="100"/>
      <c r="AG18" s="4"/>
      <c r="AH18" s="108">
        <f>PRODUCT(AH3:AH17)</f>
        <v>0.61347600075292186</v>
      </c>
      <c r="AI18" s="107">
        <f>SUM(AI3:AI17)</f>
        <v>0.30920360759219878</v>
      </c>
      <c r="AJ18" s="107">
        <f>SUM(AJ3:AJ17)</f>
        <v>4.6639175963757731E-2</v>
      </c>
      <c r="AK18" s="107">
        <f>IF((1-AH18-AI18-AJ18)&lt;0,(1-AH18-AI18-AJ18)-1,(1-AH18-AI18-AJ18))</f>
        <v>3.068121569112163E-2</v>
      </c>
      <c r="AL18" s="98"/>
      <c r="AN18" s="97"/>
      <c r="AO18" s="96"/>
      <c r="BI18" s="1">
        <v>1</v>
      </c>
      <c r="BJ18" s="1">
        <v>6</v>
      </c>
      <c r="BK18" s="2">
        <f t="shared" si="11"/>
        <v>1.2498499535148829E-3</v>
      </c>
      <c r="BQ18" s="1">
        <f>BM8+1</f>
        <v>5</v>
      </c>
      <c r="BR18" s="1">
        <v>4</v>
      </c>
      <c r="BS18" s="2">
        <f>$H$30*H43</f>
        <v>1.5970294464163533E-2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3.1717525390906201E-4</v>
      </c>
      <c r="BQ19" s="1">
        <f>BQ15+1</f>
        <v>6</v>
      </c>
      <c r="BR19" s="1">
        <v>1</v>
      </c>
      <c r="BS19" s="2">
        <f>$H$31*H40</f>
        <v>1.680275906899353E-2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6.2942067033550377E-5</v>
      </c>
      <c r="BQ20" s="1">
        <f>BQ16+1</f>
        <v>6</v>
      </c>
      <c r="BR20" s="1">
        <v>2</v>
      </c>
      <c r="BS20" s="2">
        <f>$H$31*H41</f>
        <v>2.0198359409742284E-2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9.4835337023015645E-6</v>
      </c>
      <c r="BQ21" s="1">
        <f>BQ17+1</f>
        <v>6</v>
      </c>
      <c r="BR21" s="1">
        <v>3</v>
      </c>
      <c r="BS21" s="2">
        <f>$H$31*H42</f>
        <v>1.5091551649811451E-2</v>
      </c>
    </row>
    <row r="22" spans="1:71" x14ac:dyDescent="0.25">
      <c r="A22" s="67" t="s">
        <v>60</v>
      </c>
      <c r="B22" s="74">
        <f>(B6)/((B6)+(C6))</f>
        <v>0.5368421052631579</v>
      </c>
      <c r="C22" s="73">
        <f>1-B22</f>
        <v>0.4631578947368421</v>
      </c>
      <c r="V22" s="52">
        <f>SUM(V25:V35)</f>
        <v>1</v>
      </c>
      <c r="AS22" s="56">
        <f>Y23+AA23+AC23+AE23+AG23+AI23+AK23+AM23+AO23+AQ23+AS23</f>
        <v>1.0000000000000002</v>
      </c>
      <c r="BI22" s="1">
        <v>1</v>
      </c>
      <c r="BJ22" s="1">
        <v>10</v>
      </c>
      <c r="BK22" s="2">
        <f t="shared" si="11"/>
        <v>1.0416450065165606E-6</v>
      </c>
      <c r="BQ22" s="1">
        <f>BQ18+1</f>
        <v>6</v>
      </c>
      <c r="BR22" s="1">
        <v>4</v>
      </c>
      <c r="BS22" s="2">
        <f>$H$31*H43</f>
        <v>7.9939164227922962E-3</v>
      </c>
    </row>
    <row r="23" spans="1:71" ht="15.75" thickBot="1" x14ac:dyDescent="0.3">
      <c r="A23" s="65" t="s">
        <v>59</v>
      </c>
      <c r="B23" s="64">
        <f>((B22^2.8)/((B22^2.8)+(C22^2.8)))*B21</f>
        <v>3.0094912637111522</v>
      </c>
      <c r="C23" s="63">
        <f>B21-B23</f>
        <v>1.9905087362888478</v>
      </c>
      <c r="D23" s="88">
        <f>SUM(D25:D30)</f>
        <v>1</v>
      </c>
      <c r="E23" s="88">
        <f>SUM(E25:E30)</f>
        <v>1</v>
      </c>
      <c r="H23" s="50">
        <f>SUM(H25:H35)</f>
        <v>0.99994408923576117</v>
      </c>
      <c r="I23" s="51"/>
      <c r="J23" s="50">
        <f>SUM(J25:J35)</f>
        <v>1.0000000000000002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</v>
      </c>
      <c r="V23" s="52">
        <f>SUM(V25:V34)</f>
        <v>0.9933445322080835</v>
      </c>
      <c r="Y23" s="50">
        <f>SUM(Y25:Y35)</f>
        <v>9.8989014010250571E-5</v>
      </c>
      <c r="Z23" s="51"/>
      <c r="AA23" s="50">
        <f>SUM(AA25:AA35)</f>
        <v>1.4976302091665734E-3</v>
      </c>
      <c r="AB23" s="51"/>
      <c r="AC23" s="50">
        <f>SUM(AC25:AC35)</f>
        <v>1.0197616539648673E-2</v>
      </c>
      <c r="AD23" s="51"/>
      <c r="AE23" s="50">
        <f>SUM(AE25:AE35)</f>
        <v>4.1156352824519842E-2</v>
      </c>
      <c r="AF23" s="51"/>
      <c r="AG23" s="50">
        <f>SUM(AG25:AG35)</f>
        <v>0.10903598389066871</v>
      </c>
      <c r="AH23" s="51"/>
      <c r="AI23" s="50">
        <f>SUM(AI25:AI35)</f>
        <v>0.19816817950415114</v>
      </c>
      <c r="AJ23" s="51"/>
      <c r="AK23" s="50">
        <f>SUM(AK25:AK35)</f>
        <v>0.25028544019128796</v>
      </c>
      <c r="AL23" s="51"/>
      <c r="AM23" s="50">
        <f>SUM(AM25:AM35)</f>
        <v>0.21702217784970945</v>
      </c>
      <c r="AN23" s="51"/>
      <c r="AO23" s="50">
        <f>SUM(AO25:AO35)</f>
        <v>0.12378968965599194</v>
      </c>
      <c r="AP23" s="51"/>
      <c r="AQ23" s="50">
        <f>SUM(AQ25:AQ35)</f>
        <v>4.2092472528929073E-2</v>
      </c>
      <c r="AR23" s="51"/>
      <c r="AS23" s="50">
        <f>SUM(AS25:AS35)</f>
        <v>6.6554677919165037E-3</v>
      </c>
      <c r="BI23" s="1">
        <f t="shared" ref="BI23:BI30" si="12">BI15+1</f>
        <v>2</v>
      </c>
      <c r="BJ23" s="1">
        <v>3</v>
      </c>
      <c r="BK23" s="2">
        <f t="shared" ref="BK23:BK30" si="13">$H$27*H42</f>
        <v>3.9225571228333908E-2</v>
      </c>
      <c r="BQ23" s="1">
        <f>BM9+1</f>
        <v>6</v>
      </c>
      <c r="BR23" s="1">
        <v>5</v>
      </c>
      <c r="BS23" s="2">
        <f>$H$31*H44</f>
        <v>3.2293651304691395E-3</v>
      </c>
    </row>
    <row r="24" spans="1:71" ht="15.75" thickBot="1" x14ac:dyDescent="0.3">
      <c r="A24" s="67" t="s">
        <v>58</v>
      </c>
      <c r="B24" s="87">
        <f>B23/B21</f>
        <v>0.60189825274223041</v>
      </c>
      <c r="C24" s="86">
        <f>C23/B21</f>
        <v>0.39810174725776959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2.0777581080571327E-2</v>
      </c>
      <c r="BQ24" s="1">
        <f>BI49+1</f>
        <v>7</v>
      </c>
      <c r="BR24" s="1">
        <v>0</v>
      </c>
      <c r="BS24" s="2">
        <f t="shared" ref="BS24:BS30" si="14">$H$32*H39</f>
        <v>2.5250042702604897E-3</v>
      </c>
    </row>
    <row r="25" spans="1:71" x14ac:dyDescent="0.25">
      <c r="A25" s="67" t="s">
        <v>32</v>
      </c>
      <c r="B25" s="77">
        <f>1/(1+EXP(-3.1416*4*((B11/(B11+C8))-(3.1416/6))))</f>
        <v>0.38818045885043373</v>
      </c>
      <c r="C25" s="73">
        <f>1/(1+EXP(-3.1416*4*((C11/(C11+B8))-(3.1416/6))))</f>
        <v>0.28890237757989906</v>
      </c>
      <c r="D25" s="8">
        <f>IF(B17="AOW",0.36-0.08,IF(B17="AIM",0.36+0.08,IF(B17="TL",(0.361)-(0.36*B32),0.36)))</f>
        <v>0.36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1.8422993347980206E-2</v>
      </c>
      <c r="I25" s="36">
        <v>0</v>
      </c>
      <c r="J25" s="34">
        <f t="shared" ref="J25:J35" si="15">Y25+AA25+AC25+AE25+AG25+AI25+AK25+AM25+AO25+AQ25+AS25</f>
        <v>3.4151981465214185E-2</v>
      </c>
      <c r="K25" s="36">
        <v>0</v>
      </c>
      <c r="L25" s="34">
        <f>AB18</f>
        <v>0.53944141913830435</v>
      </c>
      <c r="M25" s="17">
        <v>0</v>
      </c>
      <c r="N25" s="32">
        <f>(1-$B$24)^$B$21</f>
        <v>9.9993188834099321E-3</v>
      </c>
      <c r="O25" s="16">
        <v>0</v>
      </c>
      <c r="P25" s="32">
        <f t="shared" ref="P25:P30" si="16">N25</f>
        <v>9.9993188834099321E-3</v>
      </c>
      <c r="Q25" s="10">
        <v>0</v>
      </c>
      <c r="R25" s="11">
        <f>P25*N25</f>
        <v>9.9986378132118446E-5</v>
      </c>
      <c r="S25" s="16">
        <v>0</v>
      </c>
      <c r="T25" s="15">
        <f>(1-$B$33)^(INT(C23*2*(1-C31)))</f>
        <v>0.99002500000000004</v>
      </c>
      <c r="U25" s="24">
        <v>0</v>
      </c>
      <c r="V25" s="23">
        <f>R25*T25</f>
        <v>9.8989014010250571E-5</v>
      </c>
      <c r="W25" s="33">
        <f>B31</f>
        <v>0.47557272933248407</v>
      </c>
      <c r="X25" s="10">
        <v>0</v>
      </c>
      <c r="Y25" s="9">
        <f>V25</f>
        <v>9.8989014010250571E-5</v>
      </c>
      <c r="Z25" s="10">
        <v>0</v>
      </c>
      <c r="AA25" s="9">
        <f>((1-W25)^Z26)*V26</f>
        <v>7.8539812306244704E-4</v>
      </c>
      <c r="AB25" s="10">
        <v>0</v>
      </c>
      <c r="AC25" s="9">
        <f>(((1-$W$25)^AB27))*V27</f>
        <v>2.8045889059321407E-3</v>
      </c>
      <c r="AD25" s="10">
        <v>0</v>
      </c>
      <c r="AE25" s="9">
        <f>(((1-$W$25)^AB28))*V28</f>
        <v>5.935983479058749E-3</v>
      </c>
      <c r="AF25" s="10">
        <v>0</v>
      </c>
      <c r="AG25" s="9">
        <f>(((1-$W$25)^AB29))*V29</f>
        <v>8.247283353654428E-3</v>
      </c>
      <c r="AH25" s="10">
        <v>0</v>
      </c>
      <c r="AI25" s="9">
        <f>(((1-$W$25)^AB30))*V30</f>
        <v>7.860682519266065E-3</v>
      </c>
      <c r="AJ25" s="10">
        <v>0</v>
      </c>
      <c r="AK25" s="9">
        <f>(((1-$W$25)^AB31))*V31</f>
        <v>5.2065157914714909E-3</v>
      </c>
      <c r="AL25" s="10">
        <v>0</v>
      </c>
      <c r="AM25" s="9">
        <f>(((1-$W$25)^AB32))*V32</f>
        <v>2.3675599698377236E-3</v>
      </c>
      <c r="AN25" s="10">
        <v>0</v>
      </c>
      <c r="AO25" s="9">
        <f>(((1-$W$25)^AB33))*V33</f>
        <v>7.0821743238544844E-4</v>
      </c>
      <c r="AP25" s="10">
        <v>0</v>
      </c>
      <c r="AQ25" s="9">
        <f>(((1-$W$25)^AB34))*V34</f>
        <v>1.2629083734165951E-4</v>
      </c>
      <c r="AR25" s="10">
        <v>0</v>
      </c>
      <c r="AS25" s="9">
        <f>(((1-$W$25)^AB35))*V35</f>
        <v>1.0472039193779685E-5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8.3936824315276864E-3</v>
      </c>
      <c r="BQ25" s="1">
        <f>BQ19+1</f>
        <v>7</v>
      </c>
      <c r="BR25" s="1">
        <v>1</v>
      </c>
      <c r="BS25" s="2">
        <f t="shared" si="14"/>
        <v>6.5961011578175976E-3</v>
      </c>
    </row>
    <row r="26" spans="1:71" x14ac:dyDescent="0.25">
      <c r="A26" s="65" t="s">
        <v>31</v>
      </c>
      <c r="B26" s="74">
        <f>1/(1+EXP(-3.1416*4*((B10/(B10+C9))-(3.1416/6))))</f>
        <v>0.46190473122013492</v>
      </c>
      <c r="C26" s="73">
        <f>1/(1+EXP(-3.1416*4*((C10/(C10+B9))-(3.1416/6))))</f>
        <v>0.41331704431721489</v>
      </c>
      <c r="D26" s="8">
        <f>IF(B17="AOW",0.257+0.04,IF(B17="AIM",0.257-0.04,IF(B17="TL",(0.257)-(0.257*B32),0.257)))</f>
        <v>0.25700000000000001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8.6180511358814951E-2</v>
      </c>
      <c r="I26" s="24">
        <v>1</v>
      </c>
      <c r="J26" s="23">
        <f t="shared" si="15"/>
        <v>0.13712737085940557</v>
      </c>
      <c r="K26" s="24">
        <v>1</v>
      </c>
      <c r="L26" s="23">
        <f>AC18</f>
        <v>0.35747055649311449</v>
      </c>
      <c r="M26" s="17">
        <v>1</v>
      </c>
      <c r="N26" s="32">
        <f>(($B$24)^M26)*((1-($B$24))^($B$21-M26))*HLOOKUP($B$21,$AV$24:$BF$34,M26+1)</f>
        <v>7.5590883561732047E-2</v>
      </c>
      <c r="O26" s="16">
        <v>1</v>
      </c>
      <c r="P26" s="32">
        <f t="shared" si="16"/>
        <v>7.5590883561732047E-2</v>
      </c>
      <c r="Q26" s="10">
        <v>1</v>
      </c>
      <c r="R26" s="11">
        <f>N26*P25+P26*N25</f>
        <v>1.5117146988249373E-3</v>
      </c>
      <c r="S26" s="16">
        <v>1</v>
      </c>
      <c r="T26" s="15">
        <f t="shared" ref="T26:T35" si="17">(($B$33)^S26)*((1-($B$33))^(INT($C$23*2*(1-$C$31))-S26))*HLOOKUP(INT($C$23*2*(1-$C$31)),$AV$24:$BF$34,S26+1)</f>
        <v>9.9500000000000005E-3</v>
      </c>
      <c r="U26" s="24">
        <v>1</v>
      </c>
      <c r="V26" s="23">
        <f>R26*T25+T26*R25</f>
        <v>1.4976302091665734E-3</v>
      </c>
      <c r="W26" s="12"/>
      <c r="X26" s="10">
        <v>1</v>
      </c>
      <c r="Y26" s="11"/>
      <c r="Z26" s="10">
        <v>1</v>
      </c>
      <c r="AA26" s="9">
        <f>(1-((1-W25)^Z26))*V26</f>
        <v>7.1223208610412636E-4</v>
      </c>
      <c r="AB26" s="10">
        <v>1</v>
      </c>
      <c r="AC26" s="9">
        <f>((($W$25)^M26)*((1-($W$25))^($U$27-M26))*HLOOKUP($U$27,$AV$24:$BF$34,M26+1))*V27</f>
        <v>5.0866386065394628E-3</v>
      </c>
      <c r="AD26" s="10">
        <v>1</v>
      </c>
      <c r="AE26" s="9">
        <f>((($W$25)^M26)*((1-($W$25))^($U$28-M26))*HLOOKUP($U$28,$AV$24:$BF$34,M26+1))*V28</f>
        <v>1.6148999235767802E-2</v>
      </c>
      <c r="AF26" s="10">
        <v>1</v>
      </c>
      <c r="AG26" s="9">
        <f>((($W$25)^M26)*((1-($W$25))^($U$29-M26))*HLOOKUP($U$29,$AV$24:$BF$34,M26+1))*V29</f>
        <v>2.9915935142605821E-2</v>
      </c>
      <c r="AH26" s="10">
        <v>1</v>
      </c>
      <c r="AI26" s="9">
        <f>((($W$25)^M26)*((1-($W$25))^($U$30-M26))*HLOOKUP($U$30,$AV$24:$BF$34,M26+1))*V30</f>
        <v>3.564198935865015E-2</v>
      </c>
      <c r="AJ26" s="10">
        <v>1</v>
      </c>
      <c r="AK26" s="9">
        <f>((($W$25)^M26)*((1-($W$25))^($U$31-M26))*HLOOKUP($U$31,$AV$24:$BF$34,M26+1))*V31</f>
        <v>2.8328926397490049E-2</v>
      </c>
      <c r="AL26" s="10">
        <v>1</v>
      </c>
      <c r="AM26" s="9">
        <f>((($W$25)^Q26)*((1-($W$25))^($U$32-Q26))*HLOOKUP($U$32,$AV$24:$BF$34,Q26+1))*V32</f>
        <v>1.5029021444606239E-2</v>
      </c>
      <c r="AN26" s="10">
        <v>1</v>
      </c>
      <c r="AO26" s="9">
        <f>((($W$25)^Q26)*((1-($W$25))^($U$33-Q26))*HLOOKUP($U$33,$AV$24:$BF$34,Q26+1))*V33</f>
        <v>5.1379310896885327E-3</v>
      </c>
      <c r="AP26" s="10">
        <v>1</v>
      </c>
      <c r="AQ26" s="9">
        <f>((($W$25)^Q26)*((1-($W$25))^($U$34-Q26))*HLOOKUP($U$34,$AV$24:$BF$34,Q26+1))*V34</f>
        <v>1.030732637435673E-3</v>
      </c>
      <c r="AR26" s="10">
        <v>1</v>
      </c>
      <c r="AS26" s="9">
        <f>((($W$25)^Q26)*((1-($W$25))^($U$35-Q26))*HLOOKUP($U$35,$AV$24:$BF$34,Q26+1))*V35</f>
        <v>9.496486051771288E-5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2.6801781701148472E-3</v>
      </c>
      <c r="BQ26" s="1">
        <f>BQ20+1</f>
        <v>7</v>
      </c>
      <c r="BR26" s="1">
        <v>2</v>
      </c>
      <c r="BS26" s="2">
        <f t="shared" si="14"/>
        <v>7.9290800600997618E-3</v>
      </c>
    </row>
    <row r="27" spans="1:71" x14ac:dyDescent="0.25">
      <c r="A27" s="67" t="s">
        <v>30</v>
      </c>
      <c r="B27" s="74">
        <f>1/(1+EXP(-3.1416*4*((B12/(B12+C7))-(3.1416/6))))</f>
        <v>0.48770323978107072</v>
      </c>
      <c r="C27" s="73">
        <f>1/(1+EXP(-3.1416*4*((C12/(C12+B7))-(3.1416/6))))</f>
        <v>0.55554384356926911</v>
      </c>
      <c r="D27" s="8">
        <f>D26</f>
        <v>0.25700000000000001</v>
      </c>
      <c r="E27" s="8">
        <f>E26</f>
        <v>0.25700000000000001</v>
      </c>
      <c r="G27" s="62">
        <v>2</v>
      </c>
      <c r="H27" s="61">
        <f>L25*J27+J26*L26+J25*L27</f>
        <v>0.1848054837171941</v>
      </c>
      <c r="I27" s="24">
        <v>2</v>
      </c>
      <c r="J27" s="23">
        <f t="shared" si="15"/>
        <v>0.2478332467495177</v>
      </c>
      <c r="K27" s="24">
        <v>2</v>
      </c>
      <c r="L27" s="23">
        <f>AD18</f>
        <v>6.13424966737341E-2</v>
      </c>
      <c r="M27" s="17">
        <v>2</v>
      </c>
      <c r="N27" s="32">
        <f>(($B$24)^M27)*((1-($B$24))^($B$21-M27))*HLOOKUP($B$21,$AV$24:$BF$34,M27+1)</f>
        <v>0.22857483571700118</v>
      </c>
      <c r="O27" s="16">
        <v>2</v>
      </c>
      <c r="P27" s="32">
        <f t="shared" si="16"/>
        <v>0.22857483571700118</v>
      </c>
      <c r="Q27" s="10">
        <v>2</v>
      </c>
      <c r="R27" s="11">
        <f>P25*N27+P26*N26+P27*N25</f>
        <v>1.0285167019757997E-2</v>
      </c>
      <c r="S27" s="16">
        <v>2</v>
      </c>
      <c r="T27" s="15">
        <f t="shared" si="17"/>
        <v>2.5000000000000001E-5</v>
      </c>
      <c r="U27" s="24">
        <v>2</v>
      </c>
      <c r="V27" s="23">
        <f>R27*T25+T26*R26+R25*T27</f>
        <v>1.0197616539648673E-2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2.3063890271770695E-3</v>
      </c>
      <c r="AD27" s="10">
        <v>2</v>
      </c>
      <c r="AE27" s="9">
        <f>((($W$25)^M27)*((1-($W$25))^($U$28-M27))*HLOOKUP($U$28,$AV$24:$BF$34,M27+1))*V28</f>
        <v>1.4644592438464905E-2</v>
      </c>
      <c r="AF27" s="10">
        <v>2</v>
      </c>
      <c r="AG27" s="9">
        <f>((($W$25)^M27)*((1-($W$25))^($U$29-M27))*HLOOKUP($U$29,$AV$24:$BF$34,M27+1))*V29</f>
        <v>4.0693544335118854E-2</v>
      </c>
      <c r="AH27" s="10">
        <v>2</v>
      </c>
      <c r="AI27" s="9">
        <f>((($W$25)^M27)*((1-($W$25))^($U$30-M27))*HLOOKUP($U$30,$AV$24:$BF$34,M27+1))*V30</f>
        <v>6.4643313215033166E-2</v>
      </c>
      <c r="AJ27" s="10">
        <v>2</v>
      </c>
      <c r="AK27" s="9">
        <f>((($W$25)^M27)*((1-($W$25))^($U$31-M27))*HLOOKUP($U$31,$AV$24:$BF$34,M27+1))*V31</f>
        <v>6.4224658019619213E-2</v>
      </c>
      <c r="AL27" s="10">
        <v>2</v>
      </c>
      <c r="AM27" s="9">
        <f>((($W$25)^Q27)*((1-($W$25))^($U$32-Q27))*HLOOKUP($U$32,$AV$24:$BF$34,Q27+1))*V32</f>
        <v>4.0886848266930981E-2</v>
      </c>
      <c r="AN27" s="10">
        <v>2</v>
      </c>
      <c r="AO27" s="9">
        <f>((($W$25)^Q27)*((1-($W$25))^($U$33-Q27))*HLOOKUP($U$33,$AV$24:$BF$34,Q27+1))*V33</f>
        <v>1.6307522831856869E-2</v>
      </c>
      <c r="AP27" s="10">
        <v>2</v>
      </c>
      <c r="AQ27" s="9">
        <f>((($W$25)^Q27)*((1-($W$25))^($U$34-Q27))*HLOOKUP($U$34,$AV$24:$BF$34,Q27+1))*V34</f>
        <v>3.7388470128444516E-3</v>
      </c>
      <c r="AR27" s="10">
        <v>2</v>
      </c>
      <c r="AS27" s="9">
        <f>((($W$25)^Q27)*((1-($W$25))^($U$35-Q27))*HLOOKUP($U$35,$AV$24:$BF$34,Q27+1))*V35</f>
        <v>3.8753160247217814E-4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6.8015059666726575E-4</v>
      </c>
      <c r="BQ27" s="1">
        <f>BQ21+1</f>
        <v>7</v>
      </c>
      <c r="BR27" s="1">
        <v>3</v>
      </c>
      <c r="BS27" s="2">
        <f t="shared" si="14"/>
        <v>5.924348549059333E-3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0.24166674510034522</v>
      </c>
      <c r="I28" s="24">
        <v>3</v>
      </c>
      <c r="J28" s="23">
        <f t="shared" si="15"/>
        <v>0.26552693880494416</v>
      </c>
      <c r="K28" s="24">
        <v>3</v>
      </c>
      <c r="L28" s="23">
        <f>AE18</f>
        <v>4.1745527694847066E-2</v>
      </c>
      <c r="M28" s="17">
        <v>3</v>
      </c>
      <c r="N28" s="32">
        <f>(($B$24)^M28)*((1-($B$24))^($B$21-M28))*HLOOKUP($B$21,$AV$24:$BF$34,M28+1)</f>
        <v>0.34558701434139538</v>
      </c>
      <c r="O28" s="16">
        <v>3</v>
      </c>
      <c r="P28" s="32">
        <f t="shared" si="16"/>
        <v>0.34558701434139538</v>
      </c>
      <c r="Q28" s="10">
        <v>3</v>
      </c>
      <c r="R28" s="11">
        <f>P25*N28+P26*N27+P27*N26+P28*N25</f>
        <v>4.146761710038209E-2</v>
      </c>
      <c r="S28" s="16">
        <v>3</v>
      </c>
      <c r="T28" s="15">
        <f t="shared" si="17"/>
        <v>0</v>
      </c>
      <c r="U28" s="24">
        <v>3</v>
      </c>
      <c r="V28" s="23">
        <f>R28*T25+R27*T26+R26*T27+R25*T28</f>
        <v>4.1156352824519842E-2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4.426777671228386E-3</v>
      </c>
      <c r="AF28" s="10">
        <v>3</v>
      </c>
      <c r="AG28" s="9">
        <f>((($W$25)^M28)*((1-($W$25))^($U$29-M28))*HLOOKUP($U$29,$AV$24:$BF$34,M28+1))*V29</f>
        <v>2.4601746232649616E-2</v>
      </c>
      <c r="AH28" s="10">
        <v>3</v>
      </c>
      <c r="AI28" s="9">
        <f>((($W$25)^M28)*((1-($W$25))^($U$30-M28))*HLOOKUP($U$30,$AV$24:$BF$34,M28+1))*V30</f>
        <v>5.8621278141461494E-2</v>
      </c>
      <c r="AJ28" s="10">
        <v>3</v>
      </c>
      <c r="AK28" s="9">
        <f>((($W$25)^M28)*((1-($W$25))^($U$31-M28))*HLOOKUP($U$31,$AV$24:$BF$34,M28+1))*V31</f>
        <v>7.7655498644476198E-2</v>
      </c>
      <c r="AL28" s="10">
        <v>3</v>
      </c>
      <c r="AM28" s="9">
        <f>((($W$25)^Q28)*((1-($W$25))^($U$32-Q28))*HLOOKUP($U$32,$AV$24:$BF$34,Q28+1))*V32</f>
        <v>6.1796525821897756E-2</v>
      </c>
      <c r="AN28" s="10">
        <v>3</v>
      </c>
      <c r="AO28" s="9">
        <f>((($W$25)^Q28)*((1-($W$25))^($U$33-Q28))*HLOOKUP($U$33,$AV$24:$BF$34,Q28+1))*V33</f>
        <v>2.957669661963426E-2</v>
      </c>
      <c r="AP28" s="10">
        <v>3</v>
      </c>
      <c r="AQ28" s="9">
        <f>((($W$25)^Q28)*((1-($W$25))^($U$34-Q28))*HLOOKUP($U$34,$AV$24:$BF$34,Q28+1))*V34</f>
        <v>7.9112690773070048E-3</v>
      </c>
      <c r="AR28" s="10">
        <v>3</v>
      </c>
      <c r="AS28" s="9">
        <f>((($W$25)^Q28)*((1-($W$25))^($U$35-Q28))*HLOOKUP($U$35,$AV$24:$BF$34,Q28+1))*V35</f>
        <v>9.3714659628944602E-4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1.3497296501137034E-4</v>
      </c>
      <c r="BQ28" s="1">
        <f>BQ22+1</f>
        <v>7</v>
      </c>
      <c r="BR28" s="1">
        <v>4</v>
      </c>
      <c r="BS28" s="2">
        <f t="shared" si="14"/>
        <v>3.1380966158812973E-3</v>
      </c>
    </row>
    <row r="29" spans="1:71" x14ac:dyDescent="0.25">
      <c r="A29" s="67" t="s">
        <v>28</v>
      </c>
      <c r="B29" s="74">
        <f>1/(1+EXP(-3.1416*4*((B14/(B14+C13))-(3.1416/6))))</f>
        <v>0.38060831534430095</v>
      </c>
      <c r="C29" s="73">
        <f>1/(1+EXP(-3.1416*4*((C14/(C14+B13))-(3.1416/6))))</f>
        <v>0.16720498174891338</v>
      </c>
      <c r="D29" s="8">
        <v>0.04</v>
      </c>
      <c r="E29" s="8">
        <v>0.04</v>
      </c>
      <c r="G29" s="62">
        <v>4</v>
      </c>
      <c r="H29" s="61">
        <f>J29*L25+J28*L26+J27*L27+J26*L28</f>
        <v>0.21660674634873142</v>
      </c>
      <c r="I29" s="24">
        <v>4</v>
      </c>
      <c r="J29" s="23">
        <f t="shared" si="15"/>
        <v>0.18678862175408026</v>
      </c>
      <c r="K29" s="24">
        <v>4</v>
      </c>
      <c r="L29" s="23"/>
      <c r="M29" s="17">
        <v>4</v>
      </c>
      <c r="N29" s="32">
        <f>(($B$24)^M29)*((1-($B$24))^($B$21-M29))*HLOOKUP($B$21,$AV$24:$BF$34,M29+1)</f>
        <v>0.26125007179107579</v>
      </c>
      <c r="O29" s="16">
        <v>4</v>
      </c>
      <c r="P29" s="32">
        <f t="shared" si="16"/>
        <v>0.26125007179107579</v>
      </c>
      <c r="Q29" s="10">
        <v>4</v>
      </c>
      <c r="R29" s="11">
        <f>P25*N29+P26*N28+P27*N27+P28*N26+P29*N25</f>
        <v>0.10971755659841356</v>
      </c>
      <c r="S29" s="16">
        <v>4</v>
      </c>
      <c r="T29" s="15">
        <f t="shared" si="17"/>
        <v>0</v>
      </c>
      <c r="U29" s="24">
        <v>4</v>
      </c>
      <c r="V29" s="23">
        <f>T29*R25+T28*R26+T27*R27+T26*R28+T25*R29</f>
        <v>0.10903598389066869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5.5774748266399846E-3</v>
      </c>
      <c r="AH29" s="10">
        <v>4</v>
      </c>
      <c r="AI29" s="9">
        <f>((($W$25)^M29)*((1-($W$25))^($U$30-M29))*HLOOKUP($U$30,$AV$24:$BF$34,M29+1))*V30</f>
        <v>2.6580121593608411E-2</v>
      </c>
      <c r="AJ29" s="10">
        <v>4</v>
      </c>
      <c r="AK29" s="9">
        <f>((($W$25)^M29)*((1-($W$25))^($U$31-M29))*HLOOKUP($U$31,$AV$24:$BF$34,M29+1))*V31</f>
        <v>5.2815956811830024E-2</v>
      </c>
      <c r="AL29" s="10">
        <v>4</v>
      </c>
      <c r="AM29" s="9">
        <f>((($W$25)^Q29)*((1-($W$25))^($U$32-Q29))*HLOOKUP($U$32,$AV$24:$BF$34,Q29+1))*V32</f>
        <v>5.6039691473286399E-2</v>
      </c>
      <c r="AN29" s="10">
        <v>4</v>
      </c>
      <c r="AO29" s="9">
        <f>((($W$25)^Q29)*((1-($W$25))^($U$33-Q29))*HLOOKUP($U$33,$AV$24:$BF$34,Q29+1))*V33</f>
        <v>3.3526742226178033E-2</v>
      </c>
      <c r="AP29" s="10">
        <v>4</v>
      </c>
      <c r="AQ29" s="9">
        <f>((($W$25)^Q29)*((1-($W$25))^($U$34-Q29))*HLOOKUP($U$34,$AV$24:$BF$34,Q29+1))*V34</f>
        <v>1.0761407838658829E-2</v>
      </c>
      <c r="AR29" s="10">
        <v>4</v>
      </c>
      <c r="AS29" s="9">
        <f>((($W$25)^Q29)*((1-($W$25))^($U$35-Q29))*HLOOKUP($U$35,$AV$24:$BF$34,Q29+1))*V35</f>
        <v>1.4872269838785963E-3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2.0336489138537562E-5</v>
      </c>
      <c r="BQ29" s="1">
        <f>BQ23+1</f>
        <v>7</v>
      </c>
      <c r="BR29" s="1">
        <v>5</v>
      </c>
      <c r="BS29" s="2">
        <f t="shared" si="14"/>
        <v>1.2677215086307364E-3</v>
      </c>
    </row>
    <row r="30" spans="1:71" x14ac:dyDescent="0.25">
      <c r="A30" s="67" t="s">
        <v>27</v>
      </c>
      <c r="B30" s="72">
        <f>IF(B17="TL",0.55,0.15)</f>
        <v>0.15</v>
      </c>
      <c r="C30" s="71">
        <f>IF(C17="TL",0.55,0.15)</f>
        <v>0.15</v>
      </c>
      <c r="D30" s="8">
        <f>IF(B17="TL",0.875*B32,0.001)</f>
        <v>1E-3</v>
      </c>
      <c r="E30" s="8">
        <f>IF(C17="TL",0.875*C32,0.001)</f>
        <v>1E-3</v>
      </c>
      <c r="G30" s="62">
        <v>5</v>
      </c>
      <c r="H30" s="61">
        <f>J30*L25+J29*L26+J28*L27+J27*L28</f>
        <v>0.14204723745804837</v>
      </c>
      <c r="I30" s="24">
        <v>5</v>
      </c>
      <c r="J30" s="23">
        <f t="shared" si="15"/>
        <v>9.0170661986653092E-2</v>
      </c>
      <c r="K30" s="24">
        <v>5</v>
      </c>
      <c r="L30" s="23"/>
      <c r="M30" s="17">
        <v>5</v>
      </c>
      <c r="N30" s="32">
        <f>(($B$24)^M30)*((1-($B$24))^($B$21-M30))*HLOOKUP($B$21,$AV$24:$BF$34,M30+1)</f>
        <v>7.8997875705385703E-2</v>
      </c>
      <c r="O30" s="16">
        <v>5</v>
      </c>
      <c r="P30" s="32">
        <f t="shared" si="16"/>
        <v>7.8997875705385703E-2</v>
      </c>
      <c r="Q30" s="10">
        <v>5</v>
      </c>
      <c r="R30" s="11">
        <f>P25*N30+P26*N29+P27*N28+P28*N27+P29*N26+P30*N25</f>
        <v>0.19906108747311371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0.19816817950415114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4.8207946761318725E-3</v>
      </c>
      <c r="AJ30" s="10">
        <v>5</v>
      </c>
      <c r="AK30" s="9">
        <f>((($W$25)^M30)*((1-($W$25))^($U$31-M30))*HLOOKUP($U$31,$AV$24:$BF$34,M30+1))*V31</f>
        <v>1.915829335216488E-2</v>
      </c>
      <c r="AL30" s="10">
        <v>5</v>
      </c>
      <c r="AM30" s="9">
        <f>((($W$25)^Q30)*((1-($W$25))^($U$32-Q30))*HLOOKUP($U$32,$AV$24:$BF$34,Q30+1))*V32</f>
        <v>3.0491491021409186E-2</v>
      </c>
      <c r="AN30" s="10">
        <v>5</v>
      </c>
      <c r="AO30" s="9">
        <f>((($W$25)^Q30)*((1-($W$25))^($U$33-Q30))*HLOOKUP($U$33,$AV$24:$BF$34,Q30+1))*V33</f>
        <v>2.4322769158568482E-2</v>
      </c>
      <c r="AP30" s="10">
        <v>5</v>
      </c>
      <c r="AQ30" s="9">
        <f>((($W$25)^Q30)*((1-($W$25))^($U$34-Q30))*HLOOKUP($U$34,$AV$24:$BF$34,Q30+1))*V34</f>
        <v>9.7588977224177323E-3</v>
      </c>
      <c r="AR30" s="10">
        <v>5</v>
      </c>
      <c r="AS30" s="9">
        <f>((($W$25)^Q30)*((1-($W$25))^($U$35-Q30))*HLOOKUP($U$35,$AV$24:$BF$34,Q30+1))*V35</f>
        <v>1.6184160559609272E-3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2.2337034934662499E-6</v>
      </c>
      <c r="BQ30" s="1">
        <f>BM10+1</f>
        <v>7</v>
      </c>
      <c r="BR30" s="1">
        <v>6</v>
      </c>
      <c r="BS30" s="2">
        <f t="shared" si="14"/>
        <v>4.0479486100819295E-4</v>
      </c>
    </row>
    <row r="31" spans="1:71" x14ac:dyDescent="0.25">
      <c r="A31" s="70" t="s">
        <v>26</v>
      </c>
      <c r="B31" s="69">
        <f>(B25*D25)+(B26*D26)+(B27*D27)+(B28*D28)+(B29*D29)+(B30*D30)/(B25+B26+B27+B28+B29+B30)</f>
        <v>0.47557272933248407</v>
      </c>
      <c r="C31" s="68">
        <f>(C25*E25)+(C26*E26)+(C27*E27)+(C28*E28)+(C29*E29)+(C30*E30)/(C25+C26+C27+C28+C29+C30)</f>
        <v>0.43625091022370255</v>
      </c>
      <c r="G31" s="62">
        <v>6</v>
      </c>
      <c r="H31" s="61">
        <f>J31*L25+J30*L26+J29*L27+J28*L28</f>
        <v>7.1101615995634943E-2</v>
      </c>
      <c r="I31" s="24">
        <v>6</v>
      </c>
      <c r="J31" s="23">
        <f t="shared" si="15"/>
        <v>3.0263928779775622E-2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0.25080380741093961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0.2502854401912879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2.895591174236076E-3</v>
      </c>
      <c r="AL31" s="10">
        <v>6</v>
      </c>
      <c r="AM31" s="9">
        <f>((($W$25)^Q31)*((1-($W$25))^($U$32-Q31))*HLOOKUP($U$32,$AV$24:$BF$34,Q31+1))*V32</f>
        <v>9.2169892868786407E-3</v>
      </c>
      <c r="AN31" s="10">
        <v>6</v>
      </c>
      <c r="AO31" s="9">
        <f>((($W$25)^Q31)*((1-($W$25))^($U$33-Q31))*HLOOKUP($U$33,$AV$24:$BF$34,Q31+1))*V33</f>
        <v>1.1028455574917986E-2</v>
      </c>
      <c r="AP31" s="10">
        <v>6</v>
      </c>
      <c r="AQ31" s="9">
        <f>((($W$25)^Q31)*((1-($W$25))^($U$34-Q31))*HLOOKUP($U$34,$AV$24:$BF$34,Q31+1))*V34</f>
        <v>5.8998528931309439E-3</v>
      </c>
      <c r="AR31" s="10">
        <v>6</v>
      </c>
      <c r="AS31" s="9">
        <f>((($W$25)^Q31)*((1-($W$25))^($U$35-Q31))*HLOOKUP($U$35,$AV$24:$BF$34,Q31+1))*V35</f>
        <v>1.2230398506119736E-3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2.7170462097781435E-2</v>
      </c>
      <c r="BQ31" s="1">
        <f t="shared" ref="BQ31:BQ37" si="21">BQ24+1</f>
        <v>8</v>
      </c>
      <c r="BR31" s="1">
        <v>0</v>
      </c>
      <c r="BS31" s="2">
        <f t="shared" ref="BS31:BS38" si="22">$H$33*H39</f>
        <v>7.8582596981536786E-4</v>
      </c>
    </row>
    <row r="32" spans="1:71" x14ac:dyDescent="0.25">
      <c r="A32" s="67" t="s">
        <v>25</v>
      </c>
      <c r="B32" s="66">
        <f>IF(B17&lt;&gt;"TL",0.001,IF(B18&lt;5,0.1,IF(B18&lt;10,0.2,IF(B18&lt;14,0.3,0.35))))</f>
        <v>1E-3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2.7911692934820025E-2</v>
      </c>
      <c r="I32" s="24">
        <v>7</v>
      </c>
      <c r="J32" s="23">
        <f t="shared" si="15"/>
        <v>6.9782301158053811E-3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0.21668311753620742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0.21702217784970945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1.1940505648625583E-3</v>
      </c>
      <c r="AN32" s="10">
        <v>7</v>
      </c>
      <c r="AO32" s="9">
        <f>((($W$25)^Q32)*((1-($W$25))^($U$33-Q32))*HLOOKUP($U$33,$AV$24:$BF$34,Q32+1))*V33</f>
        <v>2.8574479580960898E-3</v>
      </c>
      <c r="AP32" s="10">
        <v>7</v>
      </c>
      <c r="AQ32" s="9">
        <f>((($W$25)^Q32)*((1-($W$25))^($U$34-Q32))*HLOOKUP($U$34,$AV$24:$BF$34,Q32+1))*V34</f>
        <v>2.2929578608747799E-3</v>
      </c>
      <c r="AR32" s="10">
        <v>7</v>
      </c>
      <c r="AS32" s="9">
        <f>((($W$25)^Q32)*((1-($W$25))^($U$35-Q32))*HLOOKUP($U$35,$AV$24:$BF$34,Q32+1))*V35</f>
        <v>6.337737319719528E-4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1.0976264728904905E-2</v>
      </c>
      <c r="BQ32" s="1">
        <f t="shared" si="21"/>
        <v>8</v>
      </c>
      <c r="BR32" s="1">
        <v>1</v>
      </c>
      <c r="BS32" s="2">
        <f t="shared" si="22"/>
        <v>2.0528232963374533E-3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8.6866123071668803E-3</v>
      </c>
      <c r="I33" s="24">
        <v>8</v>
      </c>
      <c r="J33" s="23">
        <f t="shared" si="15"/>
        <v>1.0592692113105722E-3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0.12285288001951605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0.12378968965599192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3.2390676466623951E-4</v>
      </c>
      <c r="AP33" s="10">
        <v>8</v>
      </c>
      <c r="AQ33" s="9">
        <f>((($W$25)^Q33)*((1-($W$25))^($U$34-Q33))*HLOOKUP($U$34,$AV$24:$BF$34,Q33+1))*V34</f>
        <v>5.1983768252201752E-4</v>
      </c>
      <c r="AR33" s="10">
        <v>8</v>
      </c>
      <c r="AS33" s="9">
        <f>((($W$25)^Q33)*((1-($W$25))^($U$35-Q33))*HLOOKUP($U$35,$AV$24:$BF$34,Q33+1))*V35</f>
        <v>2.1552476412231521E-4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3.5048198875518122E-3</v>
      </c>
      <c r="BQ33" s="1">
        <f t="shared" si="21"/>
        <v>8</v>
      </c>
      <c r="BR33" s="1">
        <v>2</v>
      </c>
      <c r="BS33" s="2">
        <f t="shared" si="22"/>
        <v>2.4676698971795356E-3</v>
      </c>
    </row>
    <row r="34" spans="1:71" x14ac:dyDescent="0.25">
      <c r="A34" s="65" t="s">
        <v>23</v>
      </c>
      <c r="B34" s="64">
        <f>B23*2</f>
        <v>6.0189825274223043</v>
      </c>
      <c r="C34" s="63">
        <f>C23*2</f>
        <v>3.9810174725776957</v>
      </c>
      <c r="G34" s="62">
        <v>9</v>
      </c>
      <c r="H34" s="61">
        <f>J34*L25+J33*L26+J32*L27+J31*L28</f>
        <v>2.1217880441171564E-3</v>
      </c>
      <c r="I34" s="24">
        <v>9</v>
      </c>
      <c r="J34" s="23">
        <f t="shared" si="15"/>
        <v>9.581161761393651E-5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4.1276401398748996E-2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4.2092472528929066E-2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5.2378966395981121E-5</v>
      </c>
      <c r="AR34" s="10">
        <v>9</v>
      </c>
      <c r="AS34" s="9">
        <f>((($W$25)^Q34)*((1-($W$25))^($U$35-Q34))*HLOOKUP($U$35,$AV$24:$BF$34,Q34+1))*V35</f>
        <v>4.3432651217955388E-5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8.8942047372451982E-4</v>
      </c>
      <c r="BQ34" s="1">
        <f t="shared" si="21"/>
        <v>8</v>
      </c>
      <c r="BR34" s="1">
        <v>3</v>
      </c>
      <c r="BS34" s="2">
        <f t="shared" si="22"/>
        <v>1.8437620082157472E-3</v>
      </c>
    </row>
    <row r="35" spans="1:71" ht="15.75" thickBot="1" x14ac:dyDescent="0.3">
      <c r="G35" s="60">
        <v>10</v>
      </c>
      <c r="H35" s="59">
        <f>J35*L25+J34*L26+J33*L27+J32*L28</f>
        <v>3.9266262290807321E-4</v>
      </c>
      <c r="I35" s="14">
        <v>10</v>
      </c>
      <c r="J35" s="13">
        <f t="shared" si="15"/>
        <v>3.9386556796670257E-6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6.2406643659635684E-3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6.6554677919165028E-3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3.9386556796670257E-6</v>
      </c>
      <c r="BI35" s="1">
        <f t="shared" si="19"/>
        <v>3</v>
      </c>
      <c r="BJ35" s="1">
        <v>8</v>
      </c>
      <c r="BK35" s="2">
        <f t="shared" si="20"/>
        <v>1.7650167340681495E-4</v>
      </c>
      <c r="BQ35" s="1">
        <f t="shared" si="21"/>
        <v>8</v>
      </c>
      <c r="BR35" s="1">
        <v>4</v>
      </c>
      <c r="BS35" s="2">
        <f t="shared" si="22"/>
        <v>9.7663114696231465E-4</v>
      </c>
    </row>
    <row r="36" spans="1:71" ht="15.75" x14ac:dyDescent="0.25">
      <c r="A36" s="58" t="s">
        <v>22</v>
      </c>
      <c r="B36" s="48">
        <f>SUM(BO4:BO14)</f>
        <v>0.15777154000053992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19"/>
        <v>3</v>
      </c>
      <c r="BJ36" s="1">
        <v>9</v>
      </c>
      <c r="BK36" s="2">
        <f t="shared" si="20"/>
        <v>2.6593654246752431E-5</v>
      </c>
      <c r="BQ36" s="1">
        <f t="shared" si="21"/>
        <v>8</v>
      </c>
      <c r="BR36" s="1">
        <v>5</v>
      </c>
      <c r="BS36" s="2">
        <f t="shared" si="22"/>
        <v>3.9453734621715188E-4</v>
      </c>
    </row>
    <row r="37" spans="1:71" ht="16.5" thickBot="1" x14ac:dyDescent="0.3">
      <c r="A37" s="55" t="s">
        <v>21</v>
      </c>
      <c r="B37" s="48">
        <f>SUM(BK4:BK59)</f>
        <v>0.21288057916859179</v>
      </c>
      <c r="G37" s="4"/>
      <c r="H37" s="50">
        <f>SUM(H39:H49)</f>
        <v>0.99999904470260337</v>
      </c>
      <c r="I37" s="53"/>
      <c r="J37" s="50">
        <f>SUM(J39:J49)</f>
        <v>1</v>
      </c>
      <c r="K37" s="50"/>
      <c r="L37" s="50">
        <f>SUM(L39:L49)</f>
        <v>1</v>
      </c>
      <c r="M37" s="53"/>
      <c r="N37" s="54">
        <f>SUM(N39:N49)</f>
        <v>1</v>
      </c>
      <c r="O37" s="53"/>
      <c r="P37" s="54">
        <f>SUM(P39:P49)</f>
        <v>1</v>
      </c>
      <c r="Q37" s="53"/>
      <c r="R37" s="50">
        <f>SUM(R39:R49)</f>
        <v>1</v>
      </c>
      <c r="S37" s="53"/>
      <c r="T37" s="50">
        <f>SUM(T39:T49)</f>
        <v>1</v>
      </c>
      <c r="U37" s="53"/>
      <c r="V37" s="52">
        <f>SUM(V39:V48)</f>
        <v>0.99987667709133687</v>
      </c>
      <c r="W37" s="4"/>
      <c r="X37" s="4"/>
      <c r="Y37" s="50">
        <f>SUM(Y39:Y49)</f>
        <v>6.1475216702185165E-3</v>
      </c>
      <c r="Z37" s="51"/>
      <c r="AA37" s="50">
        <f>SUM(AA39:AA49)</f>
        <v>4.0753022154406189E-2</v>
      </c>
      <c r="AB37" s="51"/>
      <c r="AC37" s="50">
        <f>SUM(AC39:AC49)</f>
        <v>0.12163272117761502</v>
      </c>
      <c r="AD37" s="51"/>
      <c r="AE37" s="50">
        <f>SUM(AE39:AE49)</f>
        <v>0.21527658729124707</v>
      </c>
      <c r="AF37" s="51"/>
      <c r="AG37" s="50">
        <f>SUM(AG39:AG49)</f>
        <v>0.2502875278421588</v>
      </c>
      <c r="AH37" s="51"/>
      <c r="AI37" s="50">
        <f>SUM(AI39:AI49)</f>
        <v>0.19983079178567795</v>
      </c>
      <c r="AJ37" s="51"/>
      <c r="AK37" s="50">
        <f>SUM(AK39:AK49)</f>
        <v>0.11105488346788896</v>
      </c>
      <c r="AL37" s="51"/>
      <c r="AM37" s="50">
        <f>SUM(AM39:AM49)</f>
        <v>4.2492940875405526E-2</v>
      </c>
      <c r="AN37" s="51"/>
      <c r="AO37" s="50">
        <f>SUM(AO39:AO49)</f>
        <v>1.075568183593641E-2</v>
      </c>
      <c r="AP37" s="51"/>
      <c r="AQ37" s="50">
        <f>SUM(AQ39:AQ49)</f>
        <v>1.6449989907823673E-3</v>
      </c>
      <c r="AR37" s="51"/>
      <c r="AS37" s="50">
        <f>SUM(AS39:AS49)</f>
        <v>1.2332290866312598E-4</v>
      </c>
      <c r="BI37" s="1">
        <f t="shared" si="19"/>
        <v>3</v>
      </c>
      <c r="BJ37" s="1">
        <v>10</v>
      </c>
      <c r="BK37" s="2">
        <f t="shared" si="20"/>
        <v>2.9209731330880164E-6</v>
      </c>
      <c r="BQ37" s="1">
        <f t="shared" si="21"/>
        <v>8</v>
      </c>
      <c r="BR37" s="1">
        <v>6</v>
      </c>
      <c r="BS37" s="2">
        <f t="shared" si="22"/>
        <v>1.2597931733209462E-4</v>
      </c>
    </row>
    <row r="38" spans="1:71" ht="16.5" thickBot="1" x14ac:dyDescent="0.3">
      <c r="A38" s="49" t="s">
        <v>20</v>
      </c>
      <c r="B38" s="48">
        <f>SUM(BS4:BS47)</f>
        <v>0.62889835732087307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9.8380643518131937E-3</v>
      </c>
      <c r="BQ38" s="1">
        <f>BM11+1</f>
        <v>8</v>
      </c>
      <c r="BR38" s="1">
        <v>7</v>
      </c>
      <c r="BS38" s="2">
        <f t="shared" si="22"/>
        <v>3.1969855141192841E-5</v>
      </c>
    </row>
    <row r="39" spans="1:71" x14ac:dyDescent="0.25">
      <c r="G39" s="38">
        <v>0</v>
      </c>
      <c r="H39" s="37">
        <f>L39*J39</f>
        <v>9.0464031549678234E-2</v>
      </c>
      <c r="I39" s="36">
        <v>0</v>
      </c>
      <c r="J39" s="34">
        <f t="shared" ref="J39:J49" si="26">Y39+AA39+AC39+AE39+AG39+AI39+AK39+AM39+AO39+AQ39+AS39</f>
        <v>0.14746140262805932</v>
      </c>
      <c r="K39" s="35">
        <v>0</v>
      </c>
      <c r="L39" s="34">
        <f>AH18</f>
        <v>0.61347600075292186</v>
      </c>
      <c r="M39" s="17">
        <v>0</v>
      </c>
      <c r="N39" s="32">
        <f>(1-$C$24)^$B$21</f>
        <v>7.8997875705385703E-2</v>
      </c>
      <c r="O39" s="16">
        <v>0</v>
      </c>
      <c r="P39" s="32">
        <f t="shared" ref="P39:P44" si="27">N39</f>
        <v>7.8997875705385703E-2</v>
      </c>
      <c r="Q39" s="10">
        <v>0</v>
      </c>
      <c r="R39" s="11">
        <f>P39*N39</f>
        <v>6.2406643659635684E-3</v>
      </c>
      <c r="S39" s="16">
        <v>0</v>
      </c>
      <c r="T39" s="15">
        <f>(1-$C$33)^(INT(B23*2*(1-B31)))</f>
        <v>0.98507487500000002</v>
      </c>
      <c r="U39" s="24">
        <v>0</v>
      </c>
      <c r="V39" s="23">
        <f>R39*T39</f>
        <v>6.1475216702185165E-3</v>
      </c>
      <c r="W39" s="33">
        <f>C31</f>
        <v>0.43625091022370255</v>
      </c>
      <c r="X39" s="10">
        <v>0</v>
      </c>
      <c r="Y39" s="9">
        <f>V39</f>
        <v>6.1475216702185165E-3</v>
      </c>
      <c r="Z39" s="10">
        <v>0</v>
      </c>
      <c r="AA39" s="9">
        <f>((1-W39)^Z40)*V40</f>
        <v>2.2974479145179773E-2</v>
      </c>
      <c r="AB39" s="10">
        <v>0</v>
      </c>
      <c r="AC39" s="9">
        <f>(((1-$W$39)^AB41))*V41</f>
        <v>3.8656464421596877E-2</v>
      </c>
      <c r="AD39" s="10">
        <v>0</v>
      </c>
      <c r="AE39" s="9">
        <f>(((1-$W$39)^AB42))*V42</f>
        <v>3.857041938899998E-2</v>
      </c>
      <c r="AF39" s="10">
        <v>0</v>
      </c>
      <c r="AG39" s="9">
        <f>(((1-$W$39)^AB43))*V43</f>
        <v>2.5280323284340378E-2</v>
      </c>
      <c r="AH39" s="10">
        <v>0</v>
      </c>
      <c r="AI39" s="9">
        <f>(((1-$W$39)^AB44))*V44</f>
        <v>1.1378674590702839E-2</v>
      </c>
      <c r="AJ39" s="10">
        <v>0</v>
      </c>
      <c r="AK39" s="9">
        <f>(((1-$W$39)^AB45))*V45</f>
        <v>3.5649445802970678E-3</v>
      </c>
      <c r="AL39" s="10">
        <v>0</v>
      </c>
      <c r="AM39" s="9">
        <f>(((1-$W$39)^AB46))*V46</f>
        <v>7.6898481646297113E-4</v>
      </c>
      <c r="AN39" s="10">
        <v>0</v>
      </c>
      <c r="AO39" s="9">
        <f>(((1-$W$39)^AB47))*V47</f>
        <v>1.097298476695079E-4</v>
      </c>
      <c r="AP39" s="10">
        <v>0</v>
      </c>
      <c r="AQ39" s="9">
        <f>(((1-$W$39)^AB48))*V48</f>
        <v>9.461027807664047E-6</v>
      </c>
      <c r="AR39" s="10">
        <v>0</v>
      </c>
      <c r="AS39" s="9">
        <f>(((1-$W$39)^AB49))*V49</f>
        <v>3.998547837174465E-7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3.1413822868583017E-3</v>
      </c>
      <c r="BQ39" s="1">
        <f t="shared" ref="BQ39:BQ46" si="28">BQ31+1</f>
        <v>9</v>
      </c>
      <c r="BR39" s="1">
        <v>0</v>
      </c>
      <c r="BS39" s="2">
        <f t="shared" ref="BS39:BS47" si="29">$H$34*H39</f>
        <v>1.919455005647445E-4</v>
      </c>
    </row>
    <row r="40" spans="1:71" x14ac:dyDescent="0.25">
      <c r="G40" s="27">
        <v>1</v>
      </c>
      <c r="H40" s="26">
        <f>L39*J40+L40*J39</f>
        <v>0.23632035409750859</v>
      </c>
      <c r="I40" s="24">
        <v>1</v>
      </c>
      <c r="J40" s="23">
        <f t="shared" si="26"/>
        <v>0.31089196022375704</v>
      </c>
      <c r="K40" s="25">
        <v>1</v>
      </c>
      <c r="L40" s="23">
        <f>AI18</f>
        <v>0.30920360759219878</v>
      </c>
      <c r="M40" s="17">
        <v>1</v>
      </c>
      <c r="N40" s="32">
        <f>(($C$24)^M26)*((1-($C$24))^($B$21-M26))*HLOOKUP($B$21,$AV$24:$BF$34,M26+1)</f>
        <v>0.26125007179107579</v>
      </c>
      <c r="O40" s="16">
        <v>1</v>
      </c>
      <c r="P40" s="32">
        <f t="shared" si="27"/>
        <v>0.26125007179107579</v>
      </c>
      <c r="Q40" s="10">
        <v>1</v>
      </c>
      <c r="R40" s="11">
        <f>P40*N39+P39*N40</f>
        <v>4.1276401398748996E-2</v>
      </c>
      <c r="S40" s="16">
        <v>1</v>
      </c>
      <c r="T40" s="15">
        <f t="shared" ref="T40:T49" si="30">(($C$33)^S40)*((1-($C$33))^(INT($B$23*2*(1-$B$31))-S40))*HLOOKUP(INT($B$23*2*(1-$B$31)),$AV$24:$BF$34,S40+1)</f>
        <v>1.4850375000000002E-2</v>
      </c>
      <c r="U40" s="24">
        <v>1</v>
      </c>
      <c r="V40" s="23">
        <f>R40*T39+T40*R39</f>
        <v>4.0753022154406189E-2</v>
      </c>
      <c r="W40" s="12"/>
      <c r="X40" s="10">
        <v>1</v>
      </c>
      <c r="Y40" s="11"/>
      <c r="Z40" s="10">
        <v>1</v>
      </c>
      <c r="AA40" s="9">
        <f>(1-((1-W39)^Z40))*V40</f>
        <v>1.7778543009226416E-2</v>
      </c>
      <c r="AB40" s="10">
        <v>1</v>
      </c>
      <c r="AC40" s="9">
        <f>((($W$39)^M40)*((1-($W$39))^($U$27-M40))*HLOOKUP($U$27,$AV$24:$BF$34,M40+1))*V41</f>
        <v>5.9827742858595545E-2</v>
      </c>
      <c r="AD40" s="10">
        <v>1</v>
      </c>
      <c r="AE40" s="9">
        <f>((($W$39)^M40)*((1-($W$39))^($U$28-M40))*HLOOKUP($U$28,$AV$24:$BF$34,M40+1))*V42</f>
        <v>8.9541859337660859E-2</v>
      </c>
      <c r="AF40" s="10">
        <v>1</v>
      </c>
      <c r="AG40" s="9">
        <f>((($W$39)^M40)*((1-($W$39))^($U$29-M40))*HLOOKUP($U$29,$AV$24:$BF$34,M40+1))*V43</f>
        <v>7.8251578537673339E-2</v>
      </c>
      <c r="AH40" s="10">
        <v>1</v>
      </c>
      <c r="AI40" s="9">
        <f>((($W$39)^M40)*((1-($W$39))^($U$30-M40))*HLOOKUP($U$30,$AV$24:$BF$34,M40+1))*V44</f>
        <v>4.4026298555117756E-2</v>
      </c>
      <c r="AJ40" s="10">
        <v>1</v>
      </c>
      <c r="AK40" s="9">
        <f>((($W$39)^M40)*((1-($W$39))^($U$31-M40))*HLOOKUP($U$31,$AV$24:$BF$34,M40+1))*V45</f>
        <v>1.6552154278444448E-2</v>
      </c>
      <c r="AL40" s="10">
        <v>1</v>
      </c>
      <c r="AM40" s="9">
        <f>((($W$39)^Q40)*((1-($W$39))^($U$32-Q40))*HLOOKUP($U$32,$AV$24:$BF$34,Q40+1))*V46</f>
        <v>4.1654919280545138E-3</v>
      </c>
      <c r="AN40" s="10">
        <v>1</v>
      </c>
      <c r="AO40" s="9">
        <f>((($W$39)^Q40)*((1-($W$39))^($U$33-Q40))*HLOOKUP($U$33,$AV$24:$BF$34,Q40+1))*V47</f>
        <v>6.7930569528406822E-4</v>
      </c>
      <c r="AP40" s="10">
        <v>1</v>
      </c>
      <c r="AQ40" s="9">
        <f>((($W$39)^Q40)*((1-($W$39))^($U$34-Q40))*HLOOKUP($U$34,$AV$24:$BF$34,Q40+1))*V48</f>
        <v>6.5891792303286872E-5</v>
      </c>
      <c r="AR40" s="10">
        <v>1</v>
      </c>
      <c r="AS40" s="9">
        <f>((($W$39)^Q40)*((1-($W$39))^($U$35-Q40))*HLOOKUP($U$35,$AV$24:$BF$34,Q40+1))*V49</f>
        <v>3.094231396865873E-6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7.9719067209442214E-4</v>
      </c>
      <c r="BQ40" s="1">
        <f t="shared" si="28"/>
        <v>9</v>
      </c>
      <c r="BR40" s="1">
        <v>1</v>
      </c>
      <c r="BS40" s="2">
        <f t="shared" si="29"/>
        <v>5.0142170190562655E-4</v>
      </c>
    </row>
    <row r="41" spans="1:71" x14ac:dyDescent="0.25">
      <c r="G41" s="27">
        <v>2</v>
      </c>
      <c r="H41" s="26">
        <f>L39*J41+J40*L40+J39*L41</f>
        <v>0.28407736064651889</v>
      </c>
      <c r="I41" s="24">
        <v>2</v>
      </c>
      <c r="J41" s="23">
        <f t="shared" si="26"/>
        <v>0.29515574602211181</v>
      </c>
      <c r="K41" s="25">
        <v>2</v>
      </c>
      <c r="L41" s="23">
        <f>AJ18</f>
        <v>4.6639175963757731E-2</v>
      </c>
      <c r="M41" s="17">
        <v>2</v>
      </c>
      <c r="N41" s="32">
        <f>(($C$24)^M27)*((1-($C$24))^($B$21-M27))*HLOOKUP($B$21,$AV$24:$BF$34,M27+1)</f>
        <v>0.34558701434139538</v>
      </c>
      <c r="O41" s="16">
        <v>2</v>
      </c>
      <c r="P41" s="32">
        <f t="shared" si="27"/>
        <v>0.34558701434139538</v>
      </c>
      <c r="Q41" s="10">
        <v>2</v>
      </c>
      <c r="R41" s="11">
        <f>P41*N39+P40*N40+P39*N41</f>
        <v>0.12285288001951605</v>
      </c>
      <c r="S41" s="16">
        <v>2</v>
      </c>
      <c r="T41" s="15">
        <f t="shared" si="30"/>
        <v>7.4625000000000011E-5</v>
      </c>
      <c r="U41" s="24">
        <v>2</v>
      </c>
      <c r="V41" s="23">
        <f>R41*T39+T40*R40+R39*T41</f>
        <v>0.12163272117761502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2.3148513897422601E-2</v>
      </c>
      <c r="AD41" s="10">
        <v>2</v>
      </c>
      <c r="AE41" s="9">
        <f>((($W$39)^M41)*((1-($W$39))^($U$28-M41))*HLOOKUP($U$28,$AV$24:$BF$34,M41+1))*V42</f>
        <v>6.9290963564442906E-2</v>
      </c>
      <c r="AF41" s="10">
        <v>2</v>
      </c>
      <c r="AG41" s="9">
        <f>((($W$39)^M41)*((1-($W$39))^($U$29-M41))*HLOOKUP($U$29,$AV$24:$BF$34,M41+1))*V43</f>
        <v>9.0831159595435404E-2</v>
      </c>
      <c r="AH41" s="10">
        <v>2</v>
      </c>
      <c r="AI41" s="9">
        <f>((($W$39)^M41)*((1-($W$39))^($U$30-M41))*HLOOKUP($U$30,$AV$24:$BF$34,M41+1))*V44</f>
        <v>6.813851469302408E-2</v>
      </c>
      <c r="AJ41" s="10">
        <v>2</v>
      </c>
      <c r="AK41" s="9">
        <f>((($W$39)^M41)*((1-($W$39))^($U$31-M41))*HLOOKUP($U$31,$AV$24:$BF$34,M41+1))*V45</f>
        <v>3.2021747356611618E-2</v>
      </c>
      <c r="AL41" s="10">
        <v>2</v>
      </c>
      <c r="AM41" s="9">
        <f>((($W$39)^Q41)*((1-($W$39))^($U$32-Q41))*HLOOKUP($U$32,$AV$24:$BF$34,Q41+1))*V46</f>
        <v>9.6702576275432411E-3</v>
      </c>
      <c r="AN41" s="10">
        <v>2</v>
      </c>
      <c r="AO41" s="9">
        <f>((($W$39)^Q41)*((1-($W$39))^($U$33-Q41))*HLOOKUP($U$33,$AV$24:$BF$34,Q41+1))*V47</f>
        <v>1.8398558266745052E-3</v>
      </c>
      <c r="AP41" s="10">
        <v>2</v>
      </c>
      <c r="AQ41" s="9">
        <f>((($W$39)^Q41)*((1-($W$39))^($U$34-Q41))*HLOOKUP($U$34,$AV$24:$BF$34,Q41+1))*V48</f>
        <v>2.0395849777770151E-4</v>
      </c>
      <c r="AR41" s="10">
        <v>2</v>
      </c>
      <c r="AS41" s="9">
        <f>((($W$39)^Q41)*((1-($W$39))^($U$35-Q41))*HLOOKUP($U$35,$AV$24:$BF$34,Q41+1))*V49</f>
        <v>1.077496317976339E-5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1.5819906535291845E-4</v>
      </c>
      <c r="BQ41" s="1">
        <f t="shared" si="28"/>
        <v>9</v>
      </c>
      <c r="BR41" s="1">
        <v>2</v>
      </c>
      <c r="BS41" s="2">
        <f t="shared" si="29"/>
        <v>6.0275194742414142E-4</v>
      </c>
    </row>
    <row r="42" spans="1:71" ht="15" customHeight="1" x14ac:dyDescent="0.25">
      <c r="G42" s="27">
        <v>3</v>
      </c>
      <c r="H42" s="26">
        <f>J42*L39+J41*L40+L42*J39+L41*J40</f>
        <v>0.21225328620854339</v>
      </c>
      <c r="I42" s="24">
        <v>3</v>
      </c>
      <c r="J42" s="23">
        <f t="shared" si="26"/>
        <v>0.16621029131222104</v>
      </c>
      <c r="K42" s="25">
        <v>3</v>
      </c>
      <c r="L42" s="23">
        <f>AK18</f>
        <v>3.068121569112163E-2</v>
      </c>
      <c r="M42" s="17">
        <v>3</v>
      </c>
      <c r="N42" s="32">
        <f>(($C$24)^M28)*((1-($C$24))^($B$21-M28))*HLOOKUP($B$21,$AV$24:$BF$34,M28+1)</f>
        <v>0.22857483571700118</v>
      </c>
      <c r="O42" s="16">
        <v>3</v>
      </c>
      <c r="P42" s="32">
        <f t="shared" si="27"/>
        <v>0.22857483571700118</v>
      </c>
      <c r="Q42" s="10">
        <v>3</v>
      </c>
      <c r="R42" s="11">
        <f>P42*N39+P41*N40+P40*N41+P39*N42</f>
        <v>0.21668311753620742</v>
      </c>
      <c r="S42" s="16">
        <v>3</v>
      </c>
      <c r="T42" s="15">
        <f t="shared" si="30"/>
        <v>1.2500000000000002E-7</v>
      </c>
      <c r="U42" s="24">
        <v>3</v>
      </c>
      <c r="V42" s="23">
        <f>R42*T39+R41*T40+R40*T41+R39*T42</f>
        <v>0.21527658729124707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1.7873345000143336E-2</v>
      </c>
      <c r="AF42" s="10">
        <v>3</v>
      </c>
      <c r="AG42" s="9">
        <f>((($W$39)^M42)*((1-($W$39))^($U$29-M42))*HLOOKUP($U$29,$AV$24:$BF$34,M42+1))*V43</f>
        <v>4.6859116072254577E-2</v>
      </c>
      <c r="AH42" s="10">
        <v>3</v>
      </c>
      <c r="AI42" s="9">
        <f>((($W$39)^M42)*((1-($W$39))^($U$30-M42))*HLOOKUP($U$30,$AV$24:$BF$34,M42+1))*V44</f>
        <v>5.2728225366924002E-2</v>
      </c>
      <c r="AJ42" s="10">
        <v>3</v>
      </c>
      <c r="AK42" s="9">
        <f>((($W$39)^M42)*((1-($W$39))^($U$31-M42))*HLOOKUP($U$31,$AV$24:$BF$34,M42+1))*V45</f>
        <v>3.3039560056332941E-2</v>
      </c>
      <c r="AL42" s="10">
        <v>3</v>
      </c>
      <c r="AM42" s="9">
        <f>((($W$39)^Q42)*((1-($W$39))^($U$32-Q42))*HLOOKUP($U$32,$AV$24:$BF$34,Q42+1))*V46</f>
        <v>1.247203400892247E-2</v>
      </c>
      <c r="AN42" s="10">
        <v>3</v>
      </c>
      <c r="AO42" s="9">
        <f>((($W$39)^Q42)*((1-($W$39))^($U$33-Q42))*HLOOKUP($U$33,$AV$24:$BF$34,Q42+1))*V47</f>
        <v>2.8475035920169107E-3</v>
      </c>
      <c r="AP42" s="10">
        <v>3</v>
      </c>
      <c r="AQ42" s="9">
        <f>((($W$39)^Q42)*((1-($W$39))^($U$34-Q42))*HLOOKUP($U$34,$AV$24:$BF$34,Q42+1))*V48</f>
        <v>3.6827232387539601E-4</v>
      </c>
      <c r="AR42" s="10">
        <v>3</v>
      </c>
      <c r="AS42" s="9">
        <f>((($W$39)^Q42)*((1-($W$39))^($U$35-Q42))*HLOOKUP($U$35,$AV$24:$BF$34,Q42+1))*V49</f>
        <v>2.2234891751406212E-5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2.3835985036006262E-5</v>
      </c>
      <c r="BQ42" s="1">
        <f t="shared" si="28"/>
        <v>9</v>
      </c>
      <c r="BR42" s="1">
        <v>3</v>
      </c>
      <c r="BS42" s="2">
        <f t="shared" si="29"/>
        <v>4.5035648500186431E-4</v>
      </c>
    </row>
    <row r="43" spans="1:71" ht="15" customHeight="1" x14ac:dyDescent="0.25">
      <c r="G43" s="27">
        <v>4</v>
      </c>
      <c r="H43" s="26">
        <f>J43*L39+J42*L40+J41*L41+J40*L42</f>
        <v>0.11242946184631103</v>
      </c>
      <c r="I43" s="24">
        <v>4</v>
      </c>
      <c r="J43" s="23">
        <f t="shared" si="26"/>
        <v>6.1505708525863845E-2</v>
      </c>
      <c r="K43" s="25">
        <v>4</v>
      </c>
      <c r="L43" s="23"/>
      <c r="M43" s="17">
        <v>4</v>
      </c>
      <c r="N43" s="32">
        <f>(($C$24)^M29)*((1-($C$24))^($B$21-M29))*HLOOKUP($B$21,$AV$24:$BF$34,M29+1)</f>
        <v>7.5590883561732047E-2</v>
      </c>
      <c r="O43" s="16">
        <v>4</v>
      </c>
      <c r="P43" s="32">
        <f t="shared" si="27"/>
        <v>7.5590883561732047E-2</v>
      </c>
      <c r="Q43" s="10">
        <v>4</v>
      </c>
      <c r="R43" s="11">
        <f>P43*N39+P42*N40+P41*N41+P40*N42+P39*N43</f>
        <v>0.25080380741093961</v>
      </c>
      <c r="S43" s="16">
        <v>4</v>
      </c>
      <c r="T43" s="15">
        <f t="shared" si="30"/>
        <v>0</v>
      </c>
      <c r="U43" s="24">
        <v>4</v>
      </c>
      <c r="V43" s="23">
        <f>T43*R39+T42*R40+T41*R41+T40*R42+T39*R43</f>
        <v>0.2502875278421588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9.0653503524550962E-3</v>
      </c>
      <c r="AH43" s="10">
        <v>4</v>
      </c>
      <c r="AI43" s="9">
        <f>((($W$39)^M43)*((1-($W$39))^($U$30-M43))*HLOOKUP($U$30,$AV$24:$BF$34,M43+1))*V44</f>
        <v>2.0401572905358382E-2</v>
      </c>
      <c r="AJ43" s="10">
        <v>4</v>
      </c>
      <c r="AK43" s="9">
        <f>((($W$39)^M43)*((1-($W$39))^($U$31-M43))*HLOOKUP($U$31,$AV$24:$BF$34,M43+1))*V45</f>
        <v>1.9175469738255454E-2</v>
      </c>
      <c r="AL43" s="10">
        <v>4</v>
      </c>
      <c r="AM43" s="9">
        <f>((($W$39)^Q43)*((1-($W$39))^($U$32-Q43))*HLOOKUP($U$32,$AV$24:$BF$34,Q43+1))*V46</f>
        <v>9.651343633907121E-3</v>
      </c>
      <c r="AN43" s="10">
        <v>4</v>
      </c>
      <c r="AO43" s="9">
        <f>((($W$39)^Q43)*((1-($W$39))^($U$33-Q43))*HLOOKUP($U$33,$AV$24:$BF$34,Q43+1))*V47</f>
        <v>2.7543858970476799E-3</v>
      </c>
      <c r="AP43" s="10">
        <v>4</v>
      </c>
      <c r="AQ43" s="9">
        <f>((($W$39)^Q43)*((1-($W$39))^($U$34-Q43))*HLOOKUP($U$34,$AV$24:$BF$34,Q43+1))*V48</f>
        <v>4.274751110407768E-4</v>
      </c>
      <c r="AR43" s="10">
        <v>4</v>
      </c>
      <c r="AS43" s="9">
        <f>((($W$39)^Q43)*((1-($W$39))^($U$35-Q43))*HLOOKUP($U$35,$AV$24:$BF$34,Q43+1))*V49</f>
        <v>3.0110887799339383E-5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2.6180784049023527E-6</v>
      </c>
      <c r="BQ43" s="1">
        <f t="shared" si="28"/>
        <v>9</v>
      </c>
      <c r="BR43" s="1">
        <v>4</v>
      </c>
      <c r="BS43" s="2">
        <f t="shared" si="29"/>
        <v>2.3855148795202873E-4</v>
      </c>
    </row>
    <row r="44" spans="1:71" ht="15" customHeight="1" thickBot="1" x14ac:dyDescent="0.3">
      <c r="G44" s="27">
        <v>5</v>
      </c>
      <c r="H44" s="26">
        <f>J44*L39+J43*L40+J42*L41+J41*L42</f>
        <v>4.5419011723550645E-2</v>
      </c>
      <c r="I44" s="24">
        <v>5</v>
      </c>
      <c r="J44" s="23">
        <f t="shared" si="26"/>
        <v>1.5638063458698656E-2</v>
      </c>
      <c r="K44" s="25">
        <v>5</v>
      </c>
      <c r="L44" s="23"/>
      <c r="M44" s="17">
        <v>5</v>
      </c>
      <c r="N44" s="32">
        <f>(($C$24)^M30)*((1-($C$24))^($B$21-M30))*HLOOKUP($B$21,$AV$24:$BF$34,M30+1)</f>
        <v>9.9993188834099321E-3</v>
      </c>
      <c r="O44" s="16">
        <v>5</v>
      </c>
      <c r="P44" s="32">
        <f t="shared" si="27"/>
        <v>9.9993188834099321E-3</v>
      </c>
      <c r="Q44" s="10">
        <v>5</v>
      </c>
      <c r="R44" s="11">
        <f>P44*N39+P43*N40+P42*N41+P41*N42+P40*N43+P39*N44</f>
        <v>0.19906108747311371</v>
      </c>
      <c r="S44" s="16">
        <v>5</v>
      </c>
      <c r="T44" s="15">
        <f t="shared" si="30"/>
        <v>0</v>
      </c>
      <c r="U44" s="24">
        <v>5</v>
      </c>
      <c r="V44" s="23">
        <f>T44*R39+T43*R40+T42*R41+T41*R42+T40*R43+T39*R44</f>
        <v>0.19983079178567795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3.1575056745509005E-3</v>
      </c>
      <c r="AJ44" s="10">
        <v>5</v>
      </c>
      <c r="AK44" s="9">
        <f>((($W$39)^M44)*((1-($W$39))^($U$31-M44))*HLOOKUP($U$31,$AV$24:$BF$34,M44+1))*V45</f>
        <v>5.9354888754502219E-3</v>
      </c>
      <c r="AL44" s="10">
        <v>5</v>
      </c>
      <c r="AM44" s="9">
        <f>((($W$39)^Q44)*((1-($W$39))^($U$32-Q44))*HLOOKUP($U$32,$AV$24:$BF$34,Q44+1))*V46</f>
        <v>4.4811504141082977E-3</v>
      </c>
      <c r="AN44" s="10">
        <v>5</v>
      </c>
      <c r="AO44" s="9">
        <f>((($W$39)^Q44)*((1-($W$39))^($U$33-Q44))*HLOOKUP($U$33,$AV$24:$BF$34,Q44+1))*V47</f>
        <v>1.7051605070208674E-3</v>
      </c>
      <c r="AP44" s="10">
        <v>5</v>
      </c>
      <c r="AQ44" s="9">
        <f>((($W$39)^Q44)*((1-($W$39))^($U$34-Q44))*HLOOKUP($U$34,$AV$24:$BF$34,Q44+1))*V48</f>
        <v>3.3079682020154975E-4</v>
      </c>
      <c r="AR44" s="10">
        <v>5</v>
      </c>
      <c r="AS44" s="9">
        <f>((($W$39)^Q44)*((1-($W$39))^($U$35-Q44))*HLOOKUP($U$35,$AV$24:$BF$34,Q44+1))*V49</f>
        <v>2.7961167366818611E-5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2.0600682258042772E-3</v>
      </c>
      <c r="BQ44" s="1">
        <f t="shared" si="28"/>
        <v>9</v>
      </c>
      <c r="BR44" s="1">
        <v>5</v>
      </c>
      <c r="BS44" s="2">
        <f t="shared" si="29"/>
        <v>9.6369516050646726E-5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1.4502698276076569E-2</v>
      </c>
      <c r="I45" s="24">
        <v>6</v>
      </c>
      <c r="J45" s="23">
        <f t="shared" si="26"/>
        <v>2.7698610479594101E-3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0.10971755659841356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0.11105488346788894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7.6551858249719758E-4</v>
      </c>
      <c r="AL45" s="10">
        <v>6</v>
      </c>
      <c r="AM45" s="9">
        <f>((($W$39)^Q45)*((1-($W$39))^($U$32-Q45))*HLOOKUP($U$32,$AV$24:$BF$34,Q45+1))*V46</f>
        <v>1.1558959960832913E-3</v>
      </c>
      <c r="AN45" s="10">
        <v>6</v>
      </c>
      <c r="AO45" s="9">
        <f>((($W$39)^Q45)*((1-($W$39))^($U$33-Q45))*HLOOKUP($U$33,$AV$24:$BF$34,Q45+1))*V47</f>
        <v>6.59759666805443E-4</v>
      </c>
      <c r="AP45" s="10">
        <v>6</v>
      </c>
      <c r="AQ45" s="9">
        <f>((($W$39)^Q45)*((1-($W$39))^($U$34-Q45))*HLOOKUP($U$34,$AV$24:$BF$34,Q45+1))*V48</f>
        <v>1.7065560610696114E-4</v>
      </c>
      <c r="AR45" s="10">
        <v>6</v>
      </c>
      <c r="AS45" s="9">
        <f>((($W$39)^Q45)*((1-($W$39))^($U$35-Q45))*HLOOKUP($U$35,$AV$24:$BF$34,Q45+1))*V49</f>
        <v>1.8031196466517067E-5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5.2278488369898713E-4</v>
      </c>
      <c r="BQ45" s="1">
        <f t="shared" si="28"/>
        <v>9</v>
      </c>
      <c r="BR45" s="1">
        <v>6</v>
      </c>
      <c r="BS45" s="2">
        <f t="shared" si="29"/>
        <v>3.0771651809617762E-5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3.680359386456806E-3</v>
      </c>
      <c r="I46" s="24">
        <v>7</v>
      </c>
      <c r="J46" s="23">
        <f t="shared" si="26"/>
        <v>3.3822358942167034E-4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4.146761710038209E-2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4.2492940875405526E-2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1.2778245032361721E-4</v>
      </c>
      <c r="AN46" s="10">
        <v>7</v>
      </c>
      <c r="AO46" s="9">
        <f>((($W$39)^Q46)*((1-($W$39))^($U$33-Q46))*HLOOKUP($U$33,$AV$24:$BF$34,Q46+1))*V47</f>
        <v>1.458707481205219E-4</v>
      </c>
      <c r="AP46" s="10">
        <v>7</v>
      </c>
      <c r="AQ46" s="9">
        <f>((($W$39)^Q46)*((1-($W$39))^($U$34-Q46))*HLOOKUP($U$34,$AV$24:$BF$34,Q46+1))*V48</f>
        <v>5.6597111462539069E-5</v>
      </c>
      <c r="AR46" s="10">
        <v>7</v>
      </c>
      <c r="AS46" s="9">
        <f>((($W$39)^Q46)*((1-($W$39))^($U$35-Q46))*HLOOKUP($U$35,$AV$24:$BF$34,Q46+1))*V49</f>
        <v>7.9732795149921911E-6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1.0374441507767437E-4</v>
      </c>
      <c r="BQ46" s="1">
        <f t="shared" si="28"/>
        <v>9</v>
      </c>
      <c r="BR46" s="1">
        <v>7</v>
      </c>
      <c r="BS46" s="2">
        <f t="shared" si="29"/>
        <v>7.8089425442384051E-6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7.3035151499031305E-4</v>
      </c>
      <c r="I47" s="24">
        <v>8</v>
      </c>
      <c r="J47" s="23">
        <f t="shared" si="26"/>
        <v>2.7373077624914133E-5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1.0285167019757997E-2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1.075568183593641E-2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1.4110055296905617E-5</v>
      </c>
      <c r="AP47" s="10">
        <v>8</v>
      </c>
      <c r="AQ47" s="9">
        <f>((($W$39)^Q47)*((1-($W$39))^($U$34-Q47))*HLOOKUP($U$34,$AV$24:$BF$34,Q47+1))*V48</f>
        <v>1.0949259980784416E-5</v>
      </c>
      <c r="AR47" s="10">
        <v>8</v>
      </c>
      <c r="AS47" s="9">
        <f>((($W$39)^Q47)*((1-($W$39))^($U$35-Q47))*HLOOKUP($U$35,$AV$24:$BF$34,Q47+1))*V49</f>
        <v>2.3137623472240975E-6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1.5631257490959947E-5</v>
      </c>
      <c r="BQ47" s="1">
        <f>BM12+1</f>
        <v>9</v>
      </c>
      <c r="BR47" s="1">
        <v>8</v>
      </c>
      <c r="BS47" s="2">
        <f t="shared" si="29"/>
        <v>1.5496511125092983E-6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1.1004267151324513E-4</v>
      </c>
      <c r="I48" s="24">
        <v>9</v>
      </c>
      <c r="J48" s="23">
        <f t="shared" si="26"/>
        <v>1.3393244571949041E-6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1.5117146988249373E-3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1.6449989907823671E-3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9.4144022570761917E-7</v>
      </c>
      <c r="AR48" s="10">
        <v>9</v>
      </c>
      <c r="AS48" s="9">
        <f>((($W$39)^Q48)*((1-($W$39))^($U$35-Q48))*HLOOKUP($U$35,$AV$24:$BF$34,Q48+1))*V49</f>
        <v>3.9788423148728483E-7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1.716893915511838E-6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1.2086781455492214E-5</v>
      </c>
      <c r="I49" s="14">
        <v>10</v>
      </c>
      <c r="J49" s="13">
        <f t="shared" si="26"/>
        <v>3.0789824994460564E-8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9.9986378132118446E-5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1.2332290866312601E-4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3.0789824994460564E-8</v>
      </c>
      <c r="BI49" s="1">
        <f>BQ14+1</f>
        <v>6</v>
      </c>
      <c r="BJ49" s="1">
        <v>0</v>
      </c>
      <c r="BK49" s="2">
        <f>$H$31*H39</f>
        <v>6.4321388326622261E-3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2.6167949982178245E-4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5.1929172960671458E-5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7.8242117730685519E-6</v>
      </c>
    </row>
    <row r="53" spans="1:63" x14ac:dyDescent="0.25">
      <c r="BI53" s="1">
        <f>BI48+1</f>
        <v>6</v>
      </c>
      <c r="BJ53" s="1">
        <v>10</v>
      </c>
      <c r="BK53" s="2">
        <f>$H$31*H49</f>
        <v>8.5938969367156898E-7</v>
      </c>
    </row>
    <row r="54" spans="1:63" x14ac:dyDescent="0.25">
      <c r="BI54" s="1">
        <f>BI51+1</f>
        <v>7</v>
      </c>
      <c r="BJ54" s="1">
        <v>8</v>
      </c>
      <c r="BK54" s="2">
        <f>$H$32*H47</f>
        <v>2.0385347220890222E-5</v>
      </c>
    </row>
    <row r="55" spans="1:63" x14ac:dyDescent="0.25">
      <c r="BI55" s="1">
        <f>BI52+1</f>
        <v>7</v>
      </c>
      <c r="BJ55" s="1">
        <v>9</v>
      </c>
      <c r="BK55" s="2">
        <f>$H$32*H48</f>
        <v>3.071477257004965E-6</v>
      </c>
    </row>
    <row r="56" spans="1:63" x14ac:dyDescent="0.25">
      <c r="BI56" s="1">
        <f>BI53+1</f>
        <v>7</v>
      </c>
      <c r="BJ56" s="1">
        <v>10</v>
      </c>
      <c r="BK56" s="2">
        <f>$H$32*H49</f>
        <v>3.3736253255597572E-7</v>
      </c>
    </row>
    <row r="57" spans="1:63" x14ac:dyDescent="0.25">
      <c r="BI57" s="1">
        <f>BI55+1</f>
        <v>8</v>
      </c>
      <c r="BJ57" s="1">
        <v>9</v>
      </c>
      <c r="BK57" s="2">
        <f>$H$33*H48</f>
        <v>9.5589802468047732E-7</v>
      </c>
    </row>
    <row r="58" spans="1:63" x14ac:dyDescent="0.25">
      <c r="BI58" s="1">
        <f>BI56+1</f>
        <v>8</v>
      </c>
      <c r="BJ58" s="1">
        <v>10</v>
      </c>
      <c r="BK58" s="2">
        <f>$H$33*H49</f>
        <v>1.0499318454531508E-7</v>
      </c>
    </row>
    <row r="59" spans="1:63" x14ac:dyDescent="0.25">
      <c r="BI59" s="1">
        <f>BI58+1</f>
        <v>9</v>
      </c>
      <c r="BJ59" s="1">
        <v>10</v>
      </c>
      <c r="BK59" s="2">
        <f>$H$34*H49</f>
        <v>2.564558838412034E-8</v>
      </c>
    </row>
  </sheetData>
  <mergeCells count="1">
    <mergeCell ref="B3:C3"/>
  </mergeCells>
  <conditionalFormatting sqref="H49">
    <cfRule type="cellIs" dxfId="96" priority="1" operator="greaterThan">
      <formula>0.15</formula>
    </cfRule>
  </conditionalFormatting>
  <conditionalFormatting sqref="H39:H49">
    <cfRule type="cellIs" dxfId="95" priority="2" operator="greaterThan">
      <formula>0.15</formula>
    </cfRule>
  </conditionalFormatting>
  <conditionalFormatting sqref="H49">
    <cfRule type="cellIs" dxfId="94" priority="3" operator="greaterThan">
      <formula>0.15</formula>
    </cfRule>
  </conditionalFormatting>
  <conditionalFormatting sqref="H39:H49">
    <cfRule type="cellIs" dxfId="93" priority="4" operator="greaterThan">
      <formula>0.15</formula>
    </cfRule>
  </conditionalFormatting>
  <conditionalFormatting sqref="H35">
    <cfRule type="cellIs" dxfId="92" priority="5" operator="greaterThan">
      <formula>0.15</formula>
    </cfRule>
  </conditionalFormatting>
  <conditionalFormatting sqref="H25:H35">
    <cfRule type="cellIs" dxfId="91" priority="6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8" operator="greaterThan">
      <formula>0.15</formula>
    </cfRule>
  </conditionalFormatting>
  <conditionalFormatting sqref="V49">
    <cfRule type="cellIs" dxfId="88" priority="9" operator="greaterThan">
      <formula>0.15</formula>
    </cfRule>
  </conditionalFormatting>
  <conditionalFormatting sqref="V35">
    <cfRule type="cellIs" dxfId="87" priority="10" operator="greaterThan">
      <formula>0.15</formula>
    </cfRule>
  </conditionalFormatting>
  <conditionalFormatting sqref="V25:V35 V39:V49">
    <cfRule type="cellIs" dxfId="86" priority="11" operator="greaterThan">
      <formula>0.15</formula>
    </cfRule>
  </conditionalFormatting>
  <conditionalFormatting sqref="V49">
    <cfRule type="cellIs" dxfId="85" priority="12" operator="greaterThan">
      <formula>0.15</formula>
    </cfRule>
  </conditionalFormatting>
  <conditionalFormatting sqref="V35">
    <cfRule type="cellIs" dxfId="84" priority="13" operator="greaterThan">
      <formula>0.15</formula>
    </cfRule>
  </conditionalFormatting>
  <conditionalFormatting sqref="V25:V35 V39:V49">
    <cfRule type="cellIs" dxfId="83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1594-493A-4F9D-8482-EE8FDFB618D9}">
  <sheetPr>
    <tabColor theme="5" tint="0.59999389629810485"/>
  </sheetPr>
  <dimension ref="A1:BS59"/>
  <sheetViews>
    <sheetView zoomScale="90" zoomScaleNormal="90" workbookViewId="0">
      <selection activeCell="Z11" sqref="Z11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284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6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121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2.68</v>
      </c>
      <c r="S2" s="96">
        <f>SUM(S4:S15)</f>
        <v>3.6700000000000004</v>
      </c>
      <c r="T2" s="159">
        <f>SUM(T4:T16)</f>
        <v>0.57587898094561207</v>
      </c>
      <c r="U2" s="159">
        <f>SUM(U4:U16)</f>
        <v>1.5303347079359875</v>
      </c>
      <c r="V2" s="4"/>
      <c r="W2" s="4"/>
      <c r="X2" s="158">
        <f>SUM(X4:X16)</f>
        <v>0.40373493374961927</v>
      </c>
      <c r="Y2" s="157">
        <f>SUM(Y4:Y16)</f>
        <v>0.84311927528761221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6" t="s">
        <v>4</v>
      </c>
      <c r="C3" s="186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94</v>
      </c>
      <c r="F4" s="143" t="s">
        <v>94</v>
      </c>
      <c r="G4" s="143" t="s">
        <v>87</v>
      </c>
      <c r="H4" s="143" t="s">
        <v>94</v>
      </c>
      <c r="I4" s="143" t="s">
        <v>87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0</v>
      </c>
      <c r="Q4" s="126">
        <f>COUNTIF(E8:I9,"IMP")</f>
        <v>3</v>
      </c>
      <c r="R4" s="96">
        <f t="shared" ref="R4:R14" si="1">IF(P4+Q4=0,0,N4)</f>
        <v>0.45</v>
      </c>
      <c r="S4" s="96">
        <f t="shared" ref="S4:S16" si="2">R4*$N$2/$R$2</f>
        <v>0.61623134328358209</v>
      </c>
      <c r="T4" s="125">
        <f t="shared" ref="T4:T9" si="3">IF(S4=0,0,S4*(P4^2.7/(P4^2.7+Q4^2.7))*P4/L4)</f>
        <v>0</v>
      </c>
      <c r="U4" s="124">
        <f t="shared" ref="U4:U9" si="4">IF(S4=0,0,S4*Q4^2.7/(P4^2.7+Q4^2.7)*Q4/L4)</f>
        <v>0.30811567164179104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0</v>
      </c>
      <c r="Y4" s="121">
        <f t="shared" si="5"/>
        <v>0.17562593283582087</v>
      </c>
      <c r="Z4" s="146"/>
      <c r="AA4" s="120">
        <f t="shared" ref="AA4:AA16" si="6">X4</f>
        <v>0</v>
      </c>
      <c r="AB4" s="119">
        <f t="shared" ref="AB4:AB16" si="7">1-AA4</f>
        <v>1</v>
      </c>
      <c r="AC4" s="119">
        <f>PRODUCT(AB5:AB16)*AA4</f>
        <v>0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0.17562593283582087</v>
      </c>
      <c r="AH4" s="117">
        <f t="shared" ref="AH4:AH16" si="9">(1-AG4)</f>
        <v>0.82437406716417916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1.9500012652924264E-2</v>
      </c>
      <c r="BM4" s="1">
        <v>0</v>
      </c>
      <c r="BN4" s="1">
        <v>0</v>
      </c>
      <c r="BO4" s="2">
        <f>H25*H39</f>
        <v>1.0934624500963204E-2</v>
      </c>
      <c r="BQ4" s="1">
        <v>1</v>
      </c>
      <c r="BR4" s="1">
        <v>0</v>
      </c>
      <c r="BS4" s="2">
        <f>$H$26*H39</f>
        <v>3.2516388336669852E-2</v>
      </c>
    </row>
    <row r="5" spans="1:71" ht="15.75" x14ac:dyDescent="0.25">
      <c r="A5" s="65" t="s">
        <v>97</v>
      </c>
      <c r="B5" s="145">
        <v>352</v>
      </c>
      <c r="C5" s="145">
        <v>532</v>
      </c>
      <c r="D5" s="1">
        <v>352</v>
      </c>
      <c r="E5" s="143" t="s">
        <v>131</v>
      </c>
      <c r="F5" s="143" t="s">
        <v>94</v>
      </c>
      <c r="G5" s="143" t="s">
        <v>94</v>
      </c>
      <c r="H5" s="143" t="s">
        <v>94</v>
      </c>
      <c r="I5" s="143" t="s">
        <v>94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0</v>
      </c>
      <c r="Q5" s="126">
        <f>COUNTIF(E10:I11,"IMP")</f>
        <v>0</v>
      </c>
      <c r="R5" s="96">
        <f t="shared" si="1"/>
        <v>0</v>
      </c>
      <c r="S5" s="96">
        <f t="shared" si="2"/>
        <v>0</v>
      </c>
      <c r="T5" s="125">
        <f t="shared" si="3"/>
        <v>0</v>
      </c>
      <c r="U5" s="124">
        <f t="shared" si="4"/>
        <v>0</v>
      </c>
      <c r="V5" s="123">
        <f>$G$17</f>
        <v>0.56999999999999995</v>
      </c>
      <c r="W5" s="117">
        <f>$H$17</f>
        <v>0.56999999999999995</v>
      </c>
      <c r="X5" s="122">
        <f t="shared" si="5"/>
        <v>0</v>
      </c>
      <c r="Y5" s="121">
        <f t="shared" si="5"/>
        <v>0</v>
      </c>
      <c r="Z5" s="102"/>
      <c r="AA5" s="120">
        <f t="shared" si="6"/>
        <v>0</v>
      </c>
      <c r="AB5" s="119">
        <f t="shared" si="7"/>
        <v>1</v>
      </c>
      <c r="AC5" s="119">
        <f>PRODUCT(AB6:AB16)*AA5*PRODUCT(AB4)</f>
        <v>0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F5" s="100"/>
      <c r="AG5" s="118">
        <f t="shared" si="8"/>
        <v>0</v>
      </c>
      <c r="AH5" s="117">
        <f t="shared" si="9"/>
        <v>1</v>
      </c>
      <c r="AI5" s="117">
        <f>AG5*PRODUCT(AH3:AH4)*PRODUCT(AH6:AH17)</f>
        <v>0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L5" s="98"/>
      <c r="AN5" s="97"/>
      <c r="AO5" s="96"/>
      <c r="BI5" s="1">
        <v>0</v>
      </c>
      <c r="BJ5" s="1">
        <v>2</v>
      </c>
      <c r="BK5" s="2">
        <f t="shared" si="10"/>
        <v>1.5700339732975355E-2</v>
      </c>
      <c r="BM5" s="1">
        <v>1</v>
      </c>
      <c r="BN5" s="1">
        <v>1</v>
      </c>
      <c r="BO5" s="2">
        <f>$H$26*H40</f>
        <v>5.798735785912057E-2</v>
      </c>
      <c r="BQ5" s="1">
        <f>BQ4+1</f>
        <v>2</v>
      </c>
      <c r="BR5" s="1">
        <v>0</v>
      </c>
      <c r="BS5" s="2">
        <f>$H$27*H39</f>
        <v>4.4530280819090759E-2</v>
      </c>
    </row>
    <row r="6" spans="1:71" ht="15.75" x14ac:dyDescent="0.25">
      <c r="A6" s="144" t="s">
        <v>95</v>
      </c>
      <c r="B6" s="135">
        <f>15</f>
        <v>15</v>
      </c>
      <c r="C6" s="134">
        <v>9.5</v>
      </c>
      <c r="D6" s="1">
        <v>11.25</v>
      </c>
      <c r="E6" s="142"/>
      <c r="F6" s="143" t="s">
        <v>87</v>
      </c>
      <c r="G6" s="143" t="s">
        <v>87</v>
      </c>
      <c r="H6" s="143" t="s">
        <v>87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0</v>
      </c>
      <c r="Q6" s="126">
        <f>COUNTIF(E9:I11,"IMP")</f>
        <v>3</v>
      </c>
      <c r="R6" s="96">
        <f t="shared" si="1"/>
        <v>0.45</v>
      </c>
      <c r="S6" s="96">
        <f t="shared" si="2"/>
        <v>0.61623134328358209</v>
      </c>
      <c r="T6" s="125">
        <f t="shared" si="3"/>
        <v>0</v>
      </c>
      <c r="U6" s="124">
        <f t="shared" si="4"/>
        <v>0.14220723306544203</v>
      </c>
      <c r="V6" s="123">
        <f>$G$18</f>
        <v>0.45</v>
      </c>
      <c r="W6" s="117">
        <f>$H$18</f>
        <v>0.45</v>
      </c>
      <c r="X6" s="122">
        <f t="shared" si="5"/>
        <v>0</v>
      </c>
      <c r="Y6" s="121">
        <f t="shared" si="5"/>
        <v>6.3993254879448916E-2</v>
      </c>
      <c r="Z6" s="102"/>
      <c r="AA6" s="120">
        <f t="shared" si="6"/>
        <v>0</v>
      </c>
      <c r="AB6" s="119">
        <f t="shared" si="7"/>
        <v>1</v>
      </c>
      <c r="AC6" s="119">
        <f>PRODUCT(AB7:AB16)*AA6*PRODUCT(AB4:AB5)</f>
        <v>0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F6" s="100"/>
      <c r="AG6" s="118">
        <f t="shared" si="8"/>
        <v>6.3993254879448916E-2</v>
      </c>
      <c r="AH6" s="117">
        <f t="shared" si="9"/>
        <v>0.93600674512055104</v>
      </c>
      <c r="AI6" s="117">
        <f>AG6*PRODUCT(AH3:AH5)*PRODUCT(AH7:AH17)</f>
        <v>2.6765531562738837E-2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2.0565492911074564E-2</v>
      </c>
      <c r="AL6" s="98"/>
      <c r="AN6" s="97"/>
      <c r="AO6" s="96"/>
      <c r="BI6" s="1">
        <v>0</v>
      </c>
      <c r="BJ6" s="1">
        <v>3</v>
      </c>
      <c r="BK6" s="2">
        <f t="shared" si="10"/>
        <v>1.2526096070414659E-2</v>
      </c>
      <c r="BM6" s="1">
        <f>BI14+1</f>
        <v>2</v>
      </c>
      <c r="BN6" s="1">
        <v>2</v>
      </c>
      <c r="BO6" s="2">
        <f>$H$27*H41</f>
        <v>6.3938230087639075E-2</v>
      </c>
      <c r="BQ6" s="1">
        <f>BM5+1</f>
        <v>2</v>
      </c>
      <c r="BR6" s="1">
        <v>1</v>
      </c>
      <c r="BS6" s="2">
        <f>$H$27*H40</f>
        <v>7.9412058396157129E-2</v>
      </c>
    </row>
    <row r="7" spans="1:71" ht="15.75" x14ac:dyDescent="0.25">
      <c r="A7" s="141" t="s">
        <v>92</v>
      </c>
      <c r="B7" s="135">
        <v>20.5</v>
      </c>
      <c r="C7" s="134">
        <v>12</v>
      </c>
      <c r="D7" s="1">
        <v>13.25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3</v>
      </c>
      <c r="Q7" s="126">
        <f>COUNTIF(E4:I4,"IMP")+COUNTIF(F5:H5,"IMP")</f>
        <v>0</v>
      </c>
      <c r="R7" s="96">
        <f t="shared" si="1"/>
        <v>0.04</v>
      </c>
      <c r="S7" s="96">
        <f t="shared" si="2"/>
        <v>5.4776119402985074E-2</v>
      </c>
      <c r="T7" s="125">
        <f t="shared" si="3"/>
        <v>2.0541044776119403E-2</v>
      </c>
      <c r="U7" s="124">
        <f t="shared" si="4"/>
        <v>0</v>
      </c>
      <c r="V7" s="123">
        <f>$G$18</f>
        <v>0.45</v>
      </c>
      <c r="W7" s="117">
        <f>$H$18</f>
        <v>0.45</v>
      </c>
      <c r="X7" s="122">
        <f t="shared" si="5"/>
        <v>9.2434701492537311E-3</v>
      </c>
      <c r="Y7" s="121">
        <f t="shared" si="5"/>
        <v>0</v>
      </c>
      <c r="Z7" s="102"/>
      <c r="AA7" s="120">
        <f t="shared" si="6"/>
        <v>9.2434701492537311E-3</v>
      </c>
      <c r="AB7" s="119">
        <f t="shared" si="7"/>
        <v>0.99075652985074625</v>
      </c>
      <c r="AC7" s="119">
        <f>PRODUCT(AB8:AB$16)*AA7*PRODUCT(AB$4:AB6)</f>
        <v>6.0654718342482809E-3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2.7369169352142522E-3</v>
      </c>
      <c r="AF7" s="100"/>
      <c r="AG7" s="118">
        <f t="shared" si="8"/>
        <v>0</v>
      </c>
      <c r="AH7" s="117">
        <f t="shared" si="9"/>
        <v>1</v>
      </c>
      <c r="AI7" s="117">
        <f>AG7*PRODUCT(AH3:AH6)*PRODUCT(AH8:AH17)</f>
        <v>0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L7" s="98"/>
      <c r="AN7" s="97"/>
      <c r="AO7" s="96"/>
      <c r="BI7" s="1">
        <v>0</v>
      </c>
      <c r="BJ7" s="1">
        <v>4</v>
      </c>
      <c r="BK7" s="2">
        <f t="shared" si="10"/>
        <v>7.1323947367221332E-3</v>
      </c>
      <c r="BM7" s="1">
        <f>BI23+1</f>
        <v>3</v>
      </c>
      <c r="BN7" s="1">
        <v>3</v>
      </c>
      <c r="BO7" s="2">
        <f>$H$28*H42</f>
        <v>4.2611246988936903E-2</v>
      </c>
      <c r="BQ7" s="1">
        <f>BQ5+1</f>
        <v>3</v>
      </c>
      <c r="BR7" s="1">
        <v>0</v>
      </c>
      <c r="BS7" s="2">
        <f>$H$28*H39</f>
        <v>3.7197382386545901E-2</v>
      </c>
    </row>
    <row r="8" spans="1:71" ht="15.75" x14ac:dyDescent="0.25">
      <c r="A8" s="141" t="s">
        <v>90</v>
      </c>
      <c r="B8" s="135">
        <v>21</v>
      </c>
      <c r="C8" s="134">
        <v>10.75</v>
      </c>
      <c r="D8" s="1">
        <v>10.75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0</v>
      </c>
      <c r="Q8" s="126">
        <f>COUNTIF(E10:I11,"RAP")</f>
        <v>5</v>
      </c>
      <c r="R8" s="96">
        <f t="shared" si="1"/>
        <v>0.5</v>
      </c>
      <c r="S8" s="96">
        <f t="shared" si="2"/>
        <v>0.68470149253731349</v>
      </c>
      <c r="T8" s="125">
        <f t="shared" si="3"/>
        <v>0</v>
      </c>
      <c r="U8" s="124">
        <f t="shared" si="4"/>
        <v>0.42793843283582095</v>
      </c>
      <c r="V8" s="123">
        <f>$G$17</f>
        <v>0.56999999999999995</v>
      </c>
      <c r="W8" s="117">
        <f>$H$17</f>
        <v>0.56999999999999995</v>
      </c>
      <c r="X8" s="122">
        <f t="shared" si="5"/>
        <v>0</v>
      </c>
      <c r="Y8" s="121">
        <f t="shared" si="5"/>
        <v>0.24392490671641792</v>
      </c>
      <c r="Z8" s="102"/>
      <c r="AA8" s="120">
        <f t="shared" si="6"/>
        <v>0</v>
      </c>
      <c r="AB8" s="119">
        <f t="shared" si="7"/>
        <v>1</v>
      </c>
      <c r="AC8" s="119">
        <f>PRODUCT(AB9:AB$16)*AA8*PRODUCT(AB$4:AB7)</f>
        <v>0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F8" s="100"/>
      <c r="AG8" s="118">
        <f t="shared" si="8"/>
        <v>0.24392490671641792</v>
      </c>
      <c r="AH8" s="117">
        <f t="shared" si="9"/>
        <v>0.75607509328358202</v>
      </c>
      <c r="AI8" s="117">
        <f>AG8*PRODUCT(AH3:AH7)*PRODUCT(AH9:AH17)</f>
        <v>0.12630247673181719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5.629773797726003E-2</v>
      </c>
      <c r="AL8" s="98"/>
      <c r="AN8" s="97"/>
      <c r="AO8" s="96"/>
      <c r="BI8" s="1">
        <v>0</v>
      </c>
      <c r="BJ8" s="1">
        <v>5</v>
      </c>
      <c r="BK8" s="2">
        <f t="shared" si="10"/>
        <v>2.5596270430062215E-3</v>
      </c>
      <c r="BM8" s="1">
        <f>BI31+1</f>
        <v>4</v>
      </c>
      <c r="BN8" s="1">
        <v>4</v>
      </c>
      <c r="BO8" s="2">
        <f>$H$29*H43</f>
        <v>1.3799346738186681E-2</v>
      </c>
      <c r="BQ8" s="1">
        <f>BQ6+1</f>
        <v>3</v>
      </c>
      <c r="BR8" s="1">
        <v>1</v>
      </c>
      <c r="BS8" s="2">
        <f>$H$28*H40</f>
        <v>6.6335101596713533E-2</v>
      </c>
    </row>
    <row r="9" spans="1:71" ht="15.75" x14ac:dyDescent="0.25">
      <c r="A9" s="141" t="s">
        <v>88</v>
      </c>
      <c r="B9" s="135">
        <v>20.5</v>
      </c>
      <c r="C9" s="134">
        <v>13.5</v>
      </c>
      <c r="D9" s="1">
        <v>12.75</v>
      </c>
      <c r="E9" s="140" t="s">
        <v>93</v>
      </c>
      <c r="F9" s="140" t="s">
        <v>87</v>
      </c>
      <c r="G9" s="140" t="s">
        <v>93</v>
      </c>
      <c r="H9" s="140" t="s">
        <v>87</v>
      </c>
      <c r="I9" s="140" t="s">
        <v>93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0</v>
      </c>
      <c r="Q9" s="126">
        <f>COUNTIF(E10:I11,"RAP")</f>
        <v>5</v>
      </c>
      <c r="R9" s="96">
        <f t="shared" si="1"/>
        <v>0.5</v>
      </c>
      <c r="S9" s="96">
        <f t="shared" si="2"/>
        <v>0.68470149253731349</v>
      </c>
      <c r="T9" s="125">
        <f t="shared" si="3"/>
        <v>0</v>
      </c>
      <c r="U9" s="124">
        <f t="shared" si="4"/>
        <v>0.42793843283582095</v>
      </c>
      <c r="V9" s="123">
        <f>$G$17</f>
        <v>0.56999999999999995</v>
      </c>
      <c r="W9" s="117">
        <f>$H$17</f>
        <v>0.56999999999999995</v>
      </c>
      <c r="X9" s="122">
        <f t="shared" si="5"/>
        <v>0</v>
      </c>
      <c r="Y9" s="121">
        <f t="shared" si="5"/>
        <v>0.24392490671641792</v>
      </c>
      <c r="Z9" s="102"/>
      <c r="AA9" s="120">
        <f t="shared" si="6"/>
        <v>0</v>
      </c>
      <c r="AB9" s="119">
        <f t="shared" si="7"/>
        <v>1</v>
      </c>
      <c r="AC9" s="119">
        <f>PRODUCT(AB10:AB$16)*AA9*PRODUCT(AB$4:AB8)</f>
        <v>0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F9" s="100"/>
      <c r="AG9" s="118">
        <f t="shared" si="8"/>
        <v>0.24392490671641792</v>
      </c>
      <c r="AH9" s="117">
        <f t="shared" si="9"/>
        <v>0.75607509328358202</v>
      </c>
      <c r="AI9" s="117">
        <f>AG9*PRODUCT(AH3:AH8)*PRODUCT(AH10:AH17)</f>
        <v>0.12630247673181721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1.5550039595790217E-2</v>
      </c>
      <c r="AL9" s="98"/>
      <c r="AN9" s="97"/>
      <c r="AO9" s="96"/>
      <c r="BI9" s="1">
        <v>0</v>
      </c>
      <c r="BJ9" s="1">
        <v>6</v>
      </c>
      <c r="BK9" s="2">
        <f t="shared" si="10"/>
        <v>6.0089347093309495E-4</v>
      </c>
      <c r="BM9" s="1">
        <f>BI38+1</f>
        <v>5</v>
      </c>
      <c r="BN9" s="1">
        <v>5</v>
      </c>
      <c r="BO9" s="2">
        <f>$H$30*H44</f>
        <v>2.0264289424245388E-3</v>
      </c>
      <c r="BQ9" s="1">
        <f>BM6+1</f>
        <v>3</v>
      </c>
      <c r="BR9" s="1">
        <v>2</v>
      </c>
      <c r="BS9" s="2">
        <f>$H$28*H41</f>
        <v>5.3409382333588142E-2</v>
      </c>
    </row>
    <row r="10" spans="1:71" ht="15.75" x14ac:dyDescent="0.25">
      <c r="A10" s="138" t="s">
        <v>85</v>
      </c>
      <c r="B10" s="135">
        <v>1.75</v>
      </c>
      <c r="C10" s="134">
        <v>21.5</v>
      </c>
      <c r="D10" s="1">
        <v>21.25</v>
      </c>
      <c r="E10" s="140" t="s">
        <v>3</v>
      </c>
      <c r="F10" s="140" t="s">
        <v>87</v>
      </c>
      <c r="G10" s="140" t="s">
        <v>3</v>
      </c>
      <c r="H10" s="140" t="s">
        <v>87</v>
      </c>
      <c r="I10" s="140" t="s">
        <v>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0.26018656716417909</v>
      </c>
      <c r="T10" s="125">
        <f>S10*G13</f>
        <v>0.15929789826378313</v>
      </c>
      <c r="U10" s="124">
        <f>S10*G14</f>
        <v>0.10088866890039597</v>
      </c>
      <c r="V10" s="123">
        <f>$G$18</f>
        <v>0.45</v>
      </c>
      <c r="W10" s="117">
        <f>$H$18</f>
        <v>0.45</v>
      </c>
      <c r="X10" s="122">
        <f t="shared" si="5"/>
        <v>7.1684054218702414E-2</v>
      </c>
      <c r="Y10" s="121">
        <f t="shared" si="5"/>
        <v>4.5399901005178184E-2</v>
      </c>
      <c r="Z10" s="102"/>
      <c r="AA10" s="120">
        <f t="shared" si="6"/>
        <v>7.1684054218702414E-2</v>
      </c>
      <c r="AB10" s="119">
        <f t="shared" si="7"/>
        <v>0.92831594578129761</v>
      </c>
      <c r="AC10" s="119">
        <f>PRODUCT(AB11:AB$16)*AA10*PRODUCT(AB$4:AB9)</f>
        <v>5.0202256678077019E-2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1.8776124225213655E-2</v>
      </c>
      <c r="AF10" s="100"/>
      <c r="AG10" s="118">
        <f t="shared" si="8"/>
        <v>4.5399901005178184E-2</v>
      </c>
      <c r="AH10" s="117">
        <f t="shared" si="9"/>
        <v>0.95460009899482179</v>
      </c>
      <c r="AI10" s="117">
        <f>AG10*PRODUCT(AH3:AH9)*PRODUCT(AH11:AH17)</f>
        <v>1.8618902679662111E-2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1.406814074244296E-3</v>
      </c>
      <c r="AL10" s="98"/>
      <c r="AN10" s="97"/>
      <c r="AO10" s="96"/>
      <c r="BI10" s="1">
        <v>0</v>
      </c>
      <c r="BJ10" s="1">
        <v>7</v>
      </c>
      <c r="BK10" s="2">
        <f t="shared" si="10"/>
        <v>9.6429301619403533E-5</v>
      </c>
      <c r="BM10" s="1">
        <f>BI44+1</f>
        <v>6</v>
      </c>
      <c r="BN10" s="1">
        <v>6</v>
      </c>
      <c r="BO10" s="2">
        <f>$H$31*H45</f>
        <v>1.4422622678799226E-4</v>
      </c>
      <c r="BQ10" s="1">
        <f>BQ7+1</f>
        <v>4</v>
      </c>
      <c r="BR10" s="1">
        <v>0</v>
      </c>
      <c r="BS10" s="2">
        <f>$H$29*H39</f>
        <v>2.115568199889176E-2</v>
      </c>
    </row>
    <row r="11" spans="1:71" ht="15.75" x14ac:dyDescent="0.25">
      <c r="A11" s="138" t="s">
        <v>82</v>
      </c>
      <c r="B11" s="135">
        <v>1.5</v>
      </c>
      <c r="C11" s="134">
        <v>11.5</v>
      </c>
      <c r="D11" s="1">
        <v>11.5</v>
      </c>
      <c r="E11" s="139"/>
      <c r="F11" s="140" t="s">
        <v>3</v>
      </c>
      <c r="G11" s="140" t="s">
        <v>87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7</v>
      </c>
      <c r="Q11" s="126">
        <f>COUNTIF(E9:I11,"CAB")</f>
        <v>0</v>
      </c>
      <c r="R11" s="96">
        <f t="shared" si="1"/>
        <v>0.19</v>
      </c>
      <c r="S11" s="96">
        <f t="shared" si="2"/>
        <v>0.26018656716417909</v>
      </c>
      <c r="T11" s="125">
        <f>IF(P11&gt;0,IF(Q11&gt;0,G13^2.7/(G14^2.7+G13^2.7),1),0)*P11/L11*S11</f>
        <v>0.20236733001658375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0.9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0.18213059701492537</v>
      </c>
      <c r="Y11" s="121">
        <f t="shared" si="5"/>
        <v>0</v>
      </c>
      <c r="Z11" s="102"/>
      <c r="AA11" s="120">
        <f t="shared" si="6"/>
        <v>0.18213059701492537</v>
      </c>
      <c r="AB11" s="119">
        <f t="shared" si="7"/>
        <v>0.8178694029850746</v>
      </c>
      <c r="AC11" s="119">
        <f>PRODUCT(AB12:AB$16)*AA11*PRODUCT(AB$4:AB10)</f>
        <v>0.14477562237525143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2.1907515375483466E-2</v>
      </c>
      <c r="AF11" s="100"/>
      <c r="AG11" s="118">
        <f t="shared" si="8"/>
        <v>0</v>
      </c>
      <c r="AH11" s="117">
        <f t="shared" si="9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0"/>
        <v>1.0859948925111037E-5</v>
      </c>
      <c r="BM11" s="1">
        <f>BI50+1</f>
        <v>7</v>
      </c>
      <c r="BN11" s="1">
        <v>7</v>
      </c>
      <c r="BO11" s="2">
        <f>$H$32*H46</f>
        <v>5.2705425514530979E-6</v>
      </c>
      <c r="BQ11" s="1">
        <f>BQ8+1</f>
        <v>4</v>
      </c>
      <c r="BR11" s="1">
        <v>1</v>
      </c>
      <c r="BS11" s="2">
        <f>$H$29*H40</f>
        <v>3.7727501902172507E-2</v>
      </c>
    </row>
    <row r="12" spans="1:71" ht="15.75" x14ac:dyDescent="0.25">
      <c r="A12" s="138" t="s">
        <v>80</v>
      </c>
      <c r="B12" s="135">
        <v>1.5</v>
      </c>
      <c r="C12" s="134">
        <v>21.25</v>
      </c>
      <c r="D12" s="1">
        <v>21.5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0</v>
      </c>
      <c r="Q12" s="126">
        <f>COUNTIF(F11:H11,"IMP")+COUNTIF(E10,"IMP")+COUNTIF(I10,"IMP")</f>
        <v>0</v>
      </c>
      <c r="R12" s="96">
        <f t="shared" si="1"/>
        <v>0</v>
      </c>
      <c r="S12" s="96">
        <f t="shared" si="2"/>
        <v>0</v>
      </c>
      <c r="T12" s="125">
        <f>IF(S12=0,0,S12*(P12^2.7/(P12^2.7+Q12^2.7))*P12/L12)</f>
        <v>0</v>
      </c>
      <c r="U12" s="124">
        <f>IF(S12=0,0,S12*Q12^2.7/(P12^2.7+Q12^2.7)*Q12/L12)</f>
        <v>0</v>
      </c>
      <c r="V12" s="123">
        <f>$G$18</f>
        <v>0.45</v>
      </c>
      <c r="W12" s="117">
        <f>$H$18</f>
        <v>0.45</v>
      </c>
      <c r="X12" s="122">
        <f t="shared" si="5"/>
        <v>0</v>
      </c>
      <c r="Y12" s="121">
        <f t="shared" si="5"/>
        <v>0</v>
      </c>
      <c r="Z12" s="102"/>
      <c r="AA12" s="120">
        <f t="shared" si="6"/>
        <v>0</v>
      </c>
      <c r="AB12" s="119">
        <f t="shared" si="7"/>
        <v>1</v>
      </c>
      <c r="AC12" s="119">
        <f>PRODUCT(AB13:AB$16)*AA12*PRODUCT(AB$4:AB11)</f>
        <v>0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F12" s="100"/>
      <c r="AG12" s="118">
        <f t="shared" si="8"/>
        <v>0</v>
      </c>
      <c r="AH12" s="117">
        <f t="shared" si="9"/>
        <v>1</v>
      </c>
      <c r="AI12" s="117">
        <f>AG12*PRODUCT(AH3:AH11)*PRODUCT(AH13:AH17)</f>
        <v>0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L12" s="98"/>
      <c r="AN12" s="97"/>
      <c r="AO12" s="96"/>
      <c r="BI12" s="1">
        <v>0</v>
      </c>
      <c r="BJ12" s="1">
        <v>9</v>
      </c>
      <c r="BK12" s="2">
        <f t="shared" si="10"/>
        <v>8.6553043094520647E-7</v>
      </c>
      <c r="BM12" s="1">
        <f>BI54+1</f>
        <v>8</v>
      </c>
      <c r="BN12" s="1">
        <v>8</v>
      </c>
      <c r="BO12" s="2">
        <f>$H$33*H47</f>
        <v>1.0169543220380716E-7</v>
      </c>
      <c r="BQ12" s="1">
        <f>BQ9+1</f>
        <v>4</v>
      </c>
      <c r="BR12" s="1">
        <v>2</v>
      </c>
      <c r="BS12" s="2">
        <f>$H$29*H41</f>
        <v>3.0376113476611233E-2</v>
      </c>
    </row>
    <row r="13" spans="1:71" ht="15.75" x14ac:dyDescent="0.25">
      <c r="A13" s="136" t="s">
        <v>78</v>
      </c>
      <c r="B13" s="135">
        <v>13</v>
      </c>
      <c r="C13" s="134">
        <v>14</v>
      </c>
      <c r="D13" s="1">
        <v>14</v>
      </c>
      <c r="E13" s="4"/>
      <c r="F13" s="4" t="s">
        <v>77</v>
      </c>
      <c r="G13" s="137">
        <f>B22</f>
        <v>0.61224489795918369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4</v>
      </c>
      <c r="Q13" s="126">
        <f>COUNTIF(E10:I11,"CAB")</f>
        <v>0</v>
      </c>
      <c r="R13" s="96">
        <f t="shared" si="1"/>
        <v>0.18</v>
      </c>
      <c r="S13" s="96">
        <f t="shared" si="2"/>
        <v>0.24649253731343285</v>
      </c>
      <c r="T13" s="125">
        <f>IF((Q13+P13)=0,0,S13*P14/4*P13/L13)</f>
        <v>7.0426439232409391E-2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7.0426439232409391E-2</v>
      </c>
      <c r="Y13" s="121">
        <f t="shared" si="5"/>
        <v>0</v>
      </c>
      <c r="Z13" s="102"/>
      <c r="AA13" s="120">
        <f t="shared" si="6"/>
        <v>7.0426439232409391E-2</v>
      </c>
      <c r="AB13" s="119">
        <f t="shared" si="7"/>
        <v>0.92957356076759057</v>
      </c>
      <c r="AC13" s="119">
        <f>PRODUCT(AB14:AB$16)*AA13*PRODUCT(AB$4:AB12)</f>
        <v>4.9254788524505454E-2</v>
      </c>
      <c r="AD13" s="119">
        <f>AA13*AA14*PRODUCT(AB3:AB12)*PRODUCT(AB15:AB17)+AA13*AA15*PRODUCT(AB3:AB12)*AB14*PRODUCT(AB16:AB17)+AA13*AA16*PRODUCT(AB3:AB12)*AB14*AB15*AB17+AA13*AA17*PRODUCT(AB3:AB12)*AB14*AB15*AB16</f>
        <v>3.7216118969186319E-3</v>
      </c>
      <c r="AF13" s="100"/>
      <c r="AG13" s="118">
        <f t="shared" si="8"/>
        <v>0</v>
      </c>
      <c r="AH13" s="117">
        <f t="shared" si="9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0"/>
        <v>4.8363444392261901E-8</v>
      </c>
      <c r="BM13" s="1">
        <f>BI57+1</f>
        <v>9</v>
      </c>
      <c r="BN13" s="1">
        <v>9</v>
      </c>
      <c r="BO13" s="2">
        <f>$H$34*H48</f>
        <v>1.0340083665118402E-9</v>
      </c>
      <c r="BQ13" s="1">
        <f>BM7+1</f>
        <v>4</v>
      </c>
      <c r="BR13" s="1">
        <v>3</v>
      </c>
      <c r="BS13" s="2">
        <f>$H$29*H42</f>
        <v>2.4234769573469778E-2</v>
      </c>
    </row>
    <row r="14" spans="1:71" ht="15.75" x14ac:dyDescent="0.25">
      <c r="A14" s="136" t="s">
        <v>75</v>
      </c>
      <c r="B14" s="135">
        <v>12.25</v>
      </c>
      <c r="C14" s="134">
        <v>12</v>
      </c>
      <c r="D14" s="1">
        <v>12</v>
      </c>
      <c r="E14" s="4"/>
      <c r="F14" s="4" t="s">
        <v>74</v>
      </c>
      <c r="G14" s="133">
        <f>C22</f>
        <v>0.38775510204081631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0.24649253731343285</v>
      </c>
      <c r="T14" s="125">
        <f>S14*P14^2.7/(Q14^2.7+P14^2.7)</f>
        <v>0.12324626865671644</v>
      </c>
      <c r="U14" s="124">
        <f>S14*Q14^2.7/(Q14^2.7+P14^2.7)</f>
        <v>0.12324626865671644</v>
      </c>
      <c r="V14" s="123">
        <f>$G$17</f>
        <v>0.56999999999999995</v>
      </c>
      <c r="W14" s="117">
        <f>$H$17</f>
        <v>0.56999999999999995</v>
      </c>
      <c r="X14" s="122">
        <f t="shared" si="5"/>
        <v>7.0250373134328359E-2</v>
      </c>
      <c r="Y14" s="121">
        <f t="shared" si="5"/>
        <v>7.0250373134328359E-2</v>
      </c>
      <c r="Z14" s="102"/>
      <c r="AA14" s="120">
        <f t="shared" si="6"/>
        <v>7.0250373134328359E-2</v>
      </c>
      <c r="AB14" s="119">
        <f t="shared" si="7"/>
        <v>0.92974962686567164</v>
      </c>
      <c r="AC14" s="119">
        <f>PRODUCT(AB15:AB$16)*AA14*PRODUCT(AB$4:AB13)</f>
        <v>4.9122347523451883E-2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7.0250373134328359E-2</v>
      </c>
      <c r="AH14" s="117">
        <f t="shared" si="9"/>
        <v>0.92974962686567164</v>
      </c>
      <c r="AI14" s="117">
        <f>AG14*PRODUCT(AH3:AH13)*PRODUCT(AH15:AH17)</f>
        <v>2.9580347639695095E-2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4.6688237326311825E-2</v>
      </c>
      <c r="BM14" s="1">
        <f>BQ39+1</f>
        <v>10</v>
      </c>
      <c r="BN14" s="1">
        <v>10</v>
      </c>
      <c r="BO14" s="2">
        <f>$H$35*H49</f>
        <v>5.3484900257113248E-12</v>
      </c>
      <c r="BQ14" s="1">
        <f>BQ10+1</f>
        <v>5</v>
      </c>
      <c r="BR14" s="1">
        <v>0</v>
      </c>
      <c r="BS14" s="2">
        <f>$H$30*H39</f>
        <v>8.6568235102220149E-3</v>
      </c>
    </row>
    <row r="15" spans="1:71" ht="15.75" x14ac:dyDescent="0.25">
      <c r="A15" s="70" t="s">
        <v>72</v>
      </c>
      <c r="B15" s="132">
        <v>8.25</v>
      </c>
      <c r="C15" s="131">
        <v>5</v>
      </c>
      <c r="D15" s="1">
        <v>5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3.7248961236131965E-2</v>
      </c>
      <c r="BQ15" s="1">
        <f>BQ11+1</f>
        <v>5</v>
      </c>
      <c r="BR15" s="1">
        <v>1</v>
      </c>
      <c r="BS15" s="2">
        <f>$H$30*H40</f>
        <v>1.5437948323565353E-2</v>
      </c>
    </row>
    <row r="16" spans="1:71" ht="15.75" x14ac:dyDescent="0.25">
      <c r="A16" s="70" t="s">
        <v>70</v>
      </c>
      <c r="B16" s="130">
        <v>12</v>
      </c>
      <c r="C16" s="129">
        <v>12</v>
      </c>
      <c r="D16" s="1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</v>
      </c>
      <c r="AH16" s="117">
        <f t="shared" si="9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2.1209664493668505E-2</v>
      </c>
      <c r="BQ16" s="1">
        <f>BQ12+1</f>
        <v>5</v>
      </c>
      <c r="BR16" s="1">
        <v>2</v>
      </c>
      <c r="BS16" s="2">
        <f>$H$30*H41</f>
        <v>1.2429788522406185E-2</v>
      </c>
    </row>
    <row r="17" spans="1:71" x14ac:dyDescent="0.25">
      <c r="A17" s="116" t="s">
        <v>67</v>
      </c>
      <c r="B17" s="115" t="s">
        <v>139</v>
      </c>
      <c r="C17" s="114" t="s">
        <v>483</v>
      </c>
      <c r="D17" s="1" t="s">
        <v>483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7.6115852830703724E-3</v>
      </c>
      <c r="BQ17" s="1">
        <f>BQ13+1</f>
        <v>5</v>
      </c>
      <c r="BR17" s="1">
        <v>3</v>
      </c>
      <c r="BS17" s="2">
        <f>$H$30*H42</f>
        <v>9.9167742746093714E-3</v>
      </c>
    </row>
    <row r="18" spans="1:71" x14ac:dyDescent="0.25">
      <c r="A18" s="116" t="s">
        <v>64</v>
      </c>
      <c r="B18" s="115">
        <v>20</v>
      </c>
      <c r="C18" s="114">
        <v>20</v>
      </c>
      <c r="D18" s="1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0.65012443696726119</v>
      </c>
      <c r="AC18" s="107">
        <f>SUM(AC4:AC16)</f>
        <v>0.29942048693553408</v>
      </c>
      <c r="AD18" s="107">
        <f>SUM(AD3:AD17)</f>
        <v>4.7142168432829999E-2</v>
      </c>
      <c r="AE18" s="107">
        <f>IF((1-AB18-AC18-AD18)&lt;0,(1-AB18-AC18-AD18)-1,1-AB18-AC18-AD18)</f>
        <v>3.3129076643747327E-3</v>
      </c>
      <c r="AF18" s="100"/>
      <c r="AG18" s="4"/>
      <c r="AH18" s="108">
        <f>PRODUCT(AH3:AH17)</f>
        <v>0.39148998010267022</v>
      </c>
      <c r="AI18" s="107">
        <f>SUM(AI3:AI17)</f>
        <v>0.32756973534573042</v>
      </c>
      <c r="AJ18" s="107">
        <f>SUM(AJ3:AJ17)</f>
        <v>9.3820084558369113E-2</v>
      </c>
      <c r="AK18" s="107">
        <f>IF((1-AH18-AI18-AJ18)&lt;0,(1-AH18-AI18-AJ18)-1,(1-AH18-AI18-AJ18))</f>
        <v>0.18712019999323026</v>
      </c>
      <c r="AL18" s="98"/>
      <c r="AN18" s="97"/>
      <c r="AO18" s="96"/>
      <c r="BI18" s="1">
        <v>1</v>
      </c>
      <c r="BJ18" s="1">
        <v>6</v>
      </c>
      <c r="BK18" s="2">
        <f t="shared" si="11"/>
        <v>1.7868821602524002E-3</v>
      </c>
      <c r="BQ18" s="1">
        <f>BM8+1</f>
        <v>5</v>
      </c>
      <c r="BR18" s="1">
        <v>4</v>
      </c>
      <c r="BS18" s="2">
        <f>$H$30*H43</f>
        <v>5.6466394831940553E-3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2.8675265604357887E-4</v>
      </c>
      <c r="BQ19" s="1">
        <f>BQ15+1</f>
        <v>6</v>
      </c>
      <c r="BR19" s="1">
        <v>1</v>
      </c>
      <c r="BS19" s="2">
        <f>$H$31*H40</f>
        <v>4.6803857643554171E-3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3.2294324924848108E-5</v>
      </c>
      <c r="BQ20" s="1">
        <f>BQ16+1</f>
        <v>6</v>
      </c>
      <c r="BR20" s="1">
        <v>2</v>
      </c>
      <c r="BS20" s="2">
        <f>$H$31*H41</f>
        <v>3.7683896872108859E-3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2.57383539849406E-6</v>
      </c>
      <c r="BQ21" s="1">
        <f>BQ17+1</f>
        <v>6</v>
      </c>
      <c r="BR21" s="1">
        <v>3</v>
      </c>
      <c r="BS21" s="2">
        <f>$H$31*H42</f>
        <v>3.0065089071685948E-3</v>
      </c>
    </row>
    <row r="22" spans="1:71" x14ac:dyDescent="0.25">
      <c r="A22" s="67" t="s">
        <v>60</v>
      </c>
      <c r="B22" s="74">
        <f>(B6)/((B6)+(C6))</f>
        <v>0.61224489795918369</v>
      </c>
      <c r="C22" s="73">
        <f>1-B22</f>
        <v>0.38775510204081631</v>
      </c>
      <c r="V22" s="52">
        <f>SUM(V25:V35)</f>
        <v>1</v>
      </c>
      <c r="AS22" s="56">
        <f>Y23+AA23+AC23+AE23+AG23+AI23+AK23+AM23+AO23+AQ23+AS23</f>
        <v>0.99999999999999989</v>
      </c>
      <c r="BI22" s="1">
        <v>1</v>
      </c>
      <c r="BJ22" s="1">
        <v>10</v>
      </c>
      <c r="BK22" s="2">
        <f t="shared" si="11"/>
        <v>1.4381879679720128E-7</v>
      </c>
      <c r="BQ22" s="1">
        <f>BQ18+1</f>
        <v>6</v>
      </c>
      <c r="BR22" s="1">
        <v>4</v>
      </c>
      <c r="BS22" s="2">
        <f>$H$31*H43</f>
        <v>1.7119147246559187E-3</v>
      </c>
    </row>
    <row r="23" spans="1:71" ht="15.75" thickBot="1" x14ac:dyDescent="0.3">
      <c r="A23" s="65" t="s">
        <v>59</v>
      </c>
      <c r="B23" s="64">
        <f>((B22^2.8)/((B22^2.8)+(C22^2.8)))*B21</f>
        <v>3.9113324059383126</v>
      </c>
      <c r="C23" s="63">
        <f>B21-B23</f>
        <v>1.0886675940616874</v>
      </c>
      <c r="D23" s="88">
        <f>SUM(D25:D30)</f>
        <v>1.0005000000000002</v>
      </c>
      <c r="E23" s="88">
        <f>SUM(E25:E30)</f>
        <v>0.99999999999999989</v>
      </c>
      <c r="H23" s="50">
        <f>SUM(H25:H35)</f>
        <v>0.99999949316596393</v>
      </c>
      <c r="I23" s="51"/>
      <c r="J23" s="50">
        <f>SUM(J25:J35)</f>
        <v>1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</v>
      </c>
      <c r="S23" s="51"/>
      <c r="T23" s="50">
        <f>SUM(T25:T35)</f>
        <v>1</v>
      </c>
      <c r="V23" s="52">
        <f>SUM(V25:V34)</f>
        <v>0.91299392968017701</v>
      </c>
      <c r="Y23" s="50">
        <f>SUM(Y25:Y35)</f>
        <v>2.3827363692500925E-7</v>
      </c>
      <c r="Z23" s="51"/>
      <c r="AA23" s="50">
        <f>SUM(AA25:AA35)</f>
        <v>8.561821393638761E-6</v>
      </c>
      <c r="AB23" s="51"/>
      <c r="AC23" s="50">
        <f>SUM(AC25:AC35)</f>
        <v>1.3844661247713793E-4</v>
      </c>
      <c r="AD23" s="51"/>
      <c r="AE23" s="50">
        <f>SUM(AE25:AE35)</f>
        <v>1.3267016245390834E-3</v>
      </c>
      <c r="AF23" s="51"/>
      <c r="AG23" s="50">
        <f>SUM(AG25:AG35)</f>
        <v>8.3437249537726167E-3</v>
      </c>
      <c r="AH23" s="51"/>
      <c r="AI23" s="50">
        <f>SUM(AI25:AI35)</f>
        <v>3.5985669806659355E-2</v>
      </c>
      <c r="AJ23" s="51"/>
      <c r="AK23" s="50">
        <f>SUM(AK25:AK35)</f>
        <v>0.10779538950208423</v>
      </c>
      <c r="AL23" s="51"/>
      <c r="AM23" s="50">
        <f>SUM(AM25:AM35)</f>
        <v>0.22147513289203463</v>
      </c>
      <c r="AN23" s="51"/>
      <c r="AO23" s="50">
        <f>SUM(AO25:AO35)</f>
        <v>0.29877260429305535</v>
      </c>
      <c r="AP23" s="51"/>
      <c r="AQ23" s="50">
        <f>SUM(AQ25:AQ35)</f>
        <v>0.23914745990052397</v>
      </c>
      <c r="AR23" s="51"/>
      <c r="AS23" s="50">
        <f>SUM(AS25:AS35)</f>
        <v>8.7006070319822978E-2</v>
      </c>
      <c r="BI23" s="1">
        <f t="shared" ref="BI23:BI30" si="12">BI15+1</f>
        <v>2</v>
      </c>
      <c r="BJ23" s="1">
        <v>3</v>
      </c>
      <c r="BK23" s="2">
        <f t="shared" ref="BK23:BK30" si="13">$H$27*H42</f>
        <v>5.1011406521855381E-2</v>
      </c>
      <c r="BQ23" s="1">
        <f>BM9+1</f>
        <v>6</v>
      </c>
      <c r="BR23" s="1">
        <v>5</v>
      </c>
      <c r="BS23" s="2">
        <f>$H$31*H44</f>
        <v>6.1436072824029261E-4</v>
      </c>
    </row>
    <row r="24" spans="1:71" ht="15.75" thickBot="1" x14ac:dyDescent="0.3">
      <c r="A24" s="67" t="s">
        <v>58</v>
      </c>
      <c r="B24" s="87">
        <f>B23/B21</f>
        <v>0.78226648118766251</v>
      </c>
      <c r="C24" s="86">
        <f>C23/B21</f>
        <v>0.21773351881233749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2.9046039990752698E-2</v>
      </c>
      <c r="BQ24" s="1">
        <f>BI49+1</f>
        <v>7</v>
      </c>
      <c r="BR24" s="1">
        <v>0</v>
      </c>
      <c r="BS24" s="2">
        <f t="shared" ref="BS24:BS30" si="14">$H$32*H39</f>
        <v>5.9765447585582803E-4</v>
      </c>
    </row>
    <row r="25" spans="1:71" x14ac:dyDescent="0.25">
      <c r="A25" s="67" t="s">
        <v>32</v>
      </c>
      <c r="B25" s="77">
        <f>1/(1+EXP(-3.1416*4*((B11/(B11+C8))-(3.1416/6))))</f>
        <v>6.4255664917694764E-3</v>
      </c>
      <c r="C25" s="73">
        <f>1/(1+EXP(-3.1416*4*((C11/(C11+B8))-(3.1416/6))))</f>
        <v>0.10591208630384637</v>
      </c>
      <c r="D25" s="8">
        <f>IF(B17="AOW",0.36-0.08,IF(B17="AIM",0.36+0.08,IF(B17="TL",(0.361)-(0.36*B32),0.36)))</f>
        <v>0.18099999999999999</v>
      </c>
      <c r="E25" s="8">
        <f>IF(C17="AOW",0.36-0.08,IF(C17="AIM",0.36+0.08,IF(C17="TL",(0.361)-(0.36*C32),0.36)))</f>
        <v>0.27999999999999997</v>
      </c>
      <c r="G25" s="76">
        <v>0</v>
      </c>
      <c r="H25" s="75">
        <f>L25*J25</f>
        <v>6.9062193234141256E-2</v>
      </c>
      <c r="I25" s="36">
        <v>0</v>
      </c>
      <c r="J25" s="34">
        <f t="shared" ref="J25:J35" si="15">Y25+AA25+AC25+AE25+AG25+AI25+AK25+AM25+AO25+AQ25+AS25</f>
        <v>0.10622919137804855</v>
      </c>
      <c r="K25" s="36">
        <v>0</v>
      </c>
      <c r="L25" s="34">
        <f>AB18</f>
        <v>0.65012443696726119</v>
      </c>
      <c r="M25" s="17">
        <v>0</v>
      </c>
      <c r="N25" s="32">
        <f>(1-$B$24)^$B$21</f>
        <v>4.8935773406009575E-4</v>
      </c>
      <c r="O25" s="16">
        <v>0</v>
      </c>
      <c r="P25" s="32">
        <f t="shared" ref="P25:P30" si="16">N25</f>
        <v>4.8935773406009575E-4</v>
      </c>
      <c r="Q25" s="10">
        <v>0</v>
      </c>
      <c r="R25" s="11">
        <f>P25*N25</f>
        <v>2.3947099188443142E-7</v>
      </c>
      <c r="S25" s="16">
        <v>0</v>
      </c>
      <c r="T25" s="15">
        <f>(1-$B$33)^(INT(C23*2*(1-C31)))</f>
        <v>0.995</v>
      </c>
      <c r="U25" s="24">
        <v>0</v>
      </c>
      <c r="V25" s="23">
        <f>R25*T25</f>
        <v>2.3827363692500925E-7</v>
      </c>
      <c r="W25" s="33">
        <f>B31</f>
        <v>0.25663742769821002</v>
      </c>
      <c r="X25" s="10">
        <v>0</v>
      </c>
      <c r="Y25" s="9">
        <f>V25</f>
        <v>2.3827363692500925E-7</v>
      </c>
      <c r="Z25" s="10">
        <v>0</v>
      </c>
      <c r="AA25" s="9">
        <f>((1-W25)^Z26)*V26</f>
        <v>6.364537574763806E-6</v>
      </c>
      <c r="AB25" s="10">
        <v>0</v>
      </c>
      <c r="AC25" s="9">
        <f>(((1-$W$25)^AB27))*V27</f>
        <v>7.6503924775143462E-5</v>
      </c>
      <c r="AD25" s="10">
        <v>0</v>
      </c>
      <c r="AE25" s="9">
        <f>(((1-$W$25)^AB28))*V28</f>
        <v>5.4497343606743826E-4</v>
      </c>
      <c r="AF25" s="10">
        <v>0</v>
      </c>
      <c r="AG25" s="9">
        <f>(((1-$W$25)^AB29))*V29</f>
        <v>2.5477848048878378E-3</v>
      </c>
      <c r="AH25" s="10">
        <v>0</v>
      </c>
      <c r="AI25" s="9">
        <f>(((1-$W$25)^AB30))*V30</f>
        <v>8.1683256830116166E-3</v>
      </c>
      <c r="AJ25" s="10">
        <v>0</v>
      </c>
      <c r="AK25" s="9">
        <f>(((1-$W$25)^AB31))*V31</f>
        <v>1.8188811901211403E-2</v>
      </c>
      <c r="AL25" s="10">
        <v>0</v>
      </c>
      <c r="AM25" s="9">
        <f>(((1-$W$25)^AB32))*V32</f>
        <v>2.7779844314696871E-2</v>
      </c>
      <c r="AN25" s="10">
        <v>0</v>
      </c>
      <c r="AO25" s="9">
        <f>(((1-$W$25)^AB33))*V33</f>
        <v>2.7857766906038757E-2</v>
      </c>
      <c r="AP25" s="10">
        <v>0</v>
      </c>
      <c r="AQ25" s="9">
        <f>(((1-$W$25)^AB34))*V34</f>
        <v>1.657570430862533E-2</v>
      </c>
      <c r="AR25" s="10">
        <v>0</v>
      </c>
      <c r="AS25" s="9">
        <f>(((1-$W$25)^AB35))*V35</f>
        <v>4.4828732875224825E-3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1.0423852324070722E-2</v>
      </c>
      <c r="BQ25" s="1">
        <f>BQ19+1</f>
        <v>7</v>
      </c>
      <c r="BR25" s="1">
        <v>1</v>
      </c>
      <c r="BS25" s="2">
        <f t="shared" si="14"/>
        <v>1.0658134479367689E-3</v>
      </c>
    </row>
    <row r="26" spans="1:71" x14ac:dyDescent="0.25">
      <c r="A26" s="65" t="s">
        <v>31</v>
      </c>
      <c r="B26" s="74">
        <f>1/(1+EXP(-3.1416*4*((B10/(B10+C9))-(3.1416/6))))</f>
        <v>5.8367857164298605E-3</v>
      </c>
      <c r="C26" s="73">
        <f>1/(1+EXP(-3.1416*4*((C10/(C10+B9))-(3.1416/6))))</f>
        <v>0.46332423052661464</v>
      </c>
      <c r="D26" s="8">
        <f>IF(B17="AOW",0.257+0.04,IF(B17="AIM",0.257-0.04,IF(B17="TL",(0.257)-(0.257*B32),0.257)))</f>
        <v>0.1285</v>
      </c>
      <c r="E26" s="8">
        <f>IF(C17="AOW",0.257+0.04,IF(C17="AIM",0.257-0.04,IF(C17="TL",(0.257)-(0.257*C32),0.257)))</f>
        <v>0.29699999999999999</v>
      </c>
      <c r="G26" s="62">
        <v>1</v>
      </c>
      <c r="H26" s="61">
        <f>L25*J26+L26*J25</f>
        <v>0.20537084692626217</v>
      </c>
      <c r="I26" s="24">
        <v>1</v>
      </c>
      <c r="J26" s="23">
        <f t="shared" si="15"/>
        <v>0.26696989198979937</v>
      </c>
      <c r="K26" s="24">
        <v>1</v>
      </c>
      <c r="L26" s="23">
        <f>AC18</f>
        <v>0.29942048693553408</v>
      </c>
      <c r="M26" s="17">
        <v>1</v>
      </c>
      <c r="N26" s="32">
        <f>(($B$24)^M26)*((1-($B$24))^($B$21-M26))*HLOOKUP($B$21,$AV$24:$BF$34,M26+1)</f>
        <v>8.790749232209346E-3</v>
      </c>
      <c r="O26" s="16">
        <v>1</v>
      </c>
      <c r="P26" s="32">
        <f t="shared" si="16"/>
        <v>8.790749232209346E-3</v>
      </c>
      <c r="Q26" s="10">
        <v>1</v>
      </c>
      <c r="R26" s="11">
        <f>N26*P25+P26*N25</f>
        <v>8.6036422499289837E-6</v>
      </c>
      <c r="S26" s="16">
        <v>1</v>
      </c>
      <c r="T26" s="15">
        <f t="shared" ref="T26:T35" si="17">(($B$33)^S26)*((1-($B$33))^(INT($C$23*2*(1-$C$31))-S26))*HLOOKUP(INT($C$23*2*(1-$C$31)),$AV$24:$BF$34,S26+1)</f>
        <v>5.0000000000000001E-3</v>
      </c>
      <c r="U26" s="24">
        <v>1</v>
      </c>
      <c r="V26" s="23">
        <f>R26*T25+T26*R25</f>
        <v>8.561821393638761E-6</v>
      </c>
      <c r="W26" s="12"/>
      <c r="X26" s="10">
        <v>1</v>
      </c>
      <c r="Y26" s="11"/>
      <c r="Z26" s="10">
        <v>1</v>
      </c>
      <c r="AA26" s="9">
        <f>(1-((1-W25)^Z26))*V26</f>
        <v>2.1972838188749546E-6</v>
      </c>
      <c r="AB26" s="10">
        <v>1</v>
      </c>
      <c r="AC26" s="9">
        <f>((($W$25)^M26)*((1-($W$25))^($U$27-M26))*HLOOKUP($U$27,$AV$24:$BF$34,M26+1))*V27</f>
        <v>5.282421040466178E-5</v>
      </c>
      <c r="AD26" s="10">
        <v>1</v>
      </c>
      <c r="AE26" s="9">
        <f>((($W$25)^M26)*((1-($W$25))^($U$28-M26))*HLOOKUP($U$28,$AV$24:$BF$34,M26+1))*V28</f>
        <v>5.6443754100961806E-4</v>
      </c>
      <c r="AF26" s="10">
        <v>1</v>
      </c>
      <c r="AG26" s="9">
        <f>((($W$25)^M26)*((1-($W$25))^($U$29-M26))*HLOOKUP($U$29,$AV$24:$BF$34,M26+1))*V29</f>
        <v>3.5183742793525956E-3</v>
      </c>
      <c r="AH26" s="10">
        <v>1</v>
      </c>
      <c r="AI26" s="9">
        <f>((($W$25)^M26)*((1-($W$25))^($U$30-M26))*HLOOKUP($U$30,$AV$24:$BF$34,M26+1))*V30</f>
        <v>1.4100105184191811E-2</v>
      </c>
      <c r="AJ26" s="10">
        <v>1</v>
      </c>
      <c r="AK26" s="9">
        <f>((($W$25)^M26)*((1-($W$25))^($U$31-M26))*HLOOKUP($U$31,$AV$24:$BF$34,M26+1))*V31</f>
        <v>3.7676875913400708E-2</v>
      </c>
      <c r="AL26" s="10">
        <v>1</v>
      </c>
      <c r="AM26" s="9">
        <f>((($W$25)^Q26)*((1-($W$25))^($U$32-Q26))*HLOOKUP($U$32,$AV$24:$BF$34,Q26+1))*V32</f>
        <v>6.7134715099973111E-2</v>
      </c>
      <c r="AN26" s="10">
        <v>1</v>
      </c>
      <c r="AO26" s="9">
        <f>((($W$25)^Q26)*((1-($W$25))^($U$33-Q26))*HLOOKUP($U$33,$AV$24:$BF$34,Q26+1))*V33</f>
        <v>7.6940603754579354E-2</v>
      </c>
      <c r="AP26" s="10">
        <v>1</v>
      </c>
      <c r="AQ26" s="9">
        <f>((($W$25)^Q26)*((1-($W$25))^($U$34-Q26))*HLOOKUP($U$34,$AV$24:$BF$34,Q26+1))*V34</f>
        <v>5.150315131674741E-2</v>
      </c>
      <c r="AR26" s="10">
        <v>1</v>
      </c>
      <c r="AS26" s="9">
        <f>((($W$25)^Q26)*((1-($W$25))^($U$35-Q26))*HLOOKUP($U$35,$AV$24:$BF$34,Q26+1))*V35</f>
        <v>1.5476607406321223E-2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2.4470849456834872E-3</v>
      </c>
      <c r="BQ26" s="1">
        <f>BQ20+1</f>
        <v>7</v>
      </c>
      <c r="BR26" s="1">
        <v>2</v>
      </c>
      <c r="BS26" s="2">
        <f t="shared" si="14"/>
        <v>8.5813448034207827E-4</v>
      </c>
    </row>
    <row r="27" spans="1:71" x14ac:dyDescent="0.25">
      <c r="A27" s="67" t="s">
        <v>30</v>
      </c>
      <c r="B27" s="74">
        <f>1/(1+EXP(-3.1416*4*((B12/(B12+C7))-(3.1416/6))))</f>
        <v>5.5770626618527695E-3</v>
      </c>
      <c r="C27" s="73">
        <f>1/(1+EXP(-3.1416*4*((C12/(C12+B7))-(3.1416/6))))</f>
        <v>0.45420490720444673</v>
      </c>
      <c r="D27" s="8">
        <f>D26</f>
        <v>0.1285</v>
      </c>
      <c r="E27" s="8">
        <f>E26</f>
        <v>0.29699999999999999</v>
      </c>
      <c r="G27" s="62">
        <v>2</v>
      </c>
      <c r="H27" s="61">
        <f>L25*J27+J26*L26+J25*L27</f>
        <v>0.28124960838186253</v>
      </c>
      <c r="I27" s="24">
        <v>2</v>
      </c>
      <c r="J27" s="23">
        <f t="shared" si="15"/>
        <v>0.30195062318909277</v>
      </c>
      <c r="K27" s="24">
        <v>2</v>
      </c>
      <c r="L27" s="23">
        <f>AD18</f>
        <v>4.7142168432829999E-2</v>
      </c>
      <c r="M27" s="17">
        <v>2</v>
      </c>
      <c r="N27" s="32">
        <f>(($B$24)^M27)*((1-($B$24))^($B$21-M27))*HLOOKUP($B$21,$AV$24:$BF$34,M27+1)</f>
        <v>6.3166282402394122E-2</v>
      </c>
      <c r="O27" s="16">
        <v>2</v>
      </c>
      <c r="P27" s="32">
        <f t="shared" si="16"/>
        <v>6.3166282402394122E-2</v>
      </c>
      <c r="Q27" s="10">
        <v>2</v>
      </c>
      <c r="R27" s="11">
        <f>P25*N27+P26*N26+P27*N25</f>
        <v>1.3909908971446058E-4</v>
      </c>
      <c r="S27" s="16">
        <v>2</v>
      </c>
      <c r="T27" s="15">
        <f t="shared" si="17"/>
        <v>0</v>
      </c>
      <c r="U27" s="24">
        <v>2</v>
      </c>
      <c r="V27" s="23">
        <f>R27*T25+T26*R26+R25*T27</f>
        <v>1.3844661247713793E-4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9.1184772973326994E-6</v>
      </c>
      <c r="AD27" s="10">
        <v>2</v>
      </c>
      <c r="AE27" s="9">
        <f>((($W$25)^M27)*((1-($W$25))^($U$28-M27))*HLOOKUP($U$28,$AV$24:$BF$34,M27+1))*V28</f>
        <v>1.9486560666145944E-4</v>
      </c>
      <c r="AF27" s="10">
        <v>2</v>
      </c>
      <c r="AG27" s="9">
        <f>((($W$25)^M27)*((1-($W$25))^($U$29-M27))*HLOOKUP($U$29,$AV$24:$BF$34,M27+1))*V29</f>
        <v>1.822017730735337E-3</v>
      </c>
      <c r="AH27" s="10">
        <v>2</v>
      </c>
      <c r="AI27" s="9">
        <f>((($W$25)^M27)*((1-($W$25))^($U$30-M27))*HLOOKUP($U$30,$AV$24:$BF$34,M27+1))*V30</f>
        <v>9.7358001588385007E-3</v>
      </c>
      <c r="AJ27" s="10">
        <v>2</v>
      </c>
      <c r="AK27" s="9">
        <f>((($W$25)^M27)*((1-($W$25))^($U$31-M27))*HLOOKUP($U$31,$AV$24:$BF$34,M27+1))*V31</f>
        <v>3.2518776430252756E-2</v>
      </c>
      <c r="AL27" s="10">
        <v>2</v>
      </c>
      <c r="AM27" s="9">
        <f>((($W$25)^Q27)*((1-($W$25))^($U$32-Q27))*HLOOKUP($U$32,$AV$24:$BF$34,Q27+1))*V32</f>
        <v>6.9532478098108544E-2</v>
      </c>
      <c r="AN27" s="10">
        <v>2</v>
      </c>
      <c r="AO27" s="9">
        <f>((($W$25)^Q27)*((1-($W$25))^($U$33-Q27))*HLOOKUP($U$33,$AV$24:$BF$34,Q27+1))*V33</f>
        <v>9.2970022692871412E-2</v>
      </c>
      <c r="AP27" s="10">
        <v>2</v>
      </c>
      <c r="AQ27" s="9">
        <f>((($W$25)^Q27)*((1-($W$25))^($U$34-Q27))*HLOOKUP($U$34,$AV$24:$BF$34,Q27+1))*V34</f>
        <v>7.1123496203764444E-2</v>
      </c>
      <c r="AR27" s="10">
        <v>2</v>
      </c>
      <c r="AS27" s="9">
        <f>((($W$25)^Q27)*((1-($W$25))^($U$35-Q27))*HLOOKUP($U$35,$AV$24:$BF$34,Q27+1))*V35</f>
        <v>2.4044047790562961E-2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3.9269971089748833E-4</v>
      </c>
      <c r="BQ27" s="1">
        <f>BQ21+1</f>
        <v>7</v>
      </c>
      <c r="BR27" s="1">
        <v>3</v>
      </c>
      <c r="BS27" s="2">
        <f t="shared" si="14"/>
        <v>6.8463963996422302E-4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0.23493562215671734</v>
      </c>
      <c r="I28" s="24">
        <v>3</v>
      </c>
      <c r="J28" s="23">
        <f t="shared" si="15"/>
        <v>0.20240425514200974</v>
      </c>
      <c r="K28" s="24">
        <v>3</v>
      </c>
      <c r="L28" s="23">
        <f>AE18</f>
        <v>3.3129076643747327E-3</v>
      </c>
      <c r="M28" s="17">
        <v>3</v>
      </c>
      <c r="N28" s="32">
        <f>(($B$24)^M28)*((1-($B$24))^($B$21-M28))*HLOOKUP($B$21,$AV$24:$BF$34,M28+1)</f>
        <v>0.22694193220298575</v>
      </c>
      <c r="O28" s="16">
        <v>3</v>
      </c>
      <c r="P28" s="32">
        <f t="shared" si="16"/>
        <v>0.22694193220298575</v>
      </c>
      <c r="Q28" s="10">
        <v>3</v>
      </c>
      <c r="R28" s="11">
        <f>P25*N28+P26*N27+P27*N26+P28*N25</f>
        <v>1.3326694764728756E-3</v>
      </c>
      <c r="S28" s="16">
        <v>3</v>
      </c>
      <c r="T28" s="15">
        <f t="shared" si="17"/>
        <v>0</v>
      </c>
      <c r="U28" s="24">
        <v>3</v>
      </c>
      <c r="V28" s="23">
        <f>R28*T25+R27*T26+R26*T27+R25*T28</f>
        <v>1.3267016245390834E-3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2.2425040800567846E-5</v>
      </c>
      <c r="AF28" s="10">
        <v>3</v>
      </c>
      <c r="AG28" s="9">
        <f>((($W$25)^M28)*((1-($W$25))^($U$29-M28))*HLOOKUP($U$29,$AV$24:$BF$34,M28+1))*V29</f>
        <v>4.1935385778037399E-4</v>
      </c>
      <c r="AH28" s="10">
        <v>3</v>
      </c>
      <c r="AI28" s="9">
        <f>((($W$25)^M28)*((1-($W$25))^($U$30-M28))*HLOOKUP($U$30,$AV$24:$BF$34,M28+1))*V30</f>
        <v>3.361173675466901E-3</v>
      </c>
      <c r="AJ28" s="10">
        <v>3</v>
      </c>
      <c r="AK28" s="9">
        <f>((($W$25)^M28)*((1-($W$25))^($U$31-M28))*HLOOKUP($U$31,$AV$24:$BF$34,M28+1))*V31</f>
        <v>1.4968980944900432E-2</v>
      </c>
      <c r="AL28" s="10">
        <v>3</v>
      </c>
      <c r="AM28" s="9">
        <f>((($W$25)^Q28)*((1-($W$25))^($U$32-Q28))*HLOOKUP($U$32,$AV$24:$BF$34,Q28+1))*V32</f>
        <v>4.0008821593222353E-2</v>
      </c>
      <c r="AN28" s="10">
        <v>3</v>
      </c>
      <c r="AO28" s="9">
        <f>((($W$25)^Q28)*((1-($W$25))^($U$33-Q28))*HLOOKUP($U$33,$AV$24:$BF$34,Q28+1))*V33</f>
        <v>6.4193674435511494E-2</v>
      </c>
      <c r="AP28" s="10">
        <v>3</v>
      </c>
      <c r="AQ28" s="9">
        <f>((($W$25)^Q28)*((1-($W$25))^($U$34-Q28))*HLOOKUP($U$34,$AV$24:$BF$34,Q28+1))*V34</f>
        <v>5.7294005448254887E-2</v>
      </c>
      <c r="AR28" s="10">
        <v>3</v>
      </c>
      <c r="AS28" s="9">
        <f>((($W$25)^Q28)*((1-($W$25))^($U$35-Q28))*HLOOKUP($U$35,$AV$24:$BF$34,Q28+1))*V35</f>
        <v>2.2135820146072745E-2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4.4226171211784956E-5</v>
      </c>
      <c r="BQ28" s="1">
        <f>BQ22+1</f>
        <v>7</v>
      </c>
      <c r="BR28" s="1">
        <v>4</v>
      </c>
      <c r="BS28" s="2">
        <f t="shared" si="14"/>
        <v>3.8983575865792565E-4</v>
      </c>
    </row>
    <row r="29" spans="1:71" x14ac:dyDescent="0.25">
      <c r="A29" s="67" t="s">
        <v>28</v>
      </c>
      <c r="B29" s="74">
        <f>1/(1+EXP(-3.1416*4*((B14/(B14+C13))-(3.1416/6))))</f>
        <v>0.32839636256027932</v>
      </c>
      <c r="C29" s="73">
        <f>1/(1+EXP(-3.1416*4*((C14/(C14+B13))-(3.1416/6))))</f>
        <v>0.36635291354679422</v>
      </c>
      <c r="D29" s="8">
        <v>0.04</v>
      </c>
      <c r="E29" s="8">
        <v>0.04</v>
      </c>
      <c r="G29" s="62">
        <v>4</v>
      </c>
      <c r="H29" s="61">
        <f>J29*L25+J28*L26+J27*L27+J26*L28</f>
        <v>0.13361755569007472</v>
      </c>
      <c r="I29" s="24">
        <v>4</v>
      </c>
      <c r="J29" s="23">
        <f t="shared" si="15"/>
        <v>8.9051446196348777E-2</v>
      </c>
      <c r="K29" s="24">
        <v>4</v>
      </c>
      <c r="L29" s="23"/>
      <c r="M29" s="17">
        <v>4</v>
      </c>
      <c r="N29" s="32">
        <f>(($B$24)^M29)*((1-($B$24))^($B$21-M29))*HLOOKUP($B$21,$AV$24:$BF$34,M29+1)</f>
        <v>0.40767509684939562</v>
      </c>
      <c r="O29" s="16">
        <v>4</v>
      </c>
      <c r="P29" s="32">
        <f t="shared" si="16"/>
        <v>0.40767509684939562</v>
      </c>
      <c r="Q29" s="10">
        <v>4</v>
      </c>
      <c r="R29" s="11">
        <f>P25*N29+P26*N28+P27*N27+P28*N26+P29*N25</f>
        <v>8.3789563883319117E-3</v>
      </c>
      <c r="S29" s="16">
        <v>4</v>
      </c>
      <c r="T29" s="15">
        <f t="shared" si="17"/>
        <v>0</v>
      </c>
      <c r="U29" s="24">
        <v>4</v>
      </c>
      <c r="V29" s="23">
        <f>T29*R25+T28*R26+T27*R27+T26*R28+T25*R29</f>
        <v>8.3437249537726167E-3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3.6194281016472766E-5</v>
      </c>
      <c r="AH29" s="10">
        <v>4</v>
      </c>
      <c r="AI29" s="9">
        <f>((($W$25)^M29)*((1-($W$25))^($U$30-M29))*HLOOKUP($U$30,$AV$24:$BF$34,M29+1))*V30</f>
        <v>5.802033881311449E-4</v>
      </c>
      <c r="AJ29" s="10">
        <v>4</v>
      </c>
      <c r="AK29" s="9">
        <f>((($W$25)^M29)*((1-($W$25))^($U$31-M29))*HLOOKUP($U$31,$AV$24:$BF$34,M29+1))*V31</f>
        <v>3.8759021251238983E-3</v>
      </c>
      <c r="AL29" s="10">
        <v>4</v>
      </c>
      <c r="AM29" s="9">
        <f>((($W$25)^Q29)*((1-($W$25))^($U$32-Q29))*HLOOKUP($U$32,$AV$24:$BF$34,Q29+1))*V32</f>
        <v>1.3812588152141569E-2</v>
      </c>
      <c r="AN29" s="10">
        <v>4</v>
      </c>
      <c r="AO29" s="9">
        <f>((($W$25)^Q29)*((1-($W$25))^($U$33-Q29))*HLOOKUP($U$33,$AV$24:$BF$34,Q29+1))*V33</f>
        <v>2.7702665051142935E-2</v>
      </c>
      <c r="AP29" s="10">
        <v>4</v>
      </c>
      <c r="AQ29" s="9">
        <f>((($W$25)^Q29)*((1-($W$25))^($U$34-Q29))*HLOOKUP($U$34,$AV$24:$BF$34,Q29+1))*V34</f>
        <v>2.967015033169694E-2</v>
      </c>
      <c r="AR29" s="10">
        <v>4</v>
      </c>
      <c r="AS29" s="9">
        <f>((($W$25)^Q29)*((1-($W$25))^($U$35-Q29))*HLOOKUP($U$35,$AV$24:$BF$34,Q29+1))*V35</f>
        <v>1.3373742867095825E-2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3.5247953090719842E-6</v>
      </c>
      <c r="BQ29" s="1">
        <f>BQ23+1</f>
        <v>7</v>
      </c>
      <c r="BR29" s="1">
        <v>5</v>
      </c>
      <c r="BS29" s="2">
        <f t="shared" si="14"/>
        <v>1.3990170020374568E-4</v>
      </c>
    </row>
    <row r="30" spans="1:71" x14ac:dyDescent="0.25">
      <c r="A30" s="67" t="s">
        <v>27</v>
      </c>
      <c r="B30" s="72">
        <v>0.75</v>
      </c>
      <c r="C30" s="71">
        <f>IF(C17="TL",0.55,0.15)</f>
        <v>0.15</v>
      </c>
      <c r="D30" s="8">
        <f>IF(B17="TL",0.875*B32,0.001)</f>
        <v>0.4375</v>
      </c>
      <c r="E30" s="8">
        <f>IF(C17="TL",0.875*C32,0.001)</f>
        <v>1E-3</v>
      </c>
      <c r="G30" s="62">
        <v>5</v>
      </c>
      <c r="H30" s="61">
        <f>J30*L25+J29*L26+J28*L27+J27*L28</f>
        <v>5.4675788638571532E-2</v>
      </c>
      <c r="I30" s="24">
        <v>5</v>
      </c>
      <c r="J30" s="23">
        <f t="shared" si="15"/>
        <v>2.6871549878035139E-2</v>
      </c>
      <c r="K30" s="24">
        <v>5</v>
      </c>
      <c r="L30" s="23"/>
      <c r="M30" s="17">
        <v>5</v>
      </c>
      <c r="N30" s="32">
        <f>(($B$24)^M30)*((1-($B$24))^($B$21-M30))*HLOOKUP($B$21,$AV$24:$BF$34,M30+1)</f>
        <v>0.29293658157895508</v>
      </c>
      <c r="O30" s="16">
        <v>5</v>
      </c>
      <c r="P30" s="32">
        <f t="shared" si="16"/>
        <v>0.29293658157895508</v>
      </c>
      <c r="Q30" s="10">
        <v>5</v>
      </c>
      <c r="R30" s="11">
        <f>P25*N30+P26*N29+P27*N28+P28*N27+P29*N26+P30*N25</f>
        <v>3.6124397009766523E-2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3.5985669806659348E-2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4.0061717019379893E-5</v>
      </c>
      <c r="AJ30" s="10">
        <v>5</v>
      </c>
      <c r="AK30" s="9">
        <f>((($W$25)^M30)*((1-($W$25))^($U$31-M30))*HLOOKUP($U$31,$AV$24:$BF$34,M30+1))*V31</f>
        <v>5.3524435502410239E-4</v>
      </c>
      <c r="AL30" s="10">
        <v>5</v>
      </c>
      <c r="AM30" s="9">
        <f>((($W$25)^Q30)*((1-($W$25))^($U$32-Q30))*HLOOKUP($U$32,$AV$24:$BF$34,Q30+1))*V32</f>
        <v>2.8611828671255106E-3</v>
      </c>
      <c r="AN30" s="10">
        <v>5</v>
      </c>
      <c r="AO30" s="9">
        <f>((($W$25)^Q30)*((1-($W$25))^($U$33-Q30))*HLOOKUP($U$33,$AV$24:$BF$34,Q30+1))*V33</f>
        <v>7.6512226620138162E-3</v>
      </c>
      <c r="AP30" s="10">
        <v>5</v>
      </c>
      <c r="AQ30" s="9">
        <f>((($W$25)^Q30)*((1-($W$25))^($U$34-Q30))*HLOOKUP($U$34,$AV$24:$BF$34,Q30+1))*V34</f>
        <v>1.0243280122333864E-2</v>
      </c>
      <c r="AR30" s="10">
        <v>5</v>
      </c>
      <c r="AS30" s="9">
        <f>((($W$25)^Q30)*((1-($W$25))^($U$35-Q30))*HLOOKUP($U$35,$AV$24:$BF$34,Q30+1))*V35</f>
        <v>5.5405581545184702E-3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1.9695580401285789E-7</v>
      </c>
      <c r="BQ30" s="1">
        <f>BM10+1</f>
        <v>7</v>
      </c>
      <c r="BR30" s="1">
        <v>6</v>
      </c>
      <c r="BS30" s="2">
        <f t="shared" si="14"/>
        <v>3.2843073155742434E-5</v>
      </c>
    </row>
    <row r="31" spans="1:71" x14ac:dyDescent="0.25">
      <c r="A31" s="70" t="s">
        <v>26</v>
      </c>
      <c r="B31" s="69">
        <f>(B25*D25)+(B26*D26)+(B27*D27)+(B28*D28)+(B29*D29)+(B30*D30)/(B25+B26+B27+B28+B29+B30)</f>
        <v>0.25663742769821002</v>
      </c>
      <c r="C31" s="68">
        <f>(C25*E25)+(C26*E26)+(C27*E27)+(C28*E28)+(C29*E29)+(C30*E30)/(C25+C26+C27+C28+C29+C30)</f>
        <v>0.39337713521001832</v>
      </c>
      <c r="G31" s="62">
        <v>6</v>
      </c>
      <c r="H31" s="61">
        <f>J31*L25+J30*L26+J29*L27+J28*L28</f>
        <v>1.6576281863066603E-2</v>
      </c>
      <c r="I31" s="24">
        <v>6</v>
      </c>
      <c r="J31" s="23">
        <f t="shared" si="15"/>
        <v>5.6324054622789617E-3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0.10815554524325165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0.10779538950208421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3.0797832170922161E-5</v>
      </c>
      <c r="AL31" s="10">
        <v>6</v>
      </c>
      <c r="AM31" s="9">
        <f>((($W$25)^Q31)*((1-($W$25))^($U$32-Q31))*HLOOKUP($U$32,$AV$24:$BF$34,Q31+1))*V32</f>
        <v>3.2926355570095221E-4</v>
      </c>
      <c r="AN31" s="10">
        <v>6</v>
      </c>
      <c r="AO31" s="9">
        <f>((($W$25)^Q31)*((1-($W$25))^($U$33-Q31))*HLOOKUP($U$33,$AV$24:$BF$34,Q31+1))*V33</f>
        <v>1.3207485659691642E-3</v>
      </c>
      <c r="AP31" s="10">
        <v>6</v>
      </c>
      <c r="AQ31" s="9">
        <f>((($W$25)^Q31)*((1-($W$25))^($U$34-Q31))*HLOOKUP($U$34,$AV$24:$BF$34,Q31+1))*V34</f>
        <v>2.3575835532029148E-3</v>
      </c>
      <c r="AR31" s="10">
        <v>6</v>
      </c>
      <c r="AS31" s="9">
        <f>((($W$25)^Q31)*((1-($W$25))^($U$35-Q31))*HLOOKUP($U$35,$AV$24:$BF$34,Q31+1))*V35</f>
        <v>1.5940119552350081E-3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2.4262965255941835E-2</v>
      </c>
      <c r="BQ31" s="1">
        <f t="shared" ref="BQ31:BQ37" si="21">BQ24+1</f>
        <v>8</v>
      </c>
      <c r="BR31" s="1">
        <v>0</v>
      </c>
      <c r="BS31" s="2">
        <f t="shared" ref="BS31:BS38" si="22">$H$33*H39</f>
        <v>1.0239471403411068E-4</v>
      </c>
    </row>
    <row r="32" spans="1:71" x14ac:dyDescent="0.25">
      <c r="A32" s="67" t="s">
        <v>25</v>
      </c>
      <c r="B32" s="66">
        <v>0.5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3.7747367452049918E-3</v>
      </c>
      <c r="I32" s="24">
        <v>7</v>
      </c>
      <c r="J32" s="23">
        <f t="shared" si="15"/>
        <v>8.0980929204559667E-4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0.22204457805609887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0.22147513289203463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1.62392110657395E-5</v>
      </c>
      <c r="AN32" s="10">
        <v>7</v>
      </c>
      <c r="AO32" s="9">
        <f>((($W$25)^Q32)*((1-($W$25))^($U$33-Q32))*HLOOKUP($U$33,$AV$24:$BF$34,Q32+1))*V33</f>
        <v>1.3027809702101208E-4</v>
      </c>
      <c r="AP32" s="10">
        <v>7</v>
      </c>
      <c r="AQ32" s="9">
        <f>((($W$25)^Q32)*((1-($W$25))^($U$34-Q32))*HLOOKUP($U$34,$AV$24:$BF$34,Q32+1))*V34</f>
        <v>3.4882661256641019E-4</v>
      </c>
      <c r="AR32" s="10">
        <v>7</v>
      </c>
      <c r="AS32" s="9">
        <f>((($W$25)^Q32)*((1-($W$25))^($U$35-Q32))*HLOOKUP($U$35,$AV$24:$BF$34,Q32+1))*V35</f>
        <v>3.1446537139243492E-4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8.7073338345783381E-3</v>
      </c>
      <c r="BQ32" s="1">
        <f t="shared" si="21"/>
        <v>8</v>
      </c>
      <c r="BR32" s="1">
        <v>1</v>
      </c>
      <c r="BS32" s="2">
        <f t="shared" si="22"/>
        <v>1.8260327266673268E-4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6.4671663175589313E-4</v>
      </c>
      <c r="I33" s="24">
        <v>8</v>
      </c>
      <c r="J33" s="23">
        <f t="shared" si="15"/>
        <v>7.6441317771702082E-5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0.29915817226409536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0.29877260429305541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5.6221279074763464E-6</v>
      </c>
      <c r="AP33" s="10">
        <v>8</v>
      </c>
      <c r="AQ33" s="9">
        <f>((($W$25)^Q33)*((1-($W$25))^($U$34-Q33))*HLOOKUP($U$34,$AV$24:$BF$34,Q33+1))*V34</f>
        <v>3.0107099784605354E-5</v>
      </c>
      <c r="AR33" s="10">
        <v>8</v>
      </c>
      <c r="AS33" s="9">
        <f>((($W$25)^Q33)*((1-($W$25))^($U$35-Q33))*HLOOKUP($U$35,$AV$24:$BF$34,Q33+1))*V35</f>
        <v>4.0712090079620384E-5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2.0441181322603474E-3</v>
      </c>
      <c r="BQ33" s="1">
        <f t="shared" si="21"/>
        <v>8</v>
      </c>
      <c r="BR33" s="1">
        <v>2</v>
      </c>
      <c r="BS33" s="2">
        <f t="shared" si="22"/>
        <v>1.4702213112620233E-4</v>
      </c>
    </row>
    <row r="34" spans="1:71" x14ac:dyDescent="0.25">
      <c r="A34" s="65" t="s">
        <v>23</v>
      </c>
      <c r="B34" s="64">
        <f>B23*2</f>
        <v>7.8226648118766251</v>
      </c>
      <c r="C34" s="63">
        <f>C23*2</f>
        <v>2.1773351881233749</v>
      </c>
      <c r="G34" s="62">
        <v>9</v>
      </c>
      <c r="H34" s="61">
        <f>J34*L25+J33*L26+J32*L27+J31*L28</f>
        <v>8.2505343614290813E-5</v>
      </c>
      <c r="I34" s="24">
        <v>9</v>
      </c>
      <c r="J34" s="23">
        <f t="shared" si="15"/>
        <v>4.2783221149700041E-6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0.23884589853186278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0.23914745990052394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1.1549035471567981E-6</v>
      </c>
      <c r="AR34" s="10">
        <v>9</v>
      </c>
      <c r="AS34" s="9">
        <f>((($W$25)^Q34)*((1-($W$25))^($U$35-Q34))*HLOOKUP($U$35,$AV$24:$BF$34,Q34+1))*V35</f>
        <v>3.1234185678132064E-6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3.2803299329469982E-4</v>
      </c>
      <c r="BQ34" s="1">
        <f t="shared" si="21"/>
        <v>8</v>
      </c>
      <c r="BR34" s="1">
        <v>3</v>
      </c>
      <c r="BS34" s="2">
        <f t="shared" si="22"/>
        <v>1.1729767446343722E-4</v>
      </c>
    </row>
    <row r="35" spans="1:71" ht="15.75" thickBot="1" x14ac:dyDescent="0.3">
      <c r="G35" s="60">
        <v>10</v>
      </c>
      <c r="H35" s="59">
        <f>J35*L25+J34*L26+J33*L27+J32*L28</f>
        <v>7.6375546925614091E-6</v>
      </c>
      <c r="I35" s="14">
        <v>10</v>
      </c>
      <c r="J35" s="13">
        <f t="shared" si="15"/>
        <v>1.0783245440866514E-7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8.581184082716381E-2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8.7006070319822992E-2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1.0783245440866514E-7</v>
      </c>
      <c r="BI35" s="1">
        <f t="shared" si="19"/>
        <v>3</v>
      </c>
      <c r="BJ35" s="1">
        <v>8</v>
      </c>
      <c r="BK35" s="2">
        <f t="shared" si="20"/>
        <v>3.6943351171330054E-5</v>
      </c>
      <c r="BQ35" s="1">
        <f t="shared" si="21"/>
        <v>8</v>
      </c>
      <c r="BR35" s="1">
        <v>4</v>
      </c>
      <c r="BS35" s="2">
        <f t="shared" si="22"/>
        <v>6.678962952781112E-5</v>
      </c>
    </row>
    <row r="36" spans="1:71" ht="15.75" x14ac:dyDescent="0.25">
      <c r="A36" s="58" t="s">
        <v>22</v>
      </c>
      <c r="B36" s="48">
        <f>SUM(BO4:BO14)</f>
        <v>0.1914468346213995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1</v>
      </c>
      <c r="BI36" s="1">
        <f t="shared" si="19"/>
        <v>3</v>
      </c>
      <c r="BJ36" s="1">
        <v>9</v>
      </c>
      <c r="BK36" s="2">
        <f t="shared" si="20"/>
        <v>2.944359580360961E-6</v>
      </c>
      <c r="BQ36" s="1">
        <f t="shared" si="21"/>
        <v>8</v>
      </c>
      <c r="BR36" s="1">
        <v>5</v>
      </c>
      <c r="BS36" s="2">
        <f t="shared" si="22"/>
        <v>2.3969024183638982E-5</v>
      </c>
    </row>
    <row r="37" spans="1:71" ht="16.5" thickBot="1" x14ac:dyDescent="0.3">
      <c r="A37" s="55" t="s">
        <v>21</v>
      </c>
      <c r="B37" s="48">
        <f>SUM(BK4:BK59)</f>
        <v>0.31128286581579845</v>
      </c>
      <c r="G37" s="4"/>
      <c r="H37" s="50">
        <f>SUM(H39:H49)</f>
        <v>0.99999997275234986</v>
      </c>
      <c r="I37" s="53"/>
      <c r="J37" s="50">
        <f>SUM(J39:J49)</f>
        <v>0.99999999999999978</v>
      </c>
      <c r="K37" s="50"/>
      <c r="L37" s="50">
        <f>SUM(L39:L49)</f>
        <v>1</v>
      </c>
      <c r="M37" s="53"/>
      <c r="N37" s="54">
        <f>SUM(N39:N49)</f>
        <v>1</v>
      </c>
      <c r="O37" s="53"/>
      <c r="P37" s="54">
        <f>SUM(P39:P49)</f>
        <v>1</v>
      </c>
      <c r="Q37" s="53"/>
      <c r="R37" s="50">
        <f>SUM(R39:R49)</f>
        <v>1</v>
      </c>
      <c r="S37" s="53"/>
      <c r="T37" s="50">
        <f>SUM(T39:T49)</f>
        <v>1</v>
      </c>
      <c r="U37" s="53"/>
      <c r="V37" s="52">
        <f>SUM(V39:V48)</f>
        <v>0.99999951147024746</v>
      </c>
      <c r="W37" s="4"/>
      <c r="X37" s="4"/>
      <c r="Y37" s="50">
        <f>SUM(Y39:Y49)</f>
        <v>8.3687890769784321E-2</v>
      </c>
      <c r="Z37" s="51"/>
      <c r="AA37" s="50">
        <f>SUM(AA39:AA49)</f>
        <v>0.23503687555483449</v>
      </c>
      <c r="AB37" s="51"/>
      <c r="AC37" s="50">
        <f>SUM(AC39:AC49)</f>
        <v>0.29762738446318054</v>
      </c>
      <c r="AD37" s="51"/>
      <c r="AE37" s="50">
        <f>SUM(AE39:AE49)</f>
        <v>0.22393811768374158</v>
      </c>
      <c r="AF37" s="51"/>
      <c r="AG37" s="50">
        <f>SUM(AG39:AG49)</f>
        <v>0.11099345184502368</v>
      </c>
      <c r="AH37" s="51"/>
      <c r="AI37" s="50">
        <f>SUM(AI39:AI49)</f>
        <v>3.7935541826814093E-2</v>
      </c>
      <c r="AJ37" s="51"/>
      <c r="AK37" s="50">
        <f>SUM(AK39:AK49)</f>
        <v>9.0836605580191486E-3</v>
      </c>
      <c r="AL37" s="51"/>
      <c r="AM37" s="50">
        <f>SUM(AM39:AM49)</f>
        <v>1.5140308394373477E-3</v>
      </c>
      <c r="AN37" s="51"/>
      <c r="AO37" s="50">
        <f>SUM(AO39:AO49)</f>
        <v>1.7042011376543361E-4</v>
      </c>
      <c r="AP37" s="51"/>
      <c r="AQ37" s="50">
        <f>SUM(AQ39:AQ49)</f>
        <v>1.2137815646719623E-5</v>
      </c>
      <c r="AR37" s="51"/>
      <c r="AS37" s="50">
        <f>SUM(AS39:AS49)</f>
        <v>4.8852975254032295E-7</v>
      </c>
      <c r="BI37" s="1">
        <f t="shared" si="19"/>
        <v>3</v>
      </c>
      <c r="BJ37" s="1">
        <v>10</v>
      </c>
      <c r="BK37" s="2">
        <f t="shared" si="20"/>
        <v>1.6452266234025191E-7</v>
      </c>
      <c r="BQ37" s="1">
        <f t="shared" si="21"/>
        <v>8</v>
      </c>
      <c r="BR37" s="1">
        <v>6</v>
      </c>
      <c r="BS37" s="2">
        <f t="shared" si="22"/>
        <v>5.6269252881741463E-6</v>
      </c>
    </row>
    <row r="38" spans="1:71" ht="16.5" thickBot="1" x14ac:dyDescent="0.3">
      <c r="A38" s="49" t="s">
        <v>20</v>
      </c>
      <c r="B38" s="48">
        <f>SUM(BS4:BS47)</f>
        <v>0.4972621279319937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4.9522190499393251E-3</v>
      </c>
      <c r="BQ38" s="1">
        <f>BM11+1</f>
        <v>8</v>
      </c>
      <c r="BR38" s="1">
        <v>7</v>
      </c>
      <c r="BS38" s="2">
        <f t="shared" si="22"/>
        <v>9.029894682673436E-7</v>
      </c>
    </row>
    <row r="39" spans="1:71" x14ac:dyDescent="0.25">
      <c r="G39" s="38">
        <v>0</v>
      </c>
      <c r="H39" s="37">
        <f>L39*J39</f>
        <v>0.1583301078187829</v>
      </c>
      <c r="I39" s="36">
        <v>0</v>
      </c>
      <c r="J39" s="34">
        <f t="shared" ref="J39:J49" si="26">Y39+AA39+AC39+AE39+AG39+AI39+AK39+AM39+AO39+AQ39+AS39</f>
        <v>0.40442952787006203</v>
      </c>
      <c r="K39" s="35">
        <v>0</v>
      </c>
      <c r="L39" s="34">
        <f>AH18</f>
        <v>0.39148998010267022</v>
      </c>
      <c r="M39" s="17">
        <v>0</v>
      </c>
      <c r="N39" s="32">
        <f>(1-$C$24)^$B$21</f>
        <v>0.29293658157895508</v>
      </c>
      <c r="O39" s="16">
        <v>0</v>
      </c>
      <c r="P39" s="32">
        <f t="shared" ref="P39:P44" si="27">N39</f>
        <v>0.29293658157895508</v>
      </c>
      <c r="Q39" s="10">
        <v>0</v>
      </c>
      <c r="R39" s="11">
        <f>P39*N39</f>
        <v>8.581184082716381E-2</v>
      </c>
      <c r="S39" s="16">
        <v>0</v>
      </c>
      <c r="T39" s="15">
        <f>(1-$C$33)^(INT(B23*2*(1-B31)))</f>
        <v>0.97524875312187509</v>
      </c>
      <c r="U39" s="24">
        <v>0</v>
      </c>
      <c r="V39" s="23">
        <f>R39*T39</f>
        <v>8.3687890769784321E-2</v>
      </c>
      <c r="W39" s="33">
        <f>C31</f>
        <v>0.39337713521001832</v>
      </c>
      <c r="X39" s="10">
        <v>0</v>
      </c>
      <c r="Y39" s="9">
        <f>V39</f>
        <v>8.3687890769784321E-2</v>
      </c>
      <c r="Z39" s="10">
        <v>0</v>
      </c>
      <c r="AA39" s="9">
        <f>((1-W39)^Z40)*V40</f>
        <v>0.14257874278036009</v>
      </c>
      <c r="AB39" s="10">
        <v>0</v>
      </c>
      <c r="AC39" s="9">
        <f>(((1-$W$39)^AB41))*V41</f>
        <v>0.10952428814980286</v>
      </c>
      <c r="AD39" s="10">
        <v>0</v>
      </c>
      <c r="AE39" s="9">
        <f>(((1-$W$39)^AB42))*V42</f>
        <v>4.9990139706111075E-2</v>
      </c>
      <c r="AF39" s="10">
        <v>0</v>
      </c>
      <c r="AG39" s="9">
        <f>(((1-$W$39)^AB43))*V43</f>
        <v>1.5030466524816362E-2</v>
      </c>
      <c r="AH39" s="10">
        <v>0</v>
      </c>
      <c r="AI39" s="9">
        <f>(((1-$W$39)^AB44))*V44</f>
        <v>3.1163065307088372E-3</v>
      </c>
      <c r="AJ39" s="10">
        <v>0</v>
      </c>
      <c r="AK39" s="9">
        <f>(((1-$W$39)^AB45))*V45</f>
        <v>4.526614925216021E-4</v>
      </c>
      <c r="AL39" s="10">
        <v>0</v>
      </c>
      <c r="AM39" s="9">
        <f>(((1-$W$39)^AB46))*V46</f>
        <v>4.576844435275953E-5</v>
      </c>
      <c r="AN39" s="10">
        <v>0</v>
      </c>
      <c r="AO39" s="9">
        <f>(((1-$W$39)^AB47))*V47</f>
        <v>3.1251513602816828E-6</v>
      </c>
      <c r="AP39" s="10">
        <v>0</v>
      </c>
      <c r="AQ39" s="9">
        <f>(((1-$W$39)^AB48))*V48</f>
        <v>1.3502354875323253E-7</v>
      </c>
      <c r="AR39" s="10">
        <v>0</v>
      </c>
      <c r="AS39" s="9">
        <f>(((1-$W$39)^AB49))*V49</f>
        <v>3.2966950437104041E-9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1.1625740952650974E-3</v>
      </c>
      <c r="BQ39" s="1">
        <f t="shared" ref="BQ39:BQ46" si="28">BQ31+1</f>
        <v>9</v>
      </c>
      <c r="BR39" s="1">
        <v>0</v>
      </c>
      <c r="BS39" s="2">
        <f t="shared" ref="BS39:BS47" si="29">$H$34*H39</f>
        <v>1.3063079950076395E-5</v>
      </c>
    </row>
    <row r="40" spans="1:71" x14ac:dyDescent="0.25">
      <c r="G40" s="27">
        <v>1</v>
      </c>
      <c r="H40" s="26">
        <f>L39*J40+L40*J39</f>
        <v>0.282354378564455</v>
      </c>
      <c r="I40" s="24">
        <v>1</v>
      </c>
      <c r="J40" s="23">
        <f t="shared" si="26"/>
        <v>0.38283356604619728</v>
      </c>
      <c r="K40" s="25">
        <v>1</v>
      </c>
      <c r="L40" s="23">
        <f>AI18</f>
        <v>0.32756973534573042</v>
      </c>
      <c r="M40" s="17">
        <v>1</v>
      </c>
      <c r="N40" s="32">
        <f>(($C$24)^M26)*((1-($C$24))^($B$21-M26))*HLOOKUP($B$21,$AV$24:$BF$34,M26+1)</f>
        <v>0.40767509684939562</v>
      </c>
      <c r="O40" s="16">
        <v>1</v>
      </c>
      <c r="P40" s="32">
        <f t="shared" si="27"/>
        <v>0.40767509684939562</v>
      </c>
      <c r="Q40" s="10">
        <v>1</v>
      </c>
      <c r="R40" s="11">
        <f>P40*N39+P39*N40</f>
        <v>0.23884589853186278</v>
      </c>
      <c r="S40" s="16">
        <v>1</v>
      </c>
      <c r="T40" s="15">
        <f t="shared" ref="T40:T49" si="30">(($C$33)^S40)*((1-($C$33))^(INT($B$23*2*(1-$B$31))-S40))*HLOOKUP(INT($B$23*2*(1-$B$31)),$AV$24:$BF$34,S40+1)</f>
        <v>2.4503737515625002E-2</v>
      </c>
      <c r="U40" s="24">
        <v>1</v>
      </c>
      <c r="V40" s="23">
        <f>R40*T39+T40*R39</f>
        <v>0.23503687555483449</v>
      </c>
      <c r="W40" s="12"/>
      <c r="X40" s="10">
        <v>1</v>
      </c>
      <c r="Y40" s="11"/>
      <c r="Z40" s="10">
        <v>1</v>
      </c>
      <c r="AA40" s="9">
        <f>(1-((1-W39)^Z40))*V40</f>
        <v>9.2458132774474386E-2</v>
      </c>
      <c r="AB40" s="10">
        <v>1</v>
      </c>
      <c r="AC40" s="9">
        <f>((($W$39)^M40)*((1-($W$39))^($U$27-M40))*HLOOKUP($U$27,$AV$24:$BF$34,M40+1))*V41</f>
        <v>0.14204657690640196</v>
      </c>
      <c r="AD40" s="10">
        <v>1</v>
      </c>
      <c r="AE40" s="9">
        <f>((($W$39)^M40)*((1-($W$39))^($U$28-M40))*HLOOKUP($U$28,$AV$24:$BF$34,M40+1))*V42</f>
        <v>9.7251418077424878E-2</v>
      </c>
      <c r="AF40" s="10">
        <v>1</v>
      </c>
      <c r="AG40" s="9">
        <f>((($W$39)^M40)*((1-($W$39))^($U$29-M40))*HLOOKUP($U$29,$AV$24:$BF$34,M40+1))*V43</f>
        <v>3.8987266755593525E-2</v>
      </c>
      <c r="AH40" s="10">
        <v>1</v>
      </c>
      <c r="AI40" s="9">
        <f>((($W$39)^M40)*((1-($W$39))^($U$30-M40))*HLOOKUP($U$30,$AV$24:$BF$34,M40+1))*V44</f>
        <v>1.0104166910283917E-2</v>
      </c>
      <c r="AJ40" s="10">
        <v>1</v>
      </c>
      <c r="AK40" s="9">
        <f>((($W$39)^M40)*((1-($W$39))^($U$31-M40))*HLOOKUP($U$31,$AV$24:$BF$34,M40+1))*V45</f>
        <v>1.7612262064307844E-3</v>
      </c>
      <c r="AL40" s="10">
        <v>1</v>
      </c>
      <c r="AM40" s="9">
        <f>((($W$39)^Q40)*((1-($W$39))^($U$32-Q40))*HLOOKUP($U$32,$AV$24:$BF$34,Q40+1))*V46</f>
        <v>2.0775645623114864E-4</v>
      </c>
      <c r="AN40" s="10">
        <v>1</v>
      </c>
      <c r="AO40" s="9">
        <f>((($W$39)^Q40)*((1-($W$39))^($U$33-Q40))*HLOOKUP($U$33,$AV$24:$BF$34,Q40+1))*V47</f>
        <v>1.6212551956885657E-5</v>
      </c>
      <c r="AP40" s="10">
        <v>1</v>
      </c>
      <c r="AQ40" s="9">
        <f>((($W$39)^Q40)*((1-($W$39))^($U$34-Q40))*HLOOKUP($U$34,$AV$24:$BF$34,Q40+1))*V48</f>
        <v>7.8802929941559703E-7</v>
      </c>
      <c r="AR40" s="10">
        <v>1</v>
      </c>
      <c r="AS40" s="9">
        <f>((($W$39)^Q40)*((1-($W$39))^($U$35-Q40))*HLOOKUP($U$35,$AV$24:$BF$34,Q40+1))*V49</f>
        <v>2.1378100418368575E-8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1.8656586152141012E-4</v>
      </c>
      <c r="BQ40" s="1">
        <f t="shared" si="28"/>
        <v>9</v>
      </c>
      <c r="BR40" s="1">
        <v>1</v>
      </c>
      <c r="BS40" s="2">
        <f t="shared" si="29"/>
        <v>2.3295745024459907E-5</v>
      </c>
    </row>
    <row r="41" spans="1:71" x14ac:dyDescent="0.25">
      <c r="G41" s="27">
        <v>2</v>
      </c>
      <c r="H41" s="26">
        <f>L39*J41+J40*L40+J39*L41</f>
        <v>0.2273362457480399</v>
      </c>
      <c r="I41" s="24">
        <v>2</v>
      </c>
      <c r="J41" s="23">
        <f t="shared" si="26"/>
        <v>0.16344720576851837</v>
      </c>
      <c r="K41" s="25">
        <v>2</v>
      </c>
      <c r="L41" s="23">
        <f>AJ18</f>
        <v>9.3820084558369113E-2</v>
      </c>
      <c r="M41" s="17">
        <v>2</v>
      </c>
      <c r="N41" s="32">
        <f>(($C$24)^M27)*((1-($C$24))^($B$21-M27))*HLOOKUP($B$21,$AV$24:$BF$34,M27+1)</f>
        <v>0.22694193220298575</v>
      </c>
      <c r="O41" s="16">
        <v>2</v>
      </c>
      <c r="P41" s="32">
        <f t="shared" si="27"/>
        <v>0.22694193220298575</v>
      </c>
      <c r="Q41" s="10">
        <v>2</v>
      </c>
      <c r="R41" s="11">
        <f>P41*N39+P40*N40+P39*N41</f>
        <v>0.29915817226409536</v>
      </c>
      <c r="S41" s="16">
        <v>2</v>
      </c>
      <c r="T41" s="15">
        <f t="shared" si="30"/>
        <v>2.4626871875000001E-4</v>
      </c>
      <c r="U41" s="24">
        <v>2</v>
      </c>
      <c r="V41" s="23">
        <f>R41*T39+T40*R40+R39*T41</f>
        <v>0.29762738446318054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4.6056519406975686E-2</v>
      </c>
      <c r="AD41" s="10">
        <v>2</v>
      </c>
      <c r="AE41" s="9">
        <f>((($W$39)^M41)*((1-($W$39))^($U$28-M41))*HLOOKUP($U$28,$AV$24:$BF$34,M41+1))*V42</f>
        <v>6.3064692181779083E-2</v>
      </c>
      <c r="AF41" s="10">
        <v>2</v>
      </c>
      <c r="AG41" s="9">
        <f>((($W$39)^M41)*((1-($W$39))^($U$29-M41))*HLOOKUP($U$29,$AV$24:$BF$34,M41+1))*V43</f>
        <v>3.7923148457222777E-2</v>
      </c>
      <c r="AH41" s="10">
        <v>2</v>
      </c>
      <c r="AI41" s="9">
        <f>((($W$39)^M41)*((1-($W$39))^($U$30-M41))*HLOOKUP($U$30,$AV$24:$BF$34,M41+1))*V44</f>
        <v>1.3104511760292594E-2</v>
      </c>
      <c r="AJ41" s="10">
        <v>2</v>
      </c>
      <c r="AK41" s="9">
        <f>((($W$39)^M41)*((1-($W$39))^($U$31-M41))*HLOOKUP($U$31,$AV$24:$BF$34,M41+1))*V45</f>
        <v>2.8552588426683065E-3</v>
      </c>
      <c r="AL41" s="10">
        <v>2</v>
      </c>
      <c r="AM41" s="9">
        <f>((($W$39)^Q41)*((1-($W$39))^($U$32-Q41))*HLOOKUP($U$32,$AV$24:$BF$34,Q41+1))*V46</f>
        <v>4.0417190473964078E-4</v>
      </c>
      <c r="AN41" s="10">
        <v>2</v>
      </c>
      <c r="AO41" s="9">
        <f>((($W$39)^Q41)*((1-($W$39))^($U$33-Q41))*HLOOKUP($U$33,$AV$24:$BF$34,Q41+1))*V47</f>
        <v>3.6796775471164277E-5</v>
      </c>
      <c r="AP41" s="10">
        <v>2</v>
      </c>
      <c r="AQ41" s="9">
        <f>((($W$39)^Q41)*((1-($W$39))^($U$34-Q41))*HLOOKUP($U$34,$AV$24:$BF$34,Q41+1))*V48</f>
        <v>2.0440555492281856E-6</v>
      </c>
      <c r="AR41" s="10">
        <v>2</v>
      </c>
      <c r="AS41" s="9">
        <f>((($W$39)^Q41)*((1-($W$39))^($U$35-Q41))*HLOOKUP($U$35,$AV$24:$BF$34,Q41+1))*V49</f>
        <v>6.238381990060069E-8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2.1011203993664106E-5</v>
      </c>
      <c r="BQ41" s="1">
        <f t="shared" si="28"/>
        <v>9</v>
      </c>
      <c r="BR41" s="1">
        <v>2</v>
      </c>
      <c r="BS41" s="2">
        <f t="shared" si="29"/>
        <v>1.875645507142489E-5</v>
      </c>
    </row>
    <row r="42" spans="1:71" ht="15" customHeight="1" x14ac:dyDescent="0.25">
      <c r="G42" s="27">
        <v>3</v>
      </c>
      <c r="H42" s="26">
        <f>J42*L39+J41*L40+L42*J39+L41*J40</f>
        <v>0.18137414240447722</v>
      </c>
      <c r="I42" s="24">
        <v>3</v>
      </c>
      <c r="J42" s="23">
        <f t="shared" si="26"/>
        <v>4.1480941063103946E-2</v>
      </c>
      <c r="K42" s="25">
        <v>3</v>
      </c>
      <c r="L42" s="23">
        <f>AK18</f>
        <v>0.18712019999323026</v>
      </c>
      <c r="M42" s="17">
        <v>3</v>
      </c>
      <c r="N42" s="32">
        <f>(($C$24)^M28)*((1-($C$24))^($B$21-M28))*HLOOKUP($B$21,$AV$24:$BF$34,M28+1)</f>
        <v>6.3166282402394122E-2</v>
      </c>
      <c r="O42" s="16">
        <v>3</v>
      </c>
      <c r="P42" s="32">
        <f t="shared" si="27"/>
        <v>6.3166282402394122E-2</v>
      </c>
      <c r="Q42" s="10">
        <v>3</v>
      </c>
      <c r="R42" s="11">
        <f>P42*N39+P41*N40+P40*N41+P39*N42</f>
        <v>0.22204457805609887</v>
      </c>
      <c r="S42" s="16">
        <v>3</v>
      </c>
      <c r="T42" s="15">
        <f t="shared" si="30"/>
        <v>1.2375312500000001E-6</v>
      </c>
      <c r="U42" s="24">
        <v>3</v>
      </c>
      <c r="V42" s="23">
        <f>R42*T39+R41*T40+R40*T41+R39*T42</f>
        <v>0.22393811768374161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1.363186771842652E-2</v>
      </c>
      <c r="AF42" s="10">
        <v>3</v>
      </c>
      <c r="AG42" s="9">
        <f>((($W$39)^M42)*((1-($W$39))^($U$29-M42))*HLOOKUP($U$29,$AV$24:$BF$34,M42+1))*V43</f>
        <v>1.6394699644136999E-2</v>
      </c>
      <c r="AH42" s="10">
        <v>3</v>
      </c>
      <c r="AI42" s="9">
        <f>((($W$39)^M42)*((1-($W$39))^($U$30-M42))*HLOOKUP($U$30,$AV$24:$BF$34,M42+1))*V44</f>
        <v>8.497891513493493E-3</v>
      </c>
      <c r="AJ42" s="10">
        <v>3</v>
      </c>
      <c r="AK42" s="9">
        <f>((($W$39)^M42)*((1-($W$39))^($U$31-M42))*HLOOKUP($U$31,$AV$24:$BF$34,M42+1))*V45</f>
        <v>2.468735484060135E-3</v>
      </c>
      <c r="AL42" s="10">
        <v>3</v>
      </c>
      <c r="AM42" s="9">
        <f>((($W$39)^Q42)*((1-($W$39))^($U$32-Q42))*HLOOKUP($U$32,$AV$24:$BF$34,Q42+1))*V46</f>
        <v>4.3682270937232359E-4</v>
      </c>
      <c r="AN42" s="10">
        <v>3</v>
      </c>
      <c r="AO42" s="9">
        <f>((($W$39)^Q42)*((1-($W$39))^($U$33-Q42))*HLOOKUP($U$33,$AV$24:$BF$34,Q42+1))*V47</f>
        <v>4.7723259243860703E-5</v>
      </c>
      <c r="AP42" s="10">
        <v>3</v>
      </c>
      <c r="AQ42" s="9">
        <f>((($W$39)^Q42)*((1-($W$39))^($U$34-Q42))*HLOOKUP($U$34,$AV$24:$BF$34,Q42+1))*V48</f>
        <v>3.0928568307468043E-6</v>
      </c>
      <c r="AR42" s="10">
        <v>3</v>
      </c>
      <c r="AS42" s="9">
        <f>((($W$39)^Q42)*((1-($W$39))^($U$35-Q42))*HLOOKUP($U$35,$AV$24:$BF$34,Q42+1))*V49</f>
        <v>1.0787753987018882E-7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1.6745784508491874E-6</v>
      </c>
      <c r="BQ42" s="1">
        <f t="shared" si="28"/>
        <v>9</v>
      </c>
      <c r="BR42" s="1">
        <v>3</v>
      </c>
      <c r="BS42" s="2">
        <f t="shared" si="29"/>
        <v>1.4964335941828706E-5</v>
      </c>
    </row>
    <row r="43" spans="1:71" ht="15" customHeight="1" x14ac:dyDescent="0.25">
      <c r="G43" s="27">
        <v>4</v>
      </c>
      <c r="H43" s="26">
        <f>J43*L39+J42*L40+J41*L41+J40*L42</f>
        <v>0.10327495265812375</v>
      </c>
      <c r="I43" s="24">
        <v>4</v>
      </c>
      <c r="J43" s="23">
        <f t="shared" si="26"/>
        <v>6.9389455708701005E-3</v>
      </c>
      <c r="K43" s="25">
        <v>4</v>
      </c>
      <c r="L43" s="23"/>
      <c r="M43" s="17">
        <v>4</v>
      </c>
      <c r="N43" s="32">
        <f>(($C$24)^M29)*((1-($C$24))^($B$21-M29))*HLOOKUP($B$21,$AV$24:$BF$34,M29+1)</f>
        <v>8.790749232209346E-3</v>
      </c>
      <c r="O43" s="16">
        <v>4</v>
      </c>
      <c r="P43" s="32">
        <f t="shared" si="27"/>
        <v>8.790749232209346E-3</v>
      </c>
      <c r="Q43" s="10">
        <v>4</v>
      </c>
      <c r="R43" s="11">
        <f>P43*N39+P42*N40+P41*N41+P40*N42+P39*N43</f>
        <v>0.10815554524325165</v>
      </c>
      <c r="S43" s="16">
        <v>4</v>
      </c>
      <c r="T43" s="15">
        <f t="shared" si="30"/>
        <v>3.1093749999999999E-9</v>
      </c>
      <c r="U43" s="24">
        <v>4</v>
      </c>
      <c r="V43" s="23">
        <f>T43*R39+T42*R40+T41*R41+T40*R42+T39*R43</f>
        <v>0.11099345184502371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2.6578704632540216E-3</v>
      </c>
      <c r="AH43" s="10">
        <v>4</v>
      </c>
      <c r="AI43" s="9">
        <f>((($W$39)^M43)*((1-($W$39))^($U$30-M43))*HLOOKUP($U$30,$AV$24:$BF$34,M43+1))*V44</f>
        <v>2.7553166991660712E-3</v>
      </c>
      <c r="AJ43" s="10">
        <v>4</v>
      </c>
      <c r="AK43" s="9">
        <f>((($W$39)^M43)*((1-($W$39))^($U$31-M43))*HLOOKUP($U$31,$AV$24:$BF$34,M43+1))*V45</f>
        <v>1.2006769139592758E-3</v>
      </c>
      <c r="AL43" s="10">
        <v>4</v>
      </c>
      <c r="AM43" s="9">
        <f>((($W$39)^Q43)*((1-($W$39))^($U$32-Q43))*HLOOKUP($U$32,$AV$24:$BF$34,Q43+1))*V46</f>
        <v>2.8326671476033838E-4</v>
      </c>
      <c r="AN43" s="10">
        <v>4</v>
      </c>
      <c r="AO43" s="9">
        <f>((($W$39)^Q43)*((1-($W$39))^($U$33-Q43))*HLOOKUP($U$33,$AV$24:$BF$34,Q43+1))*V47</f>
        <v>3.8683917335390939E-5</v>
      </c>
      <c r="AP43" s="10">
        <v>4</v>
      </c>
      <c r="AQ43" s="9">
        <f>((($W$39)^Q43)*((1-($W$39))^($U$34-Q43))*HLOOKUP($U$34,$AV$24:$BF$34,Q43+1))*V48</f>
        <v>3.0084404091373962E-6</v>
      </c>
      <c r="AR43" s="10">
        <v>4</v>
      </c>
      <c r="AS43" s="9">
        <f>((($W$39)^Q43)*((1-($W$39))^($U$35-Q43))*HLOOKUP($U$35,$AV$24:$BF$34,Q43+1))*V49</f>
        <v>1.2242198586444618E-7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9.3570808018478358E-8</v>
      </c>
      <c r="BQ43" s="1">
        <f t="shared" si="28"/>
        <v>9</v>
      </c>
      <c r="BR43" s="1">
        <v>4</v>
      </c>
      <c r="BS43" s="2">
        <f t="shared" si="29"/>
        <v>8.520735455808116E-6</v>
      </c>
    </row>
    <row r="44" spans="1:71" ht="15" customHeight="1" thickBot="1" x14ac:dyDescent="0.3">
      <c r="G44" s="27">
        <v>5</v>
      </c>
      <c r="H44" s="26">
        <f>J44*L39+J43*L40+J42*L41+J41*L42</f>
        <v>3.7062637647899903E-2</v>
      </c>
      <c r="I44" s="24">
        <v>5</v>
      </c>
      <c r="J44" s="23">
        <f t="shared" si="26"/>
        <v>8.0111846987335254E-4</v>
      </c>
      <c r="K44" s="25">
        <v>5</v>
      </c>
      <c r="L44" s="23"/>
      <c r="M44" s="17">
        <v>5</v>
      </c>
      <c r="N44" s="32">
        <f>(($C$24)^M30)*((1-($C$24))^($B$21-M30))*HLOOKUP($B$21,$AV$24:$BF$34,M30+1)</f>
        <v>4.8935773406009575E-4</v>
      </c>
      <c r="O44" s="16">
        <v>5</v>
      </c>
      <c r="P44" s="32">
        <f t="shared" si="27"/>
        <v>4.8935773406009575E-4</v>
      </c>
      <c r="Q44" s="10">
        <v>5</v>
      </c>
      <c r="R44" s="11">
        <f>P44*N39+P43*N40+P42*N41+P41*N42+P40*N43+P39*N44</f>
        <v>3.6124397009766523E-2</v>
      </c>
      <c r="S44" s="16">
        <v>5</v>
      </c>
      <c r="T44" s="15">
        <f t="shared" si="30"/>
        <v>3.1250000000000001E-12</v>
      </c>
      <c r="U44" s="24">
        <v>5</v>
      </c>
      <c r="V44" s="23">
        <f>T44*R39+T43*R40+T42*R41+T41*R42+T40*R43+T39*R44</f>
        <v>3.79355418268141E-2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3.5734841286917917E-4</v>
      </c>
      <c r="AJ44" s="10">
        <v>5</v>
      </c>
      <c r="AK44" s="9">
        <f>((($W$39)^M44)*((1-($W$39))^($U$31-M44))*HLOOKUP($U$31,$AV$24:$BF$34,M44+1))*V45</f>
        <v>3.1144150485631743E-4</v>
      </c>
      <c r="AL44" s="10">
        <v>5</v>
      </c>
      <c r="AM44" s="9">
        <f>((($W$39)^Q44)*((1-($W$39))^($U$32-Q44))*HLOOKUP($U$32,$AV$24:$BF$34,Q44+1))*V46</f>
        <v>1.1021409368539412E-4</v>
      </c>
      <c r="AN44" s="10">
        <v>5</v>
      </c>
      <c r="AO44" s="9">
        <f>((($W$39)^Q44)*((1-($W$39))^($U$33-Q44))*HLOOKUP($U$33,$AV$24:$BF$34,Q44+1))*V47</f>
        <v>2.006830861591825E-5</v>
      </c>
      <c r="AP44" s="10">
        <v>5</v>
      </c>
      <c r="AQ44" s="9">
        <f>((($W$39)^Q44)*((1-($W$39))^($U$34-Q44))*HLOOKUP($U$34,$AV$24:$BF$34,Q44+1))*V48</f>
        <v>1.9508853659946466E-6</v>
      </c>
      <c r="AR44" s="10">
        <v>5</v>
      </c>
      <c r="AS44" s="9">
        <f>((($W$39)^Q44)*((1-($W$39))^($U$35-Q44))*HLOOKUP($U$35,$AV$24:$BF$34,Q44+1))*V49</f>
        <v>9.526448054888257E-8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4.7572083758836987E-4</v>
      </c>
      <c r="BQ44" s="1">
        <f t="shared" si="28"/>
        <v>9</v>
      </c>
      <c r="BR44" s="1">
        <v>5</v>
      </c>
      <c r="BS44" s="2">
        <f t="shared" si="29"/>
        <v>3.0578656543919324E-6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8.7007585886519478E-3</v>
      </c>
      <c r="I45" s="24">
        <v>6</v>
      </c>
      <c r="J45" s="23">
        <f t="shared" si="26"/>
        <v>6.4885378798032803E-5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8.3789563883319117E-3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9.0836605580191503E-3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3.3660113522726795E-5</v>
      </c>
      <c r="AL45" s="10">
        <v>6</v>
      </c>
      <c r="AM45" s="9">
        <f>((($W$39)^Q45)*((1-($W$39))^($U$32-Q45))*HLOOKUP($U$32,$AV$24:$BF$34,Q45+1))*V46</f>
        <v>2.3823535703542949E-5</v>
      </c>
      <c r="AN45" s="10">
        <v>6</v>
      </c>
      <c r="AO45" s="9">
        <f>((($W$39)^Q45)*((1-($W$39))^($U$33-Q45))*HLOOKUP($U$33,$AV$24:$BF$34,Q45+1))*V47</f>
        <v>6.5068547610495777E-6</v>
      </c>
      <c r="AP45" s="10">
        <v>6</v>
      </c>
      <c r="AQ45" s="9">
        <f>((($W$39)^Q45)*((1-($W$39))^($U$34-Q45))*HLOOKUP($U$34,$AV$24:$BF$34,Q45+1))*V48</f>
        <v>8.433946261530105E-7</v>
      </c>
      <c r="AR45" s="10">
        <v>6</v>
      </c>
      <c r="AS45" s="9">
        <f>((($W$39)^Q45)*((1-($W$39))^($U$35-Q45))*HLOOKUP($U$35,$AV$24:$BF$34,Q45+1))*V49</f>
        <v>5.1480184560473834E-8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7.6342031247585095E-5</v>
      </c>
      <c r="BQ45" s="1">
        <f t="shared" si="28"/>
        <v>9</v>
      </c>
      <c r="BR45" s="1">
        <v>6</v>
      </c>
      <c r="BS45" s="2">
        <f t="shared" si="29"/>
        <v>7.1785907706172089E-7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1.396267582937595E-3</v>
      </c>
      <c r="I46" s="24">
        <v>7</v>
      </c>
      <c r="J46" s="23">
        <f t="shared" si="26"/>
        <v>3.6660223804394886E-6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1.3326694764728756E-3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1.5140308394373484E-3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2.206980592199891E-6</v>
      </c>
      <c r="AN46" s="10">
        <v>7</v>
      </c>
      <c r="AO46" s="9">
        <f>((($W$39)^Q46)*((1-($W$39))^($U$33-Q46))*HLOOKUP($U$33,$AV$24:$BF$34,Q46+1))*V47</f>
        <v>1.2055727036154613E-6</v>
      </c>
      <c r="AP46" s="10">
        <v>7</v>
      </c>
      <c r="AQ46" s="9">
        <f>((($W$39)^Q46)*((1-($W$39))^($U$34-Q46))*HLOOKUP($U$34,$AV$24:$BF$34,Q46+1))*V48</f>
        <v>2.3439286191367835E-7</v>
      </c>
      <c r="AR46" s="10">
        <v>7</v>
      </c>
      <c r="AS46" s="9">
        <f>((($W$39)^Q46)*((1-($W$39))^($U$35-Q46))*HLOOKUP($U$35,$AV$24:$BF$34,Q46+1))*V49</f>
        <v>1.9076222710458158E-8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8.5977036675040995E-6</v>
      </c>
      <c r="BQ46" s="1">
        <f t="shared" si="28"/>
        <v>9</v>
      </c>
      <c r="BR46" s="1">
        <v>7</v>
      </c>
      <c r="BS46" s="2">
        <f t="shared" si="29"/>
        <v>1.1519953670776156E-7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1.5724882770943284E-4</v>
      </c>
      <c r="I47" s="24">
        <v>8</v>
      </c>
      <c r="J47" s="23">
        <f t="shared" si="26"/>
        <v>1.4036043037617738E-7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1.3909908971446058E-4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1.7042011376543366E-4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9.7722317267054061E-8</v>
      </c>
      <c r="AP47" s="10">
        <v>8</v>
      </c>
      <c r="AQ47" s="9">
        <f>((($W$39)^Q47)*((1-($W$39))^($U$34-Q47))*HLOOKUP($U$34,$AV$24:$BF$34,Q47+1))*V48</f>
        <v>3.799922401754603E-8</v>
      </c>
      <c r="AR47" s="10">
        <v>8</v>
      </c>
      <c r="AS47" s="9">
        <f>((($W$39)^Q47)*((1-($W$39))^($U$35-Q47))*HLOOKUP($U$35,$AV$24:$BF$34,Q47+1))*V49</f>
        <v>4.638889091577305E-9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6.8523104590917031E-7</v>
      </c>
      <c r="BQ47" s="1">
        <f>BM12+1</f>
        <v>9</v>
      </c>
      <c r="BR47" s="1">
        <v>8</v>
      </c>
      <c r="BS47" s="2">
        <f t="shared" si="29"/>
        <v>1.2973868563111171E-8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1.253262299404252E-5</v>
      </c>
      <c r="I48" s="24">
        <v>9</v>
      </c>
      <c r="J48" s="23">
        <f t="shared" si="26"/>
        <v>3.4064165849784047E-9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8.6036422499289837E-6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1.2137815646719628E-5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2.7379313595260112E-9</v>
      </c>
      <c r="AR48" s="10">
        <v>9</v>
      </c>
      <c r="AS48" s="9">
        <f>((($W$39)^Q48)*((1-($W$39))^($U$35-Q48))*HLOOKUP($U$35,$AV$24:$BF$34,Q48+1))*V49</f>
        <v>6.6848522545239352E-10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3.8288813887789926E-8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7.0028827825226349E-7</v>
      </c>
      <c r="I49" s="14">
        <v>10</v>
      </c>
      <c r="J49" s="13">
        <f t="shared" si="26"/>
        <v>4.3349306164008057E-11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2.3947099188443142E-7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4.8852975254032316E-7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4.3349306164008057E-11</v>
      </c>
      <c r="BI49" s="1">
        <f>BQ14+1</f>
        <v>6</v>
      </c>
      <c r="BJ49" s="1">
        <v>0</v>
      </c>
      <c r="BK49" s="2">
        <f>$H$31*H39</f>
        <v>2.6245244946138707E-3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2.3144925011036298E-5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2.6066008907483564E-6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2.0774429123279849E-7</v>
      </c>
    </row>
    <row r="53" spans="1:63" x14ac:dyDescent="0.25">
      <c r="BI53" s="1">
        <f>BI48+1</f>
        <v>6</v>
      </c>
      <c r="BJ53" s="1">
        <v>10</v>
      </c>
      <c r="BK53" s="2">
        <f>$H$31*H49</f>
        <v>1.1608175885711133E-8</v>
      </c>
    </row>
    <row r="54" spans="1:63" x14ac:dyDescent="0.25">
      <c r="BI54" s="1">
        <f>BI51+1</f>
        <v>7</v>
      </c>
      <c r="BJ54" s="1">
        <v>8</v>
      </c>
      <c r="BK54" s="2">
        <f>$H$32*H47</f>
        <v>5.9357292809520499E-7</v>
      </c>
    </row>
    <row r="55" spans="1:63" x14ac:dyDescent="0.25">
      <c r="BI55" s="1">
        <f>BI52+1</f>
        <v>7</v>
      </c>
      <c r="BJ55" s="1">
        <v>9</v>
      </c>
      <c r="BK55" s="2">
        <f>$H$32*H48</f>
        <v>4.7307352529413301E-8</v>
      </c>
    </row>
    <row r="56" spans="1:63" x14ac:dyDescent="0.25">
      <c r="BI56" s="1">
        <f>BI53+1</f>
        <v>7</v>
      </c>
      <c r="BJ56" s="1">
        <v>10</v>
      </c>
      <c r="BK56" s="2">
        <f>$H$32*H49</f>
        <v>2.6434038961551568E-9</v>
      </c>
    </row>
    <row r="57" spans="1:63" x14ac:dyDescent="0.25">
      <c r="BI57" s="1">
        <f>BI55+1</f>
        <v>8</v>
      </c>
      <c r="BJ57" s="1">
        <v>9</v>
      </c>
      <c r="BK57" s="2">
        <f>$H$33*H48</f>
        <v>8.1050557297736349E-9</v>
      </c>
    </row>
    <row r="58" spans="1:63" x14ac:dyDescent="0.25">
      <c r="BI58" s="1">
        <f>BI56+1</f>
        <v>8</v>
      </c>
      <c r="BJ58" s="1">
        <v>10</v>
      </c>
      <c r="BK58" s="2">
        <f>$H$33*H49</f>
        <v>4.5288807656943752E-10</v>
      </c>
    </row>
    <row r="59" spans="1:63" x14ac:dyDescent="0.25">
      <c r="BI59" s="1">
        <f>BI58+1</f>
        <v>9</v>
      </c>
      <c r="BJ59" s="1">
        <v>10</v>
      </c>
      <c r="BK59" s="2">
        <f>$H$34*H49</f>
        <v>5.7777525026263094E-11</v>
      </c>
    </row>
  </sheetData>
  <mergeCells count="1">
    <mergeCell ref="B3:C3"/>
  </mergeCells>
  <conditionalFormatting sqref="H49">
    <cfRule type="cellIs" dxfId="82" priority="1" operator="greaterThan">
      <formula>0.15</formula>
    </cfRule>
  </conditionalFormatting>
  <conditionalFormatting sqref="H39:H49">
    <cfRule type="cellIs" dxfId="81" priority="2" operator="greaterThan">
      <formula>0.15</formula>
    </cfRule>
  </conditionalFormatting>
  <conditionalFormatting sqref="H49">
    <cfRule type="cellIs" dxfId="80" priority="3" operator="greaterThan">
      <formula>0.15</formula>
    </cfRule>
  </conditionalFormatting>
  <conditionalFormatting sqref="H39:H49">
    <cfRule type="cellIs" dxfId="79" priority="4" operator="greaterThan">
      <formula>0.15</formula>
    </cfRule>
  </conditionalFormatting>
  <conditionalFormatting sqref="H35">
    <cfRule type="cellIs" dxfId="78" priority="5" operator="greaterThan">
      <formula>0.15</formula>
    </cfRule>
  </conditionalFormatting>
  <conditionalFormatting sqref="H25:H35">
    <cfRule type="cellIs" dxfId="77" priority="6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8" operator="greaterThan">
      <formula>0.15</formula>
    </cfRule>
  </conditionalFormatting>
  <conditionalFormatting sqref="V49">
    <cfRule type="cellIs" dxfId="74" priority="9" operator="greaterThan">
      <formula>0.15</formula>
    </cfRule>
  </conditionalFormatting>
  <conditionalFormatting sqref="V35">
    <cfRule type="cellIs" dxfId="73" priority="10" operator="greaterThan">
      <formula>0.15</formula>
    </cfRule>
  </conditionalFormatting>
  <conditionalFormatting sqref="V25:V35 V39:V49">
    <cfRule type="cellIs" dxfId="72" priority="11" operator="greaterThan">
      <formula>0.15</formula>
    </cfRule>
  </conditionalFormatting>
  <conditionalFormatting sqref="V49">
    <cfRule type="cellIs" dxfId="71" priority="12" operator="greaterThan">
      <formula>0.15</formula>
    </cfRule>
  </conditionalFormatting>
  <conditionalFormatting sqref="V35">
    <cfRule type="cellIs" dxfId="70" priority="13" operator="greaterThan">
      <formula>0.15</formula>
    </cfRule>
  </conditionalFormatting>
  <conditionalFormatting sqref="V25:V35 V39:V49">
    <cfRule type="cellIs" dxfId="69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E54C-D572-41EC-99DC-F559EEA247E3}">
  <sheetPr>
    <tabColor theme="0" tint="-4.9989318521683403E-2"/>
  </sheetPr>
  <dimension ref="A1:BS59"/>
  <sheetViews>
    <sheetView zoomScale="90" zoomScaleNormal="90" workbookViewId="0">
      <selection activeCell="B30" sqref="B30"/>
    </sheetView>
  </sheetViews>
  <sheetFormatPr baseColWidth="10" defaultColWidth="9.140625" defaultRowHeight="15" x14ac:dyDescent="0.25"/>
  <cols>
    <col min="1" max="1" width="22.42578125" style="1" bestFit="1" customWidth="1"/>
    <col min="2" max="3" width="8.85546875" style="1" bestFit="1" customWidth="1"/>
    <col min="4" max="4" width="11.28515625" style="1" customWidth="1"/>
    <col min="5" max="5" width="9" style="1" bestFit="1" customWidth="1"/>
    <col min="6" max="6" width="5.42578125" style="1" bestFit="1" customWidth="1"/>
    <col min="7" max="7" width="4.85546875" style="1" bestFit="1" customWidth="1"/>
    <col min="8" max="8" width="7.7109375" style="1" bestFit="1" customWidth="1"/>
    <col min="9" max="9" width="4.5703125" style="1" bestFit="1" customWidth="1"/>
    <col min="10" max="10" width="7.7109375" style="1" bestFit="1" customWidth="1"/>
    <col min="11" max="11" width="7.140625" style="1" bestFit="1" customWidth="1"/>
    <col min="12" max="12" width="7.7109375" style="1" bestFit="1" customWidth="1"/>
    <col min="13" max="13" width="6.28515625" style="1" bestFit="1" customWidth="1"/>
    <col min="14" max="15" width="12.42578125" style="1" bestFit="1" customWidth="1"/>
    <col min="16" max="16" width="8.85546875" style="1" bestFit="1" customWidth="1"/>
    <col min="17" max="17" width="6.85546875" style="1" bestFit="1" customWidth="1"/>
    <col min="18" max="18" width="7.7109375" style="1" bestFit="1" customWidth="1"/>
    <col min="19" max="19" width="6.7109375" style="1" bestFit="1" customWidth="1"/>
    <col min="20" max="20" width="8.85546875" style="1" bestFit="1" customWidth="1"/>
    <col min="21" max="21" width="7.85546875" style="1" bestFit="1" customWidth="1"/>
    <col min="22" max="22" width="8.85546875" style="1" bestFit="1" customWidth="1"/>
    <col min="23" max="23" width="7.5703125" style="1" bestFit="1" customWidth="1"/>
    <col min="24" max="25" width="8.140625" style="1" bestFit="1" customWidth="1"/>
    <col min="26" max="26" width="6.28515625" style="1" bestFit="1" customWidth="1"/>
    <col min="27" max="27" width="7.7109375" style="1" bestFit="1" customWidth="1"/>
    <col min="28" max="28" width="8.140625" style="1" bestFit="1" customWidth="1"/>
    <col min="29" max="29" width="7.7109375" style="1" bestFit="1" customWidth="1"/>
    <col min="30" max="30" width="9.42578125" style="1" bestFit="1" customWidth="1"/>
    <col min="31" max="31" width="7.7109375" style="1" bestFit="1" customWidth="1"/>
    <col min="32" max="32" width="3.42578125" style="1" bestFit="1" customWidth="1"/>
    <col min="33" max="33" width="7.7109375" style="1" bestFit="1" customWidth="1"/>
    <col min="34" max="34" width="6.28515625" style="1" bestFit="1" customWidth="1"/>
    <col min="35" max="35" width="7.7109375" style="1" bestFit="1" customWidth="1"/>
    <col min="36" max="36" width="6.28515625" style="1" bestFit="1" customWidth="1"/>
    <col min="37" max="37" width="7.7109375" style="1" bestFit="1" customWidth="1"/>
    <col min="38" max="38" width="5" style="1" bestFit="1" customWidth="1"/>
    <col min="39" max="39" width="8.5703125" style="1" bestFit="1" customWidth="1"/>
    <col min="40" max="40" width="7.7109375" style="1" bestFit="1" customWidth="1"/>
    <col min="41" max="41" width="14.85546875" style="1" bestFit="1" customWidth="1"/>
    <col min="42" max="42" width="5" style="1" bestFit="1" customWidth="1"/>
    <col min="43" max="43" width="8.5703125" style="1" bestFit="1" customWidth="1"/>
    <col min="44" max="44" width="5.42578125" style="1" customWidth="1"/>
    <col min="45" max="45" width="8.42578125" style="1" customWidth="1"/>
    <col min="46" max="46" width="2.28515625" style="1" customWidth="1"/>
    <col min="47" max="47" width="3.42578125" style="1" customWidth="1"/>
    <col min="48" max="48" width="4.28515625" style="1" customWidth="1"/>
    <col min="49" max="52" width="3" style="1" customWidth="1"/>
    <col min="53" max="56" width="3.42578125" style="1" customWidth="1"/>
    <col min="57" max="58" width="4.42578125" style="1" customWidth="1"/>
    <col min="59" max="59" width="9.140625" style="1"/>
    <col min="60" max="60" width="2.42578125" style="1" customWidth="1"/>
    <col min="61" max="61" width="3.42578125" style="1" customWidth="1"/>
    <col min="62" max="62" width="6.140625" style="1" customWidth="1"/>
    <col min="63" max="63" width="5.28515625" style="1" bestFit="1" customWidth="1"/>
    <col min="64" max="65" width="3.42578125" style="1" customWidth="1"/>
    <col min="66" max="66" width="6.140625" style="1" customWidth="1"/>
    <col min="67" max="67" width="5.28515625" style="1" bestFit="1" customWidth="1"/>
    <col min="68" max="69" width="2.42578125" style="1" customWidth="1"/>
    <col min="70" max="70" width="5.28515625" style="1" customWidth="1"/>
    <col min="71" max="16384" width="9.140625" style="1"/>
  </cols>
  <sheetData>
    <row r="1" spans="1:71" x14ac:dyDescent="0.25">
      <c r="A1" s="5" t="s">
        <v>470</v>
      </c>
      <c r="B1" s="1" t="s">
        <v>119</v>
      </c>
      <c r="E1" s="161">
        <v>1.5</v>
      </c>
      <c r="F1" s="161">
        <v>2.5</v>
      </c>
      <c r="G1" s="161">
        <v>3.5</v>
      </c>
      <c r="H1" s="4"/>
      <c r="J1" s="139"/>
      <c r="K1" s="4"/>
      <c r="L1" s="4"/>
      <c r="M1" s="4"/>
      <c r="N1" s="4">
        <f>COUNTIF(B17:C17,"JC")</f>
        <v>0</v>
      </c>
      <c r="P1" s="4">
        <f>COUNTIF(F5:H5,"CAB")+COUNTIF(E4:I4,"CAB")</f>
        <v>4</v>
      </c>
      <c r="Q1" s="4">
        <f>COUNTIF(F10:H10,"CAB")+COUNTIF(E9:I9,"CAB")</f>
        <v>0</v>
      </c>
      <c r="R1" s="22"/>
      <c r="S1" s="160"/>
      <c r="T1" s="160"/>
      <c r="AB1" s="1">
        <v>0</v>
      </c>
      <c r="AC1" s="1">
        <v>1</v>
      </c>
      <c r="AD1" s="1">
        <v>2</v>
      </c>
      <c r="AI1" s="1">
        <v>1</v>
      </c>
      <c r="AJ1" s="155">
        <v>2</v>
      </c>
    </row>
    <row r="2" spans="1:71" ht="15.75" x14ac:dyDescent="0.25">
      <c r="A2" s="5" t="s">
        <v>245</v>
      </c>
      <c r="B2" s="1" t="s">
        <v>119</v>
      </c>
      <c r="N2" s="98">
        <f>SUM(N4:N15)</f>
        <v>3.6700000000000004</v>
      </c>
      <c r="P2" s="4"/>
      <c r="Q2" s="4"/>
      <c r="R2" s="96">
        <f>SUM(R4:R15)</f>
        <v>3.0700000000000003</v>
      </c>
      <c r="S2" s="96">
        <f>SUM(S4:S15)</f>
        <v>3.67</v>
      </c>
      <c r="T2" s="159">
        <f>SUM(T4:T16)</f>
        <v>0.46773708962504795</v>
      </c>
      <c r="U2" s="159">
        <f>SUM(U4:U16)</f>
        <v>0.6806239016786787</v>
      </c>
      <c r="V2" s="4"/>
      <c r="W2" s="4"/>
      <c r="X2" s="158">
        <f>SUM(X4:X16)</f>
        <v>0.300378723253866</v>
      </c>
      <c r="Y2" s="157">
        <f>SUM(Y4:Y16)</f>
        <v>0.35144286778334111</v>
      </c>
      <c r="AA2" s="156" t="s">
        <v>118</v>
      </c>
      <c r="AB2" s="156" t="s">
        <v>116</v>
      </c>
      <c r="AC2" s="156" t="s">
        <v>115</v>
      </c>
      <c r="AD2" s="156" t="s">
        <v>114</v>
      </c>
      <c r="AE2" s="5"/>
      <c r="AG2" s="146" t="s">
        <v>117</v>
      </c>
      <c r="AH2" s="146" t="s">
        <v>116</v>
      </c>
      <c r="AI2" s="146" t="s">
        <v>115</v>
      </c>
      <c r="AJ2" s="146" t="s">
        <v>114</v>
      </c>
      <c r="AK2" s="22"/>
    </row>
    <row r="3" spans="1:71" ht="15.75" x14ac:dyDescent="0.25">
      <c r="A3" s="155" t="s">
        <v>19</v>
      </c>
      <c r="B3" s="186" t="s">
        <v>4</v>
      </c>
      <c r="C3" s="186"/>
      <c r="D3" s="1" t="str">
        <f>IF(B3="Sol","SI",IF(B3="Lluvia","SI","NO"))</f>
        <v>SI</v>
      </c>
      <c r="E3" s="142"/>
      <c r="F3" s="127"/>
      <c r="G3" s="143" t="s">
        <v>87</v>
      </c>
      <c r="H3" s="142"/>
      <c r="I3" s="142"/>
      <c r="K3" s="154" t="s">
        <v>113</v>
      </c>
      <c r="L3" s="154" t="s">
        <v>112</v>
      </c>
      <c r="M3" s="154" t="s">
        <v>108</v>
      </c>
      <c r="N3" s="154" t="s">
        <v>108</v>
      </c>
      <c r="O3" s="154" t="s">
        <v>111</v>
      </c>
      <c r="P3" s="153" t="s">
        <v>110</v>
      </c>
      <c r="Q3" s="152" t="s">
        <v>109</v>
      </c>
      <c r="R3" s="154" t="s">
        <v>108</v>
      </c>
      <c r="S3" s="154" t="s">
        <v>107</v>
      </c>
      <c r="T3" s="153" t="s">
        <v>106</v>
      </c>
      <c r="U3" s="152" t="s">
        <v>105</v>
      </c>
      <c r="V3" s="153" t="s">
        <v>104</v>
      </c>
      <c r="W3" s="152" t="s">
        <v>103</v>
      </c>
      <c r="X3" s="151" t="s">
        <v>102</v>
      </c>
      <c r="Y3" s="150" t="s">
        <v>101</v>
      </c>
      <c r="AN3" s="97"/>
      <c r="AO3" s="97"/>
    </row>
    <row r="4" spans="1:71" ht="15.75" x14ac:dyDescent="0.25">
      <c r="A4" s="149"/>
      <c r="B4" s="148" t="s">
        <v>100</v>
      </c>
      <c r="C4" s="147" t="s">
        <v>99</v>
      </c>
      <c r="D4" s="4"/>
      <c r="E4" s="143" t="s">
        <v>93</v>
      </c>
      <c r="F4" s="143" t="s">
        <v>94</v>
      </c>
      <c r="G4" s="143" t="s">
        <v>131</v>
      </c>
      <c r="H4" s="143" t="s">
        <v>94</v>
      </c>
      <c r="I4" s="143" t="s">
        <v>3</v>
      </c>
      <c r="K4" s="111">
        <v>5</v>
      </c>
      <c r="L4" s="111">
        <v>6</v>
      </c>
      <c r="M4" s="128">
        <v>0.45</v>
      </c>
      <c r="N4" s="128">
        <f t="shared" ref="N4:N15" si="0">IF($N$1=2,M4*$G$1/$E$1,IF($N$1=1,M4*$F$1/$E$1,M4))</f>
        <v>0.45</v>
      </c>
      <c r="O4" s="111" t="s">
        <v>98</v>
      </c>
      <c r="P4" s="127">
        <f>COUNTIF(E3:I4,"IMP")</f>
        <v>1</v>
      </c>
      <c r="Q4" s="126">
        <f>COUNTIF(E8:I9,"IMP")</f>
        <v>1</v>
      </c>
      <c r="R4" s="96">
        <f t="shared" ref="R4:R14" si="1">IF(P4+Q4=0,0,N4)</f>
        <v>0.45</v>
      </c>
      <c r="S4" s="96">
        <f t="shared" ref="S4:S16" si="2">R4*$N$2/$R$2</f>
        <v>0.53794788273615635</v>
      </c>
      <c r="T4" s="125">
        <f t="shared" ref="T4:T9" si="3">IF(S4=0,0,S4*(P4^2.7/(P4^2.7+Q4^2.7))*P4/L4)</f>
        <v>4.4828990228013031E-2</v>
      </c>
      <c r="U4" s="124">
        <f t="shared" ref="U4:U9" si="4">IF(S4=0,0,S4*Q4^2.7/(P4^2.7+Q4^2.7)*Q4/L4)</f>
        <v>4.4828990228013031E-2</v>
      </c>
      <c r="V4" s="123">
        <f>$G$17</f>
        <v>0.56999999999999995</v>
      </c>
      <c r="W4" s="117">
        <f>$H$17</f>
        <v>0.56999999999999995</v>
      </c>
      <c r="X4" s="122">
        <f t="shared" ref="X4:Y16" si="5">V4*T4</f>
        <v>2.5552524429967426E-2</v>
      </c>
      <c r="Y4" s="121">
        <f t="shared" si="5"/>
        <v>2.5552524429967426E-2</v>
      </c>
      <c r="Z4" s="146"/>
      <c r="AA4" s="120">
        <f t="shared" ref="AA4:AA16" si="6">X4</f>
        <v>2.5552524429967426E-2</v>
      </c>
      <c r="AB4" s="119">
        <f t="shared" ref="AB4:AB16" si="7">1-AA4</f>
        <v>0.97444747557003253</v>
      </c>
      <c r="AC4" s="119">
        <f>PRODUCT(AB5:AB16)*AA4</f>
        <v>1.9256702401404629E-2</v>
      </c>
      <c r="AD4" s="119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F4" s="146"/>
      <c r="AG4" s="118">
        <f t="shared" ref="AG4:AG16" si="8">Y4</f>
        <v>2.5552524429967426E-2</v>
      </c>
      <c r="AH4" s="117">
        <f t="shared" ref="AH4:AH16" si="9">(1-AG4)</f>
        <v>0.97444747557003253</v>
      </c>
      <c r="AI4" s="117">
        <f>AG4*AH3*PRODUCT(AH5:AH17)</f>
        <v>0</v>
      </c>
      <c r="AJ4" s="11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L4" s="146"/>
      <c r="AM4" s="146"/>
      <c r="AN4" s="4"/>
      <c r="BI4" s="1">
        <v>0</v>
      </c>
      <c r="BJ4" s="1">
        <v>1</v>
      </c>
      <c r="BK4" s="2">
        <f t="shared" ref="BK4:BK13" si="10">$H$25*H40</f>
        <v>3.0808499016253044E-2</v>
      </c>
      <c r="BM4" s="1">
        <v>0</v>
      </c>
      <c r="BN4" s="1">
        <v>0</v>
      </c>
      <c r="BO4" s="2">
        <f>H25*H39</f>
        <v>5.5835614216928897E-3</v>
      </c>
      <c r="BQ4" s="1">
        <v>1</v>
      </c>
      <c r="BR4" s="1">
        <v>0</v>
      </c>
      <c r="BS4" s="2">
        <f>$H$26*H39</f>
        <v>3.7544060326007776E-3</v>
      </c>
    </row>
    <row r="5" spans="1:71" ht="15.75" x14ac:dyDescent="0.25">
      <c r="A5" s="65" t="s">
        <v>97</v>
      </c>
      <c r="B5" s="145" t="s">
        <v>471</v>
      </c>
      <c r="C5" s="145">
        <v>352</v>
      </c>
      <c r="E5" s="143" t="s">
        <v>3</v>
      </c>
      <c r="F5" s="143" t="s">
        <v>94</v>
      </c>
      <c r="G5" s="143" t="s">
        <v>131</v>
      </c>
      <c r="H5" s="143" t="s">
        <v>94</v>
      </c>
      <c r="I5" s="143" t="s">
        <v>93</v>
      </c>
      <c r="K5" s="111">
        <v>6</v>
      </c>
      <c r="L5" s="111">
        <v>8</v>
      </c>
      <c r="M5" s="128">
        <v>0.35</v>
      </c>
      <c r="N5" s="128">
        <f t="shared" si="0"/>
        <v>0.35</v>
      </c>
      <c r="O5" s="111" t="s">
        <v>96</v>
      </c>
      <c r="P5" s="127">
        <f>COUNTIF(E5:I6,"IMP")</f>
        <v>1</v>
      </c>
      <c r="Q5" s="126">
        <f>COUNTIF(E10:I11,"IMP")</f>
        <v>3</v>
      </c>
      <c r="R5" s="96">
        <f t="shared" si="1"/>
        <v>0.35</v>
      </c>
      <c r="S5" s="96">
        <f t="shared" si="2"/>
        <v>0.41840390879478823</v>
      </c>
      <c r="T5" s="125">
        <f t="shared" si="3"/>
        <v>2.5613609068380265E-3</v>
      </c>
      <c r="U5" s="124">
        <f t="shared" si="4"/>
        <v>0.14921738307753152</v>
      </c>
      <c r="V5" s="123">
        <f>$G$17</f>
        <v>0.56999999999999995</v>
      </c>
      <c r="W5" s="117">
        <f>$H$17</f>
        <v>0.56999999999999995</v>
      </c>
      <c r="X5" s="122">
        <f t="shared" si="5"/>
        <v>1.459975716897675E-3</v>
      </c>
      <c r="Y5" s="121">
        <f t="shared" si="5"/>
        <v>8.5053908354192964E-2</v>
      </c>
      <c r="Z5" s="102"/>
      <c r="AA5" s="120">
        <f t="shared" si="6"/>
        <v>1.459975716897675E-3</v>
      </c>
      <c r="AB5" s="119">
        <f t="shared" si="7"/>
        <v>0.99854002428310229</v>
      </c>
      <c r="AC5" s="119">
        <f>PRODUCT(AB6:AB16)*AA5*PRODUCT(AB4)</f>
        <v>1.0737092548880232E-3</v>
      </c>
      <c r="AD5" s="119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3.1124036966286191E-4</v>
      </c>
      <c r="AF5" s="100"/>
      <c r="AG5" s="118">
        <f t="shared" si="8"/>
        <v>8.5053908354192964E-2</v>
      </c>
      <c r="AH5" s="117">
        <f t="shared" si="9"/>
        <v>0.91494609164580698</v>
      </c>
      <c r="AI5" s="117">
        <f>AG5*PRODUCT(AH3:AH4)*PRODUCT(AH6:AH17)</f>
        <v>6.4699899273720565E-2</v>
      </c>
      <c r="AJ5" s="11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1.6481324708408449E-2</v>
      </c>
      <c r="AL5" s="98"/>
      <c r="AN5" s="97"/>
      <c r="AO5" s="96"/>
      <c r="BI5" s="1">
        <v>0</v>
      </c>
      <c r="BJ5" s="1">
        <v>2</v>
      </c>
      <c r="BK5" s="2">
        <f t="shared" si="10"/>
        <v>7.7474294465572094E-2</v>
      </c>
      <c r="BM5" s="1">
        <v>1</v>
      </c>
      <c r="BN5" s="1">
        <v>1</v>
      </c>
      <c r="BO5" s="2">
        <f>$H$26*H40</f>
        <v>2.0715741410600636E-2</v>
      </c>
      <c r="BQ5" s="1">
        <f>BQ4+1</f>
        <v>2</v>
      </c>
      <c r="BR5" s="1">
        <v>0</v>
      </c>
      <c r="BS5" s="2">
        <f>$H$27*H39</f>
        <v>1.1335786746014078E-3</v>
      </c>
    </row>
    <row r="6" spans="1:71" ht="15.75" x14ac:dyDescent="0.25">
      <c r="A6" s="144" t="s">
        <v>95</v>
      </c>
      <c r="B6" s="135">
        <v>5.25</v>
      </c>
      <c r="C6" s="134">
        <v>9</v>
      </c>
      <c r="E6" s="142"/>
      <c r="F6" s="143" t="s">
        <v>87</v>
      </c>
      <c r="G6" s="143" t="s">
        <v>87</v>
      </c>
      <c r="H6" s="143" t="s">
        <v>87</v>
      </c>
      <c r="I6" s="142"/>
      <c r="K6" s="111">
        <v>8</v>
      </c>
      <c r="L6" s="111">
        <v>13</v>
      </c>
      <c r="M6" s="128">
        <v>0.45</v>
      </c>
      <c r="N6" s="128">
        <f t="shared" si="0"/>
        <v>0.45</v>
      </c>
      <c r="O6" s="111" t="s">
        <v>93</v>
      </c>
      <c r="P6" s="127">
        <f>COUNTIF(E4:I6,"IMP")</f>
        <v>2</v>
      </c>
      <c r="Q6" s="126">
        <f>COUNTIF(E9:I11,"IMP")</f>
        <v>4</v>
      </c>
      <c r="R6" s="96">
        <f t="shared" si="1"/>
        <v>0.45</v>
      </c>
      <c r="S6" s="96">
        <f t="shared" si="2"/>
        <v>0.53794788273615635</v>
      </c>
      <c r="T6" s="125">
        <f t="shared" si="3"/>
        <v>1.1037743548374874E-2</v>
      </c>
      <c r="U6" s="124">
        <f t="shared" si="4"/>
        <v>0.1434469383605291</v>
      </c>
      <c r="V6" s="123">
        <f>$G$18</f>
        <v>0.45</v>
      </c>
      <c r="W6" s="117">
        <f>$H$18</f>
        <v>0.45</v>
      </c>
      <c r="X6" s="122">
        <f t="shared" si="5"/>
        <v>4.9669845967686933E-3</v>
      </c>
      <c r="Y6" s="121">
        <f t="shared" si="5"/>
        <v>6.4551122262238095E-2</v>
      </c>
      <c r="Z6" s="102"/>
      <c r="AA6" s="120">
        <f t="shared" si="6"/>
        <v>4.9669845967686933E-3</v>
      </c>
      <c r="AB6" s="119">
        <f t="shared" si="7"/>
        <v>0.9950330154032313</v>
      </c>
      <c r="AC6" s="119">
        <f>PRODUCT(AB7:AB16)*AA6*PRODUCT(AB4:AB5)</f>
        <v>3.6657417315389251E-3</v>
      </c>
      <c r="AD6" s="119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1.0443045554493805E-3</v>
      </c>
      <c r="AF6" s="100"/>
      <c r="AG6" s="118">
        <f t="shared" si="8"/>
        <v>6.4551122262238095E-2</v>
      </c>
      <c r="AH6" s="117">
        <f t="shared" si="9"/>
        <v>0.93544887773776186</v>
      </c>
      <c r="AI6" s="117">
        <f>AG6*PRODUCT(AH3:AH5)*PRODUCT(AH7:AH17)</f>
        <v>4.8027344531847108E-2</v>
      </c>
      <c r="AJ6" s="11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8.920091375381585E-3</v>
      </c>
      <c r="AL6" s="98"/>
      <c r="AN6" s="97"/>
      <c r="AO6" s="96"/>
      <c r="BI6" s="1">
        <v>0</v>
      </c>
      <c r="BJ6" s="1">
        <v>3</v>
      </c>
      <c r="BK6" s="2">
        <f t="shared" si="10"/>
        <v>0.11760163656487242</v>
      </c>
      <c r="BM6" s="1">
        <f>BI14+1</f>
        <v>2</v>
      </c>
      <c r="BN6" s="1">
        <v>2</v>
      </c>
      <c r="BO6" s="2">
        <f>$H$27*H41</f>
        <v>1.5728887246544362E-2</v>
      </c>
      <c r="BQ6" s="1">
        <f>BM5+1</f>
        <v>2</v>
      </c>
      <c r="BR6" s="1">
        <v>1</v>
      </c>
      <c r="BS6" s="2">
        <f>$H$27*H40</f>
        <v>6.2547637329857251E-3</v>
      </c>
    </row>
    <row r="7" spans="1:71" ht="15.75" x14ac:dyDescent="0.25">
      <c r="A7" s="141" t="s">
        <v>92</v>
      </c>
      <c r="B7" s="135">
        <v>19.75</v>
      </c>
      <c r="C7" s="134">
        <v>9</v>
      </c>
      <c r="E7" s="4"/>
      <c r="F7" s="4"/>
      <c r="G7" s="4"/>
      <c r="H7" s="4"/>
      <c r="I7" s="4"/>
      <c r="K7" s="111">
        <v>9</v>
      </c>
      <c r="L7" s="111">
        <v>8</v>
      </c>
      <c r="M7" s="128">
        <v>0.04</v>
      </c>
      <c r="N7" s="128">
        <f t="shared" si="0"/>
        <v>0.04</v>
      </c>
      <c r="O7" s="111" t="s">
        <v>91</v>
      </c>
      <c r="P7" s="127">
        <f>COUNTIF(E9:I9,"IMP")+COUNTIF(F10:H10,"IMP")</f>
        <v>2</v>
      </c>
      <c r="Q7" s="126">
        <f>COUNTIF(E4:I4,"IMP")+COUNTIF(F5:H5,"IMP")</f>
        <v>1</v>
      </c>
      <c r="R7" s="96">
        <f t="shared" si="1"/>
        <v>0.04</v>
      </c>
      <c r="S7" s="96">
        <f t="shared" si="2"/>
        <v>4.7817589576547234E-2</v>
      </c>
      <c r="T7" s="125">
        <f t="shared" si="3"/>
        <v>1.036005665937155E-2</v>
      </c>
      <c r="U7" s="124">
        <f t="shared" si="4"/>
        <v>7.9717036738262989E-4</v>
      </c>
      <c r="V7" s="123">
        <f>$G$18</f>
        <v>0.45</v>
      </c>
      <c r="W7" s="117">
        <f>$H$18</f>
        <v>0.45</v>
      </c>
      <c r="X7" s="122">
        <f t="shared" si="5"/>
        <v>4.662025496717198E-3</v>
      </c>
      <c r="Y7" s="121">
        <f t="shared" si="5"/>
        <v>3.5872666532218343E-4</v>
      </c>
      <c r="Z7" s="102"/>
      <c r="AA7" s="120">
        <f t="shared" si="6"/>
        <v>4.662025496717198E-3</v>
      </c>
      <c r="AB7" s="119">
        <f t="shared" si="7"/>
        <v>0.99533797450328276</v>
      </c>
      <c r="AC7" s="119">
        <f>PRODUCT(AB8:AB$16)*AA7*PRODUCT(AB$4:AB6)</f>
        <v>3.4396211602425856E-3</v>
      </c>
      <c r="AD7" s="119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9.6377612038673114E-4</v>
      </c>
      <c r="AF7" s="100"/>
      <c r="AG7" s="118">
        <f t="shared" si="8"/>
        <v>3.5872666532218343E-4</v>
      </c>
      <c r="AH7" s="117">
        <f t="shared" si="9"/>
        <v>0.99964127333467778</v>
      </c>
      <c r="AI7" s="117">
        <f>AG7*PRODUCT(AH3:AH6)*PRODUCT(AH8:AH17)</f>
        <v>2.4976082331848952E-4</v>
      </c>
      <c r="AJ7" s="11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4.6298307597609584E-5</v>
      </c>
      <c r="AL7" s="98"/>
      <c r="AN7" s="97"/>
      <c r="AO7" s="96"/>
      <c r="BI7" s="1">
        <v>0</v>
      </c>
      <c r="BJ7" s="1">
        <v>4</v>
      </c>
      <c r="BK7" s="2">
        <f t="shared" si="10"/>
        <v>0.12046319427264392</v>
      </c>
      <c r="BM7" s="1">
        <f>BI23+1</f>
        <v>3</v>
      </c>
      <c r="BN7" s="1">
        <v>3</v>
      </c>
      <c r="BO7" s="2">
        <f>$H$28*H42</f>
        <v>5.4068379798154643E-3</v>
      </c>
      <c r="BQ7" s="1">
        <f>BQ5+1</f>
        <v>3</v>
      </c>
      <c r="BR7" s="1">
        <v>0</v>
      </c>
      <c r="BS7" s="2">
        <f>$H$28*H39</f>
        <v>2.5670911425444492E-4</v>
      </c>
    </row>
    <row r="8" spans="1:71" ht="15.75" x14ac:dyDescent="0.25">
      <c r="A8" s="141" t="s">
        <v>90</v>
      </c>
      <c r="B8" s="135">
        <v>21.75</v>
      </c>
      <c r="C8" s="134">
        <v>8.5</v>
      </c>
      <c r="E8" s="139"/>
      <c r="F8" s="126"/>
      <c r="G8" s="140" t="s">
        <v>87</v>
      </c>
      <c r="H8" s="139"/>
      <c r="I8" s="139"/>
      <c r="K8" s="111">
        <v>15</v>
      </c>
      <c r="L8" s="111">
        <v>8</v>
      </c>
      <c r="M8" s="128">
        <v>0.5</v>
      </c>
      <c r="N8" s="128">
        <f t="shared" si="0"/>
        <v>0.5</v>
      </c>
      <c r="O8" s="111" t="s">
        <v>89</v>
      </c>
      <c r="P8" s="127">
        <f>COUNTIF(E5:I6,"RAP")</f>
        <v>1</v>
      </c>
      <c r="Q8" s="126">
        <f>COUNTIF(E10:I11,"RAP")</f>
        <v>1</v>
      </c>
      <c r="R8" s="96">
        <f t="shared" si="1"/>
        <v>0.5</v>
      </c>
      <c r="S8" s="96">
        <f t="shared" si="2"/>
        <v>0.59771986970684043</v>
      </c>
      <c r="T8" s="125">
        <f t="shared" si="3"/>
        <v>3.7357491856677527E-2</v>
      </c>
      <c r="U8" s="124">
        <f t="shared" si="4"/>
        <v>3.7357491856677527E-2</v>
      </c>
      <c r="V8" s="123">
        <f>$G$17</f>
        <v>0.56999999999999995</v>
      </c>
      <c r="W8" s="117">
        <f>$H$17</f>
        <v>0.56999999999999995</v>
      </c>
      <c r="X8" s="122">
        <f t="shared" si="5"/>
        <v>2.129377035830619E-2</v>
      </c>
      <c r="Y8" s="121">
        <f t="shared" si="5"/>
        <v>2.129377035830619E-2</v>
      </c>
      <c r="Z8" s="102"/>
      <c r="AA8" s="120">
        <f t="shared" si="6"/>
        <v>2.129377035830619E-2</v>
      </c>
      <c r="AB8" s="119">
        <f t="shared" si="7"/>
        <v>0.97870622964169385</v>
      </c>
      <c r="AC8" s="119">
        <f>PRODUCT(AB9:AB$16)*AA8*PRODUCT(AB$4:AB7)</f>
        <v>1.5977423795597554E-2</v>
      </c>
      <c r="AD8" s="119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4.1292257656223297E-3</v>
      </c>
      <c r="AF8" s="100"/>
      <c r="AG8" s="118">
        <f t="shared" si="8"/>
        <v>2.129377035830619E-2</v>
      </c>
      <c r="AH8" s="117">
        <f t="shared" si="9"/>
        <v>0.97870622964169385</v>
      </c>
      <c r="AI8" s="117">
        <f>AG8*PRODUCT(AH3:AH7)*PRODUCT(AH9:AH17)</f>
        <v>1.5142760356172465E-2</v>
      </c>
      <c r="AJ8" s="11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2.4775602557184952E-3</v>
      </c>
      <c r="AL8" s="98"/>
      <c r="AN8" s="97"/>
      <c r="AO8" s="96"/>
      <c r="BI8" s="1">
        <v>0</v>
      </c>
      <c r="BJ8" s="1">
        <v>5</v>
      </c>
      <c r="BK8" s="2">
        <f t="shared" si="10"/>
        <v>8.8399323741315428E-2</v>
      </c>
      <c r="BM8" s="1">
        <f>BI31+1</f>
        <v>4</v>
      </c>
      <c r="BN8" s="1">
        <v>4</v>
      </c>
      <c r="BO8" s="2">
        <f>$H$29*H43</f>
        <v>9.3159429324390442E-4</v>
      </c>
      <c r="BQ8" s="1">
        <f>BQ6+1</f>
        <v>3</v>
      </c>
      <c r="BR8" s="1">
        <v>1</v>
      </c>
      <c r="BS8" s="2">
        <f>$H$28*H40</f>
        <v>1.4164476570893291E-3</v>
      </c>
    </row>
    <row r="9" spans="1:71" ht="15.75" x14ac:dyDescent="0.25">
      <c r="A9" s="141" t="s">
        <v>88</v>
      </c>
      <c r="B9" s="135">
        <v>18.75</v>
      </c>
      <c r="C9" s="134">
        <v>9</v>
      </c>
      <c r="E9" s="140" t="s">
        <v>3</v>
      </c>
      <c r="F9" s="140" t="s">
        <v>87</v>
      </c>
      <c r="G9" s="140" t="s">
        <v>93</v>
      </c>
      <c r="H9" s="140" t="s">
        <v>87</v>
      </c>
      <c r="I9" s="140" t="s">
        <v>3</v>
      </c>
      <c r="K9" s="111">
        <v>16</v>
      </c>
      <c r="L9" s="111">
        <v>8</v>
      </c>
      <c r="M9" s="128">
        <v>0.5</v>
      </c>
      <c r="N9" s="128">
        <f t="shared" si="0"/>
        <v>0.5</v>
      </c>
      <c r="O9" s="111" t="s">
        <v>86</v>
      </c>
      <c r="P9" s="127">
        <f>COUNTIF(E5:I6,"RAP")</f>
        <v>1</v>
      </c>
      <c r="Q9" s="126">
        <f>COUNTIF(E10:I11,"RAP")</f>
        <v>1</v>
      </c>
      <c r="R9" s="96">
        <f t="shared" si="1"/>
        <v>0.5</v>
      </c>
      <c r="S9" s="96">
        <f t="shared" si="2"/>
        <v>0.59771986970684043</v>
      </c>
      <c r="T9" s="125">
        <f t="shared" si="3"/>
        <v>3.7357491856677527E-2</v>
      </c>
      <c r="U9" s="124">
        <f t="shared" si="4"/>
        <v>3.7357491856677527E-2</v>
      </c>
      <c r="V9" s="123">
        <f>$G$17</f>
        <v>0.56999999999999995</v>
      </c>
      <c r="W9" s="117">
        <f>$H$17</f>
        <v>0.56999999999999995</v>
      </c>
      <c r="X9" s="122">
        <f t="shared" si="5"/>
        <v>2.129377035830619E-2</v>
      </c>
      <c r="Y9" s="121">
        <f t="shared" si="5"/>
        <v>2.129377035830619E-2</v>
      </c>
      <c r="Z9" s="102"/>
      <c r="AA9" s="120">
        <f t="shared" si="6"/>
        <v>2.129377035830619E-2</v>
      </c>
      <c r="AB9" s="119">
        <f t="shared" si="7"/>
        <v>0.97870622964169385</v>
      </c>
      <c r="AC9" s="119">
        <f>PRODUCT(AB10:AB$16)*AA9*PRODUCT(AB$4:AB8)</f>
        <v>1.5977423795597558E-2</v>
      </c>
      <c r="AD9" s="119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3.7816039942299619E-3</v>
      </c>
      <c r="AF9" s="100"/>
      <c r="AG9" s="118">
        <f t="shared" si="8"/>
        <v>2.129377035830619E-2</v>
      </c>
      <c r="AH9" s="117">
        <f t="shared" si="9"/>
        <v>0.97870622964169385</v>
      </c>
      <c r="AI9" s="117">
        <f>AG9*PRODUCT(AH3:AH8)*PRODUCT(AH10:AH17)</f>
        <v>1.5142760356172466E-2</v>
      </c>
      <c r="AJ9" s="11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2.1480983070260389E-3</v>
      </c>
      <c r="AL9" s="98"/>
      <c r="AN9" s="97"/>
      <c r="AO9" s="96"/>
      <c r="BI9" s="1">
        <v>0</v>
      </c>
      <c r="BJ9" s="1">
        <v>6</v>
      </c>
      <c r="BK9" s="2">
        <f t="shared" si="10"/>
        <v>4.8346992863875872E-2</v>
      </c>
      <c r="BM9" s="1">
        <f>BI38+1</f>
        <v>5</v>
      </c>
      <c r="BN9" s="1">
        <v>5</v>
      </c>
      <c r="BO9" s="2">
        <f>$H$30*H44</f>
        <v>8.0221703292611936E-5</v>
      </c>
      <c r="BQ9" s="1">
        <f>BM6+1</f>
        <v>3</v>
      </c>
      <c r="BR9" s="1">
        <v>2</v>
      </c>
      <c r="BS9" s="2">
        <f>$H$28*H41</f>
        <v>3.5619483708867442E-3</v>
      </c>
    </row>
    <row r="10" spans="1:71" ht="15.75" x14ac:dyDescent="0.25">
      <c r="A10" s="138" t="s">
        <v>85</v>
      </c>
      <c r="B10" s="135">
        <v>1.5</v>
      </c>
      <c r="C10" s="134">
        <v>19.5</v>
      </c>
      <c r="E10" s="140" t="s">
        <v>93</v>
      </c>
      <c r="F10" s="140" t="s">
        <v>87</v>
      </c>
      <c r="G10" s="140" t="s">
        <v>87</v>
      </c>
      <c r="H10" s="140" t="s">
        <v>93</v>
      </c>
      <c r="I10" s="140" t="s">
        <v>93</v>
      </c>
      <c r="K10" s="111">
        <v>18</v>
      </c>
      <c r="L10" s="111" t="s">
        <v>84</v>
      </c>
      <c r="M10" s="128">
        <v>0.19</v>
      </c>
      <c r="N10" s="128">
        <f t="shared" si="0"/>
        <v>0.19</v>
      </c>
      <c r="O10" s="111" t="s">
        <v>83</v>
      </c>
      <c r="P10" s="127">
        <v>1</v>
      </c>
      <c r="Q10" s="126">
        <v>1</v>
      </c>
      <c r="R10" s="96">
        <f t="shared" si="1"/>
        <v>0.19</v>
      </c>
      <c r="S10" s="96">
        <f t="shared" si="2"/>
        <v>0.22713355048859935</v>
      </c>
      <c r="T10" s="125">
        <f>S10*G13</f>
        <v>8.3680781758957642E-2</v>
      </c>
      <c r="U10" s="124">
        <f>S10*G14</f>
        <v>0.14345276872964169</v>
      </c>
      <c r="V10" s="123">
        <f>$G$18</f>
        <v>0.45</v>
      </c>
      <c r="W10" s="117">
        <f>$H$18</f>
        <v>0.45</v>
      </c>
      <c r="X10" s="122">
        <f t="shared" si="5"/>
        <v>3.7656351791530943E-2</v>
      </c>
      <c r="Y10" s="121">
        <f t="shared" si="5"/>
        <v>6.4553745928338763E-2</v>
      </c>
      <c r="Z10" s="102"/>
      <c r="AA10" s="120">
        <f t="shared" si="6"/>
        <v>3.7656351791530943E-2</v>
      </c>
      <c r="AB10" s="119">
        <f t="shared" si="7"/>
        <v>0.96234364820846907</v>
      </c>
      <c r="AC10" s="119">
        <f>PRODUCT(AB11:AB$16)*AA10*PRODUCT(AB$4:AB9)</f>
        <v>2.8735224851602764E-2</v>
      </c>
      <c r="AD10" s="119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5.676769395338517E-3</v>
      </c>
      <c r="AF10" s="100"/>
      <c r="AG10" s="118">
        <f t="shared" si="8"/>
        <v>6.4553745928338763E-2</v>
      </c>
      <c r="AH10" s="117">
        <f t="shared" si="9"/>
        <v>0.93544625407166127</v>
      </c>
      <c r="AI10" s="117">
        <f>AG10*PRODUCT(AH3:AH9)*PRODUCT(AH11:AH17)</f>
        <v>4.8029431301447753E-2</v>
      </c>
      <c r="AJ10" s="11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3.4988457033791713E-3</v>
      </c>
      <c r="AL10" s="98"/>
      <c r="AN10" s="97"/>
      <c r="AO10" s="96"/>
      <c r="BI10" s="1">
        <v>0</v>
      </c>
      <c r="BJ10" s="1">
        <v>7</v>
      </c>
      <c r="BK10" s="2">
        <f t="shared" si="10"/>
        <v>2.035334646224472E-2</v>
      </c>
      <c r="BM10" s="1">
        <f>BI44+1</f>
        <v>6</v>
      </c>
      <c r="BN10" s="1">
        <v>6</v>
      </c>
      <c r="BO10" s="2">
        <f>$H$31*H45</f>
        <v>3.5744124387174569E-6</v>
      </c>
      <c r="BQ10" s="1">
        <f>BQ7+1</f>
        <v>4</v>
      </c>
      <c r="BR10" s="1">
        <v>0</v>
      </c>
      <c r="BS10" s="2">
        <f>$H$29*H39</f>
        <v>4.3180109807258829E-5</v>
      </c>
    </row>
    <row r="11" spans="1:71" ht="15.75" x14ac:dyDescent="0.25">
      <c r="A11" s="138" t="s">
        <v>82</v>
      </c>
      <c r="B11" s="135">
        <v>1</v>
      </c>
      <c r="C11" s="134">
        <v>18</v>
      </c>
      <c r="E11" s="139"/>
      <c r="F11" s="140" t="s">
        <v>87</v>
      </c>
      <c r="G11" s="140" t="s">
        <v>87</v>
      </c>
      <c r="H11" s="140" t="s">
        <v>3</v>
      </c>
      <c r="I11" s="139"/>
      <c r="K11" s="111">
        <v>19</v>
      </c>
      <c r="L11" s="111">
        <v>9</v>
      </c>
      <c r="M11" s="128">
        <v>0.19</v>
      </c>
      <c r="N11" s="128">
        <f t="shared" si="0"/>
        <v>0.19</v>
      </c>
      <c r="O11" s="111" t="s">
        <v>81</v>
      </c>
      <c r="P11" s="127">
        <f>COUNTIF(E4:I6,"CAB")</f>
        <v>4</v>
      </c>
      <c r="Q11" s="126">
        <f>COUNTIF(E9:I11,"CAB")</f>
        <v>0</v>
      </c>
      <c r="R11" s="96">
        <f t="shared" si="1"/>
        <v>0.19</v>
      </c>
      <c r="S11" s="96">
        <f t="shared" si="2"/>
        <v>0.22713355048859935</v>
      </c>
      <c r="T11" s="125">
        <f>IF(P11&gt;0,IF(Q11&gt;0,G13^2.7/(G14^2.7+G13^2.7),1),0)*P11/L11*S11</f>
        <v>0.1009482446615997</v>
      </c>
      <c r="U11" s="124">
        <f>IF(Q11&gt;0,IF(P11&gt;0,G14^2.7/(G14^2.7+G13^2.7),1),0)*Q11/L11*S11</f>
        <v>0</v>
      </c>
      <c r="V11" s="123">
        <f>IF(P11-Q11&gt;3,0.9,IF(P11-Q11=3,0.83,IF(P11-Q11=2,0.75,IF(P11-Q11=1,0.65,IF(P11-Q11=0,0.44,IF(P11-Q11=-1,0.16,IF(P11-Q11&lt;-1,0.05,0.02)))))))</f>
        <v>0.9</v>
      </c>
      <c r="W11" s="117">
        <f>IF(Q11-P11&gt;3,0.9,IF(Q11-P11=3,0.83,IF(Q11-P11=2,0.75,IF(Q11-P11=1,0.65,IF(Q11-P11=0,0.44,IF(Q11-P11=-1,0.16,IF(Q11-P11&lt;-1,0.05,0.02)))))))</f>
        <v>0.05</v>
      </c>
      <c r="X11" s="122">
        <f t="shared" si="5"/>
        <v>9.0853420195439724E-2</v>
      </c>
      <c r="Y11" s="121">
        <f t="shared" si="5"/>
        <v>0</v>
      </c>
      <c r="Z11" s="102"/>
      <c r="AA11" s="120">
        <f t="shared" si="6"/>
        <v>9.0853420195439724E-2</v>
      </c>
      <c r="AB11" s="119">
        <f t="shared" si="7"/>
        <v>0.90914657980456026</v>
      </c>
      <c r="AC11" s="119">
        <f>PRODUCT(AB12:AB$16)*AA11*PRODUCT(AB$4:AB10)</f>
        <v>7.3386117719854843E-2</v>
      </c>
      <c r="AD11" s="119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7.164079972502381E-3</v>
      </c>
      <c r="AF11" s="100"/>
      <c r="AG11" s="118">
        <f t="shared" si="8"/>
        <v>0</v>
      </c>
      <c r="AH11" s="117">
        <f t="shared" si="9"/>
        <v>1</v>
      </c>
      <c r="AI11" s="117">
        <f>AG11*PRODUCT(AH3:AH10)*PRODUCT(AH12:AH17)</f>
        <v>0</v>
      </c>
      <c r="AJ11" s="11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L11" s="98"/>
      <c r="AN11" s="97"/>
      <c r="AO11" s="96"/>
      <c r="BI11" s="1">
        <v>0</v>
      </c>
      <c r="BJ11" s="1">
        <v>8</v>
      </c>
      <c r="BK11" s="2">
        <f t="shared" si="10"/>
        <v>6.7883741454175727E-3</v>
      </c>
      <c r="BM11" s="1">
        <f>BI50+1</f>
        <v>7</v>
      </c>
      <c r="BN11" s="1">
        <v>7</v>
      </c>
      <c r="BO11" s="2">
        <f>$H$32*H46</f>
        <v>8.6432446240749851E-8</v>
      </c>
      <c r="BQ11" s="1">
        <f>BQ8+1</f>
        <v>4</v>
      </c>
      <c r="BR11" s="1">
        <v>1</v>
      </c>
      <c r="BS11" s="2">
        <f>$H$29*H40</f>
        <v>2.3825552726082337E-4</v>
      </c>
    </row>
    <row r="12" spans="1:71" ht="15.75" x14ac:dyDescent="0.25">
      <c r="A12" s="138" t="s">
        <v>80</v>
      </c>
      <c r="B12" s="135">
        <v>1.25</v>
      </c>
      <c r="C12" s="134">
        <v>19</v>
      </c>
      <c r="E12" s="4"/>
      <c r="F12" s="4"/>
      <c r="G12" s="4"/>
      <c r="H12" s="4"/>
      <c r="I12" s="4"/>
      <c r="K12" s="111">
        <v>25</v>
      </c>
      <c r="L12" s="111">
        <v>5</v>
      </c>
      <c r="M12" s="128">
        <v>0.04</v>
      </c>
      <c r="N12" s="128">
        <f t="shared" si="0"/>
        <v>0.04</v>
      </c>
      <c r="O12" s="111" t="s">
        <v>79</v>
      </c>
      <c r="P12" s="127">
        <f>COUNTIF(F6:H6,"IMP")+COUNTIF(E5,"IMP")+COUNTIF(I5,"IMP")</f>
        <v>1</v>
      </c>
      <c r="Q12" s="126">
        <f>COUNTIF(F11:H11,"IMP")+COUNTIF(E10,"IMP")+COUNTIF(I10,"IMP")</f>
        <v>2</v>
      </c>
      <c r="R12" s="96">
        <f t="shared" si="1"/>
        <v>0.04</v>
      </c>
      <c r="S12" s="96">
        <f t="shared" si="2"/>
        <v>4.7817589576547234E-2</v>
      </c>
      <c r="T12" s="125">
        <f>IF(S12=0,0,S12*(P12^2.7/(P12^2.7+Q12^2.7))*P12/L12)</f>
        <v>1.2754725878122077E-3</v>
      </c>
      <c r="U12" s="124">
        <f>IF(S12=0,0,S12*Q12^2.7/(P12^2.7+Q12^2.7)*Q12/L12)</f>
        <v>1.657609065499448E-2</v>
      </c>
      <c r="V12" s="123">
        <f>$G$18</f>
        <v>0.45</v>
      </c>
      <c r="W12" s="117">
        <f>$H$18</f>
        <v>0.45</v>
      </c>
      <c r="X12" s="122">
        <f t="shared" si="5"/>
        <v>5.7396266451549343E-4</v>
      </c>
      <c r="Y12" s="121">
        <f t="shared" si="5"/>
        <v>7.4592407947475167E-3</v>
      </c>
      <c r="Z12" s="102"/>
      <c r="AA12" s="120">
        <f t="shared" si="6"/>
        <v>5.7396266451549343E-4</v>
      </c>
      <c r="AB12" s="119">
        <f t="shared" si="7"/>
        <v>0.99942603733548452</v>
      </c>
      <c r="AC12" s="119">
        <f>PRODUCT(AB13:AB$16)*AA12*PRODUCT(AB$4:AB11)</f>
        <v>4.2173488349695604E-4</v>
      </c>
      <c r="AD12" s="119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4.0928291002547253E-5</v>
      </c>
      <c r="AF12" s="100"/>
      <c r="AG12" s="118">
        <f t="shared" si="8"/>
        <v>7.4592407947475167E-3</v>
      </c>
      <c r="AH12" s="117">
        <f t="shared" si="9"/>
        <v>0.99254075920525253</v>
      </c>
      <c r="AI12" s="117">
        <f>AG12*PRODUCT(AH3:AH11)*PRODUCT(AH13:AH17)</f>
        <v>5.2305952208928164E-3</v>
      </c>
      <c r="AJ12" s="11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3.417286611033554E-4</v>
      </c>
      <c r="AL12" s="98"/>
      <c r="AN12" s="97"/>
      <c r="AO12" s="96"/>
      <c r="BI12" s="1">
        <v>0</v>
      </c>
      <c r="BJ12" s="1">
        <v>9</v>
      </c>
      <c r="BK12" s="2">
        <f t="shared" si="10"/>
        <v>1.8250472055094291E-3</v>
      </c>
      <c r="BM12" s="1">
        <f>BI54+1</f>
        <v>8</v>
      </c>
      <c r="BN12" s="1">
        <v>8</v>
      </c>
      <c r="BO12" s="2">
        <f>$H$33*H47</f>
        <v>1.1816080350450113E-9</v>
      </c>
      <c r="BQ12" s="1">
        <f>BQ9+1</f>
        <v>4</v>
      </c>
      <c r="BR12" s="1">
        <v>2</v>
      </c>
      <c r="BS12" s="2">
        <f>$H$29*H41</f>
        <v>5.9914242713730663E-4</v>
      </c>
    </row>
    <row r="13" spans="1:71" ht="15.75" x14ac:dyDescent="0.25">
      <c r="A13" s="136" t="s">
        <v>78</v>
      </c>
      <c r="B13" s="135">
        <v>12.75</v>
      </c>
      <c r="C13" s="134">
        <v>14</v>
      </c>
      <c r="E13" s="4"/>
      <c r="F13" s="4" t="s">
        <v>77</v>
      </c>
      <c r="G13" s="137">
        <f>B22</f>
        <v>0.36842105263157893</v>
      </c>
      <c r="H13" s="4"/>
      <c r="I13" s="4"/>
      <c r="K13" s="111">
        <v>37</v>
      </c>
      <c r="L13" s="111">
        <v>7</v>
      </c>
      <c r="M13" s="128">
        <v>0.18</v>
      </c>
      <c r="N13" s="128">
        <f t="shared" si="0"/>
        <v>0.18</v>
      </c>
      <c r="O13" s="111" t="s">
        <v>76</v>
      </c>
      <c r="P13" s="127">
        <f>COUNTIF(E5:I6,"CAB")</f>
        <v>2</v>
      </c>
      <c r="Q13" s="126">
        <f>COUNTIF(E10:I11,"CAB")</f>
        <v>0</v>
      </c>
      <c r="R13" s="96">
        <f t="shared" si="1"/>
        <v>0.18</v>
      </c>
      <c r="S13" s="96">
        <f t="shared" si="2"/>
        <v>0.21517915309446253</v>
      </c>
      <c r="T13" s="125">
        <f>IF((Q13+P13)=0,0,S13*P14/4*P13/L13)</f>
        <v>3.0739879013494648E-2</v>
      </c>
      <c r="U13" s="124">
        <f>IF(P13+Q13=0,0,S13*Q14/4*Q13/L13)</f>
        <v>0</v>
      </c>
      <c r="V13" s="123">
        <v>1</v>
      </c>
      <c r="W13" s="117">
        <v>1</v>
      </c>
      <c r="X13" s="122">
        <f t="shared" si="5"/>
        <v>3.0739879013494648E-2</v>
      </c>
      <c r="Y13" s="121">
        <f t="shared" si="5"/>
        <v>0</v>
      </c>
      <c r="Z13" s="102"/>
      <c r="AA13" s="120">
        <f t="shared" si="6"/>
        <v>3.0739879013494648E-2</v>
      </c>
      <c r="AB13" s="119">
        <f t="shared" si="7"/>
        <v>0.96926012098650538</v>
      </c>
      <c r="AC13" s="119">
        <f>PRODUCT(AB14:AB$16)*AA13*PRODUCT(AB$4:AB12)</f>
        <v>2.328993898060323E-2</v>
      </c>
      <c r="AD13" s="119">
        <f>AA13*AA14*PRODUCT(AB3:AB12)*PRODUCT(AB15:AB17)+AA13*AA15*PRODUCT(AB3:AB12)*AB14*PRODUCT(AB16:AB17)+AA13*AA16*PRODUCT(AB3:AB12)*AB14*AB15*AB17+AA13*AA17*PRODUCT(AB3:AB12)*AB14*AB15*AB16</f>
        <v>1.5215934953693251E-3</v>
      </c>
      <c r="AF13" s="100"/>
      <c r="AG13" s="118">
        <f t="shared" si="8"/>
        <v>0</v>
      </c>
      <c r="AH13" s="117">
        <f t="shared" si="9"/>
        <v>1</v>
      </c>
      <c r="AI13" s="117">
        <f>AG13*PRODUCT(AH3:AH12)*PRODUCT(AH14:AH17)</f>
        <v>0</v>
      </c>
      <c r="AJ13" s="117">
        <f>AG13*AG14*PRODUCT(AH3:AH12)*PRODUCT(AH15:AH17)+AG13*AG15*PRODUCT(AH3:AH12)*AH14*PRODUCT(AH16:AH17)+AG13*AG16*PRODUCT(AH3:AH12)*AH14*AH15*AH17+AG13*AG17*PRODUCT(AH3:AH12)*AH14*AH15*AH16</f>
        <v>0</v>
      </c>
      <c r="AL13" s="98"/>
      <c r="AN13" s="97"/>
      <c r="AO13" s="96"/>
      <c r="BI13" s="1">
        <v>0</v>
      </c>
      <c r="BJ13" s="1">
        <v>10</v>
      </c>
      <c r="BK13" s="2">
        <f t="shared" si="10"/>
        <v>3.8983849780517777E-4</v>
      </c>
      <c r="BM13" s="1">
        <f>BI57+1</f>
        <v>9</v>
      </c>
      <c r="BN13" s="1">
        <v>9</v>
      </c>
      <c r="BO13" s="2">
        <f>$H$34*H48</f>
        <v>9.3041128978540807E-12</v>
      </c>
      <c r="BQ13" s="1">
        <f>BM7+1</f>
        <v>4</v>
      </c>
      <c r="BR13" s="1">
        <v>3</v>
      </c>
      <c r="BS13" s="2">
        <f>$H$29*H42</f>
        <v>9.0946462246401015E-4</v>
      </c>
    </row>
    <row r="14" spans="1:71" ht="15.75" x14ac:dyDescent="0.25">
      <c r="A14" s="136" t="s">
        <v>75</v>
      </c>
      <c r="B14" s="135">
        <v>11.75</v>
      </c>
      <c r="C14" s="134">
        <v>12</v>
      </c>
      <c r="E14" s="4"/>
      <c r="F14" s="4" t="s">
        <v>74</v>
      </c>
      <c r="G14" s="133">
        <f>C22</f>
        <v>0.63157894736842102</v>
      </c>
      <c r="H14" s="4"/>
      <c r="I14" s="4"/>
      <c r="K14" s="111">
        <v>38</v>
      </c>
      <c r="L14" s="111">
        <v>2</v>
      </c>
      <c r="M14" s="128">
        <v>0.18</v>
      </c>
      <c r="N14" s="128">
        <f t="shared" si="0"/>
        <v>0.18</v>
      </c>
      <c r="O14" s="111" t="s">
        <v>73</v>
      </c>
      <c r="P14" s="127">
        <f>COUNTA(E5,I5)</f>
        <v>2</v>
      </c>
      <c r="Q14" s="126">
        <f>COUNTA(E10,I10)</f>
        <v>2</v>
      </c>
      <c r="R14" s="96">
        <f t="shared" si="1"/>
        <v>0.18</v>
      </c>
      <c r="S14" s="96">
        <f t="shared" si="2"/>
        <v>0.21517915309446253</v>
      </c>
      <c r="T14" s="125">
        <f>S14*P14^2.7/(Q14^2.7+P14^2.7)</f>
        <v>0.10758957654723127</v>
      </c>
      <c r="U14" s="124">
        <f>S14*Q14^2.7/(Q14^2.7+P14^2.7)</f>
        <v>0.10758957654723127</v>
      </c>
      <c r="V14" s="123">
        <f>$G$17</f>
        <v>0.56999999999999995</v>
      </c>
      <c r="W14" s="117">
        <f>$H$17</f>
        <v>0.56999999999999995</v>
      </c>
      <c r="X14" s="122">
        <f t="shared" si="5"/>
        <v>6.1326058631921816E-2</v>
      </c>
      <c r="Y14" s="121">
        <f t="shared" si="5"/>
        <v>6.1326058631921816E-2</v>
      </c>
      <c r="Z14" s="102"/>
      <c r="AA14" s="120">
        <f t="shared" si="6"/>
        <v>6.1326058631921816E-2</v>
      </c>
      <c r="AB14" s="119">
        <f t="shared" si="7"/>
        <v>0.93867394136807814</v>
      </c>
      <c r="AC14" s="119">
        <f>PRODUCT(AB15:AB$16)*AA14*PRODUCT(AB$4:AB13)</f>
        <v>4.7977413794195921E-2</v>
      </c>
      <c r="AD14" s="119">
        <f>AA14*AA15*PRODUCT(AB3:AB13)*PRODUCT(AB16:AB17)+AA14*AA16*PRODUCT(AB3:AB13)*AB15*AB17+AA14*AA17*PRODUCT(AB3:AB13)*AB15*AB16</f>
        <v>0</v>
      </c>
      <c r="AF14" s="100"/>
      <c r="AG14" s="118">
        <f t="shared" si="8"/>
        <v>6.1326058631921816E-2</v>
      </c>
      <c r="AH14" s="117">
        <f t="shared" si="9"/>
        <v>0.93867394136807814</v>
      </c>
      <c r="AI14" s="117">
        <f>AG14*PRODUCT(AH3:AH13)*PRODUCT(AH15:AH17)</f>
        <v>4.5471065228589333E-2</v>
      </c>
      <c r="AJ14" s="117">
        <f>AG14*AG15*PRODUCT(AH3:AH13)*PRODUCT(AH16:AH17)+AG14*AG16*PRODUCT(AH3:AH13)*AH15*AH17+AG14*AG17*PRODUCT(AH3:AH13)*AH15*AH16</f>
        <v>0</v>
      </c>
      <c r="AL14" s="98"/>
      <c r="AN14" s="97"/>
      <c r="AO14" s="96"/>
      <c r="BI14" s="1">
        <v>1</v>
      </c>
      <c r="BJ14" s="1">
        <v>2</v>
      </c>
      <c r="BK14" s="2">
        <f t="shared" ref="BK14:BK22" si="11">$H$26*H41</f>
        <v>5.2093983847471242E-2</v>
      </c>
      <c r="BM14" s="1">
        <f>BQ39+1</f>
        <v>10</v>
      </c>
      <c r="BN14" s="1">
        <v>10</v>
      </c>
      <c r="BO14" s="2">
        <f>$H$35*H49</f>
        <v>4.1051984192181229E-14</v>
      </c>
      <c r="BQ14" s="1">
        <f>BQ10+1</f>
        <v>5</v>
      </c>
      <c r="BR14" s="1">
        <v>0</v>
      </c>
      <c r="BS14" s="2">
        <f>$H$30*H39</f>
        <v>5.0670388497301879E-6</v>
      </c>
    </row>
    <row r="15" spans="1:71" ht="15.75" x14ac:dyDescent="0.25">
      <c r="A15" s="70" t="s">
        <v>72</v>
      </c>
      <c r="B15" s="132">
        <v>5</v>
      </c>
      <c r="C15" s="131">
        <v>10</v>
      </c>
      <c r="E15" s="4"/>
      <c r="F15" s="4"/>
      <c r="G15" s="4"/>
      <c r="H15" s="4"/>
      <c r="I15" s="4"/>
      <c r="K15" s="111">
        <v>39</v>
      </c>
      <c r="L15" s="111">
        <v>8</v>
      </c>
      <c r="M15" s="128">
        <v>0.6</v>
      </c>
      <c r="N15" s="128">
        <f t="shared" si="0"/>
        <v>0.6</v>
      </c>
      <c r="O15" s="111" t="s">
        <v>71</v>
      </c>
      <c r="P15" s="127">
        <f>COUNTIF(E5:I6,"TEC")</f>
        <v>0</v>
      </c>
      <c r="Q15" s="126">
        <f>COUNTIF(E10:I11,"TEC")</f>
        <v>0</v>
      </c>
      <c r="R15" s="96">
        <f>IF(P15&lt;&gt;0,IF(Q1&lt;&gt;0,M15,IF(Q15&lt;&gt;0,IF(P1&lt;&gt;0,M15,0),0)),IF(Q15&lt;&gt;0,IF(P1&lt;&gt;0,M15,0),0))</f>
        <v>0</v>
      </c>
      <c r="S15" s="96">
        <f t="shared" si="2"/>
        <v>0</v>
      </c>
      <c r="T15" s="125">
        <f>IF(P15&lt;&gt;0,IF(Q1&lt;&gt;0,IF(Q15&lt;&gt;0,IF(P1&lt;&gt;0,S15*P15^2.7/(P15^2.7+Q15^2.7)*P15/L15,S15*P15/L15),S15*P15/L15),0),0)</f>
        <v>0</v>
      </c>
      <c r="U15" s="124">
        <f>IF(Q15&lt;&gt;0,IF(P1&lt;&gt;0,IF(P15&lt;&gt;0,IF(Q1&lt;&gt;0,S15*Q15^2.7/(P15^2.7+Q15^2.7)*Q15/L15,S15*Q15/L15),S15*Q15/L15),0),0)</f>
        <v>0</v>
      </c>
      <c r="V15" s="123">
        <f>$G$17</f>
        <v>0.56999999999999995</v>
      </c>
      <c r="W15" s="117">
        <f>$H$17</f>
        <v>0.56999999999999995</v>
      </c>
      <c r="X15" s="122">
        <f t="shared" si="5"/>
        <v>0</v>
      </c>
      <c r="Y15" s="121">
        <f t="shared" si="5"/>
        <v>0</v>
      </c>
      <c r="Z15" s="102"/>
      <c r="AA15" s="120">
        <f t="shared" si="6"/>
        <v>0</v>
      </c>
      <c r="AB15" s="119">
        <f t="shared" si="7"/>
        <v>1</v>
      </c>
      <c r="AC15" s="119">
        <f>PRODUCT(AB16:AB$16)*AA15*PRODUCT(AB$4:AB14)</f>
        <v>0</v>
      </c>
      <c r="AD15" s="119">
        <f>AA15*AA16*PRODUCT(AB3:AB14)*AB17+AA15*AA17*PRODUCT(AB3:AB14)*AB16</f>
        <v>0</v>
      </c>
      <c r="AF15" s="100"/>
      <c r="AG15" s="118">
        <f t="shared" si="8"/>
        <v>0</v>
      </c>
      <c r="AH15" s="117">
        <f t="shared" si="9"/>
        <v>1</v>
      </c>
      <c r="AI15" s="117">
        <f>AG15*PRODUCT(AH3:AH14)*PRODUCT(AH16:AH17)</f>
        <v>0</v>
      </c>
      <c r="AJ15" s="117">
        <f>(FACT(2)/(FACT($AD$1)*FACT(2-$AD$1))*AG15^$AD$1*(1-AG15)^(2-$AD$1))</f>
        <v>0</v>
      </c>
      <c r="AL15" s="98"/>
      <c r="AN15" s="97"/>
      <c r="AO15" s="96"/>
      <c r="BI15" s="1">
        <v>1</v>
      </c>
      <c r="BJ15" s="1">
        <v>3</v>
      </c>
      <c r="BK15" s="2">
        <f t="shared" si="11"/>
        <v>7.9075747612894487E-2</v>
      </c>
      <c r="BQ15" s="1">
        <f>BQ11+1</f>
        <v>5</v>
      </c>
      <c r="BR15" s="1">
        <v>1</v>
      </c>
      <c r="BS15" s="2">
        <f>$H$30*H40</f>
        <v>2.7958474820520168E-5</v>
      </c>
    </row>
    <row r="16" spans="1:71" ht="15.75" x14ac:dyDescent="0.25">
      <c r="A16" s="70" t="s">
        <v>70</v>
      </c>
      <c r="B16" s="130">
        <v>12</v>
      </c>
      <c r="C16" s="129">
        <v>12</v>
      </c>
      <c r="E16" s="4"/>
      <c r="F16" s="4" t="s">
        <v>69</v>
      </c>
      <c r="G16" s="113">
        <v>0.7</v>
      </c>
      <c r="H16" s="112">
        <v>0.7</v>
      </c>
      <c r="I16" s="4"/>
      <c r="K16" s="111">
        <v>90</v>
      </c>
      <c r="L16" s="111">
        <v>3</v>
      </c>
      <c r="M16" s="128">
        <v>0</v>
      </c>
      <c r="N16" s="128">
        <v>0</v>
      </c>
      <c r="O16" s="111" t="s">
        <v>68</v>
      </c>
      <c r="P16" s="127">
        <f>COUNTIF(F6:H6,"POT")</f>
        <v>0</v>
      </c>
      <c r="Q16" s="126">
        <f>COUNTIF(F11:H11,"POT")</f>
        <v>0</v>
      </c>
      <c r="R16" s="96">
        <f>M16</f>
        <v>0</v>
      </c>
      <c r="S16" s="96">
        <f t="shared" si="2"/>
        <v>0</v>
      </c>
      <c r="T16" s="125">
        <f>INT(B34*(1-B31))*IF(P16=0,0,IF(P16=1,0.1,IF(P16=2,0.16,IF(P16=3,0.2,0))))</f>
        <v>0</v>
      </c>
      <c r="U16" s="124">
        <f>INT(C34*(1-C31))*IF(Q16=0,0,IF(Q16=1,0.1,IF(Q16=2,0.16,IF(Q16=3,0.2,0))))</f>
        <v>0</v>
      </c>
      <c r="V16" s="123">
        <f>G17</f>
        <v>0.56999999999999995</v>
      </c>
      <c r="W16" s="117">
        <f>H17</f>
        <v>0.56999999999999995</v>
      </c>
      <c r="X16" s="122">
        <f t="shared" si="5"/>
        <v>0</v>
      </c>
      <c r="Y16" s="121">
        <f t="shared" si="5"/>
        <v>0</v>
      </c>
      <c r="Z16" s="102"/>
      <c r="AA16" s="120">
        <f t="shared" si="6"/>
        <v>0</v>
      </c>
      <c r="AB16" s="119">
        <f t="shared" si="7"/>
        <v>1</v>
      </c>
      <c r="AC16" s="119">
        <f>AA16*PRODUCT(AB$4:AB15)</f>
        <v>0</v>
      </c>
      <c r="AD16" s="119">
        <f>(FACT(2)/(FACT($AD$1)*FACT(2-$AD$1))*AA16^$AD$1*(1-AA16)^(2-$AD$1))</f>
        <v>0</v>
      </c>
      <c r="AE16" s="102"/>
      <c r="AF16" s="102"/>
      <c r="AG16" s="118">
        <f t="shared" si="8"/>
        <v>0</v>
      </c>
      <c r="AH16" s="117">
        <f t="shared" si="9"/>
        <v>1</v>
      </c>
      <c r="AI16" s="117">
        <f>AG16*PRODUCT(AH$4:AH15)</f>
        <v>0</v>
      </c>
      <c r="AJ16" s="117">
        <f>(FACT(2)/(FACT($AD$1)*FACT(2-$AD$1))*AG16^$AD$1*(1-AG16)^(2-$AD$1))</f>
        <v>0</v>
      </c>
      <c r="AK16" s="102"/>
      <c r="AL16" s="98"/>
      <c r="AN16" s="97"/>
      <c r="AO16" s="96"/>
      <c r="BI16" s="1">
        <v>1</v>
      </c>
      <c r="BJ16" s="1">
        <v>4</v>
      </c>
      <c r="BK16" s="2">
        <f t="shared" si="11"/>
        <v>8.0999868923524801E-2</v>
      </c>
      <c r="BQ16" s="1">
        <f>BQ12+1</f>
        <v>5</v>
      </c>
      <c r="BR16" s="1">
        <v>2</v>
      </c>
      <c r="BS16" s="2">
        <f>$H$30*H41</f>
        <v>7.0307323635291502E-5</v>
      </c>
    </row>
    <row r="17" spans="1:71" x14ac:dyDescent="0.25">
      <c r="A17" s="116" t="s">
        <v>67</v>
      </c>
      <c r="B17" s="115" t="s">
        <v>139</v>
      </c>
      <c r="C17" s="114" t="s">
        <v>66</v>
      </c>
      <c r="E17" s="4"/>
      <c r="F17" s="4" t="s">
        <v>65</v>
      </c>
      <c r="G17" s="113">
        <v>0.56999999999999995</v>
      </c>
      <c r="H17" s="112">
        <v>0.56999999999999995</v>
      </c>
      <c r="I17" s="4"/>
      <c r="K17" s="111"/>
      <c r="L17" s="111"/>
      <c r="M17" s="111"/>
      <c r="N17" s="111"/>
      <c r="O17" s="111"/>
      <c r="P17" s="111"/>
      <c r="Q17" s="4"/>
      <c r="V17" s="4"/>
      <c r="W17" s="4"/>
      <c r="X17" s="4"/>
      <c r="Y17" s="4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98"/>
      <c r="AN17" s="97"/>
      <c r="AO17" s="96"/>
      <c r="BI17" s="1">
        <v>1</v>
      </c>
      <c r="BJ17" s="1">
        <v>5</v>
      </c>
      <c r="BK17" s="2">
        <f t="shared" si="11"/>
        <v>5.944001135955955E-2</v>
      </c>
      <c r="BQ17" s="1">
        <f>BQ13+1</f>
        <v>5</v>
      </c>
      <c r="BR17" s="1">
        <v>3</v>
      </c>
      <c r="BS17" s="2">
        <f>$H$30*H42</f>
        <v>1.0672257655319016E-4</v>
      </c>
    </row>
    <row r="18" spans="1:71" x14ac:dyDescent="0.25">
      <c r="A18" s="116" t="s">
        <v>64</v>
      </c>
      <c r="B18" s="115">
        <v>20</v>
      </c>
      <c r="C18" s="114">
        <v>20</v>
      </c>
      <c r="E18" s="4"/>
      <c r="F18" s="111" t="s">
        <v>63</v>
      </c>
      <c r="G18" s="113">
        <v>0.45</v>
      </c>
      <c r="H18" s="112">
        <v>0.45</v>
      </c>
      <c r="I18" s="4"/>
      <c r="K18" s="111"/>
      <c r="L18" s="111"/>
      <c r="M18" s="111"/>
      <c r="N18" s="111"/>
      <c r="O18" s="111"/>
      <c r="P18" s="110"/>
      <c r="Q18" s="4"/>
      <c r="V18" s="4"/>
      <c r="W18" s="4"/>
      <c r="X18" s="4"/>
      <c r="Y18" s="4"/>
      <c r="Z18" s="102"/>
      <c r="AB18" s="109">
        <f>PRODUCT(AB3:AB17)</f>
        <v>0.73435582047014369</v>
      </c>
      <c r="AC18" s="107">
        <f>SUM(AC4:AC16)</f>
        <v>0.23320105236902297</v>
      </c>
      <c r="AD18" s="107">
        <f>SUM(AD3:AD17)</f>
        <v>2.4633521959564034E-2</v>
      </c>
      <c r="AE18" s="107">
        <f>IF((1-AB18-AC18-AD18)&lt;0,(1-AB18-AC18-AD18)-1,1-AB18-AC18-AD18)</f>
        <v>7.8096052012693006E-3</v>
      </c>
      <c r="AF18" s="100"/>
      <c r="AG18" s="4"/>
      <c r="AH18" s="108">
        <f>PRODUCT(AH3:AH17)</f>
        <v>0.69599294277991575</v>
      </c>
      <c r="AI18" s="107">
        <f>SUM(AI3:AI17)</f>
        <v>0.241993617092161</v>
      </c>
      <c r="AJ18" s="107">
        <f>SUM(AJ3:AJ17)</f>
        <v>3.3913947318614704E-2</v>
      </c>
      <c r="AK18" s="107">
        <f>IF((1-AH18-AI18-AJ18)&lt;0,(1-AH18-AI18-AJ18)-1,(1-AH18-AI18-AJ18))</f>
        <v>2.8099492809308554E-2</v>
      </c>
      <c r="AL18" s="98"/>
      <c r="AN18" s="97"/>
      <c r="AO18" s="96"/>
      <c r="BI18" s="1">
        <v>1</v>
      </c>
      <c r="BJ18" s="1">
        <v>6</v>
      </c>
      <c r="BK18" s="2">
        <f t="shared" si="11"/>
        <v>3.2508685399436105E-2</v>
      </c>
      <c r="BQ18" s="1">
        <f>BM8+1</f>
        <v>5</v>
      </c>
      <c r="BR18" s="1">
        <v>4</v>
      </c>
      <c r="BS18" s="2">
        <f>$H$30*H43</f>
        <v>1.0931941806364443E-4</v>
      </c>
    </row>
    <row r="19" spans="1:71" ht="9" customHeight="1" x14ac:dyDescent="0.25">
      <c r="H19" s="4"/>
      <c r="L19" s="4"/>
      <c r="M19" s="4"/>
      <c r="P19" s="106"/>
      <c r="Q19" s="105"/>
      <c r="R19" s="104"/>
      <c r="S19" s="101"/>
      <c r="T19" s="100"/>
      <c r="U19" s="100"/>
      <c r="V19" s="100"/>
      <c r="W19" s="57"/>
      <c r="Y19" s="103"/>
      <c r="Z19" s="102"/>
      <c r="AA19" s="102"/>
      <c r="AB19" s="102"/>
      <c r="AC19" s="101"/>
      <c r="AD19" s="100"/>
      <c r="AE19" s="100"/>
      <c r="AF19" s="100"/>
      <c r="AG19" s="57"/>
      <c r="AH19" s="98"/>
      <c r="AJ19" s="99"/>
      <c r="AL19" s="98"/>
      <c r="AN19" s="97"/>
      <c r="AO19" s="96"/>
      <c r="BI19" s="1">
        <v>1</v>
      </c>
      <c r="BJ19" s="1">
        <v>7</v>
      </c>
      <c r="BK19" s="2">
        <f t="shared" si="11"/>
        <v>1.3685660633119169E-2</v>
      </c>
      <c r="BQ19" s="1">
        <f>BQ15+1</f>
        <v>6</v>
      </c>
      <c r="BR19" s="1">
        <v>1</v>
      </c>
      <c r="BS19" s="2">
        <f>$H$31*H40</f>
        <v>2.2777483268083688E-6</v>
      </c>
    </row>
    <row r="20" spans="1:71" x14ac:dyDescent="0.25">
      <c r="A20" s="92" t="s">
        <v>62</v>
      </c>
      <c r="B20" s="1">
        <f>IF(B17="Pres",IF(C17="Pres",2,1),IF(C17="Pres",1,0))</f>
        <v>0</v>
      </c>
      <c r="D20" s="50"/>
      <c r="P20" s="89"/>
      <c r="Q20" s="89"/>
      <c r="R20" s="89"/>
      <c r="T20" s="95"/>
      <c r="U20" s="93"/>
      <c r="V20" s="93"/>
      <c r="W20" s="93"/>
      <c r="Y20" s="89"/>
      <c r="Z20" s="89"/>
      <c r="AA20" s="89"/>
      <c r="AB20" s="89"/>
      <c r="AC20" s="4"/>
      <c r="AD20" s="94"/>
      <c r="AE20" s="93"/>
      <c r="AF20" s="93"/>
      <c r="AG20" s="93"/>
      <c r="BI20" s="1">
        <v>1</v>
      </c>
      <c r="BJ20" s="1">
        <v>8</v>
      </c>
      <c r="BK20" s="2">
        <f t="shared" si="11"/>
        <v>4.5645262796051855E-3</v>
      </c>
      <c r="BQ20" s="1">
        <f>BQ16+1</f>
        <v>6</v>
      </c>
      <c r="BR20" s="1">
        <v>2</v>
      </c>
      <c r="BS20" s="2">
        <f>$H$31*H41</f>
        <v>5.7278656937009644E-6</v>
      </c>
    </row>
    <row r="21" spans="1:71" x14ac:dyDescent="0.25">
      <c r="A21" s="92" t="s">
        <v>61</v>
      </c>
      <c r="B21" s="91">
        <f>5-B20</f>
        <v>5</v>
      </c>
      <c r="C21" s="90"/>
      <c r="P21" s="89"/>
      <c r="Q21" s="89"/>
      <c r="R21" s="89"/>
      <c r="BI21" s="1">
        <v>1</v>
      </c>
      <c r="BJ21" s="1">
        <v>9</v>
      </c>
      <c r="BK21" s="2">
        <f t="shared" si="11"/>
        <v>1.2271680600709381E-3</v>
      </c>
      <c r="BQ21" s="1">
        <f>BQ17+1</f>
        <v>6</v>
      </c>
      <c r="BR21" s="1">
        <v>3</v>
      </c>
      <c r="BS21" s="2">
        <f>$H$31*H42</f>
        <v>8.6945790761909768E-6</v>
      </c>
    </row>
    <row r="22" spans="1:71" x14ac:dyDescent="0.25">
      <c r="A22" s="67" t="s">
        <v>60</v>
      </c>
      <c r="B22" s="74">
        <f>(B6)/((B6)+(C6))</f>
        <v>0.36842105263157893</v>
      </c>
      <c r="C22" s="73">
        <f>1-B22</f>
        <v>0.63157894736842102</v>
      </c>
      <c r="V22" s="52">
        <f>SUM(V25:V35)</f>
        <v>1</v>
      </c>
      <c r="AS22" s="56">
        <f>Y23+AA23+AC23+AE23+AG23+AI23+AK23+AM23+AO23+AQ23+AS23</f>
        <v>1</v>
      </c>
      <c r="BI22" s="1">
        <v>1</v>
      </c>
      <c r="BJ22" s="1">
        <v>10</v>
      </c>
      <c r="BK22" s="2">
        <f t="shared" si="11"/>
        <v>2.621287557101914E-4</v>
      </c>
      <c r="BQ22" s="1">
        <f>BQ18+1</f>
        <v>6</v>
      </c>
      <c r="BR22" s="1">
        <v>4</v>
      </c>
      <c r="BS22" s="2">
        <f>$H$31*H43</f>
        <v>8.9061410960577559E-6</v>
      </c>
    </row>
    <row r="23" spans="1:71" ht="15.75" thickBot="1" x14ac:dyDescent="0.3">
      <c r="A23" s="65" t="s">
        <v>59</v>
      </c>
      <c r="B23" s="64">
        <f>((B22^2.8)/((B22^2.8)+(C22^2.8)))*B21</f>
        <v>0.90529418087088376</v>
      </c>
      <c r="C23" s="63">
        <f>B21-B23</f>
        <v>4.0947058191291159</v>
      </c>
      <c r="D23" s="88">
        <f>SUM(D25:D30)</f>
        <v>1.0003500000000001</v>
      </c>
      <c r="E23" s="88">
        <f>SUM(E25:E30)</f>
        <v>1</v>
      </c>
      <c r="H23" s="50">
        <f>SUM(H25:H35)</f>
        <v>0.99999999999922451</v>
      </c>
      <c r="I23" s="51"/>
      <c r="J23" s="50">
        <f>SUM(J25:J35)</f>
        <v>1.0000000000000004</v>
      </c>
      <c r="K23" s="50"/>
      <c r="L23" s="50">
        <f>SUM(L25:L35)</f>
        <v>1</v>
      </c>
      <c r="M23" s="51"/>
      <c r="N23" s="50">
        <f>SUM(N25:N35)</f>
        <v>1</v>
      </c>
      <c r="O23" s="51"/>
      <c r="P23" s="50">
        <f>SUM(P25:P35)</f>
        <v>1</v>
      </c>
      <c r="Q23" s="51"/>
      <c r="R23" s="50">
        <f>SUM(R25:R35)</f>
        <v>1.0000000000000002</v>
      </c>
      <c r="S23" s="51"/>
      <c r="T23" s="50">
        <f>SUM(T25:T35)</f>
        <v>1</v>
      </c>
      <c r="V23" s="52">
        <f>SUM(V25:V34)</f>
        <v>0.99999992273951188</v>
      </c>
      <c r="Y23" s="50">
        <f>SUM(Y25:Y35)</f>
        <v>0.13299010729127497</v>
      </c>
      <c r="Z23" s="51"/>
      <c r="AA23" s="50">
        <f>SUM(AA25:AA35)</f>
        <v>0.29669959030341914</v>
      </c>
      <c r="AB23" s="51"/>
      <c r="AC23" s="50">
        <f>SUM(AC25:AC35)</f>
        <v>0.29845718732103865</v>
      </c>
      <c r="AD23" s="51"/>
      <c r="AE23" s="50">
        <f>SUM(AE25:AE35)</f>
        <v>0.17838982435516043</v>
      </c>
      <c r="AF23" s="51"/>
      <c r="AG23" s="50">
        <f>SUM(AG25:AG35)</f>
        <v>7.0238896313963795E-2</v>
      </c>
      <c r="AH23" s="51"/>
      <c r="AI23" s="50">
        <f>SUM(AI25:AI35)</f>
        <v>1.9070872296384666E-2</v>
      </c>
      <c r="AJ23" s="51"/>
      <c r="AK23" s="50">
        <f>SUM(AK25:AK35)</f>
        <v>3.6277192307157357E-3</v>
      </c>
      <c r="AL23" s="51"/>
      <c r="AM23" s="50">
        <f>SUM(AM25:AM35)</f>
        <v>4.8034636455544306E-4</v>
      </c>
      <c r="AN23" s="51"/>
      <c r="AO23" s="50">
        <f>SUM(AO25:AO35)</f>
        <v>4.2949945943264933E-5</v>
      </c>
      <c r="AP23" s="51"/>
      <c r="AQ23" s="50">
        <f>SUM(AQ25:AQ35)</f>
        <v>2.4293170560258754E-6</v>
      </c>
      <c r="AR23" s="51"/>
      <c r="AS23" s="50">
        <f>SUM(AS25:AS35)</f>
        <v>7.7260488118291514E-8</v>
      </c>
      <c r="BI23" s="1">
        <f t="shared" ref="BI23:BI30" si="12">BI15+1</f>
        <v>2</v>
      </c>
      <c r="BJ23" s="1">
        <v>3</v>
      </c>
      <c r="BK23" s="2">
        <f t="shared" ref="BK23:BK30" si="13">$H$27*H42</f>
        <v>2.387556923619295E-2</v>
      </c>
      <c r="BQ23" s="1">
        <f>BM9+1</f>
        <v>6</v>
      </c>
      <c r="BR23" s="1">
        <v>5</v>
      </c>
      <c r="BS23" s="2">
        <f>$H$31*H44</f>
        <v>6.5355800565470412E-6</v>
      </c>
    </row>
    <row r="24" spans="1:71" ht="15.75" thickBot="1" x14ac:dyDescent="0.3">
      <c r="A24" s="67" t="s">
        <v>58</v>
      </c>
      <c r="B24" s="87">
        <f>B23/B21</f>
        <v>0.18105883617417676</v>
      </c>
      <c r="C24" s="86">
        <f>C23/B21</f>
        <v>0.81894116382582316</v>
      </c>
      <c r="D24" s="4" t="s">
        <v>57</v>
      </c>
      <c r="E24" s="4" t="s">
        <v>56</v>
      </c>
      <c r="G24" s="84" t="s">
        <v>55</v>
      </c>
      <c r="H24" s="85" t="s">
        <v>33</v>
      </c>
      <c r="I24" s="84" t="s">
        <v>54</v>
      </c>
      <c r="J24" s="83" t="s">
        <v>53</v>
      </c>
      <c r="K24" s="84" t="s">
        <v>52</v>
      </c>
      <c r="L24" s="83" t="s">
        <v>33</v>
      </c>
      <c r="M24" s="79" t="s">
        <v>51</v>
      </c>
      <c r="N24" s="78" t="s">
        <v>46</v>
      </c>
      <c r="O24" s="78" t="s">
        <v>50</v>
      </c>
      <c r="P24" s="78" t="s">
        <v>33</v>
      </c>
      <c r="Q24" s="78" t="s">
        <v>49</v>
      </c>
      <c r="R24" s="78" t="s">
        <v>33</v>
      </c>
      <c r="S24" s="78" t="s">
        <v>48</v>
      </c>
      <c r="T24" s="82" t="s">
        <v>33</v>
      </c>
      <c r="U24" s="81" t="s">
        <v>47</v>
      </c>
      <c r="V24" s="80" t="s">
        <v>46</v>
      </c>
      <c r="W24" s="79" t="s">
        <v>45</v>
      </c>
      <c r="X24" s="78" t="s">
        <v>44</v>
      </c>
      <c r="Y24" s="78" t="s">
        <v>33</v>
      </c>
      <c r="Z24" s="78" t="s">
        <v>43</v>
      </c>
      <c r="AA24" s="78" t="s">
        <v>33</v>
      </c>
      <c r="AB24" s="78" t="s">
        <v>42</v>
      </c>
      <c r="AC24" s="78" t="s">
        <v>33</v>
      </c>
      <c r="AD24" s="78" t="s">
        <v>41</v>
      </c>
      <c r="AE24" s="78" t="s">
        <v>33</v>
      </c>
      <c r="AF24" s="78" t="s">
        <v>40</v>
      </c>
      <c r="AG24" s="78" t="s">
        <v>33</v>
      </c>
      <c r="AH24" s="78" t="s">
        <v>39</v>
      </c>
      <c r="AI24" s="78" t="s">
        <v>33</v>
      </c>
      <c r="AJ24" s="78" t="s">
        <v>38</v>
      </c>
      <c r="AK24" s="78" t="s">
        <v>33</v>
      </c>
      <c r="AL24" s="78" t="s">
        <v>37</v>
      </c>
      <c r="AM24" s="78" t="s">
        <v>33</v>
      </c>
      <c r="AN24" s="78" t="s">
        <v>36</v>
      </c>
      <c r="AO24" s="78" t="s">
        <v>33</v>
      </c>
      <c r="AP24" s="78" t="s">
        <v>35</v>
      </c>
      <c r="AQ24" s="78" t="s">
        <v>33</v>
      </c>
      <c r="AR24" s="78" t="s">
        <v>34</v>
      </c>
      <c r="AS24" s="78" t="s">
        <v>33</v>
      </c>
      <c r="AV24" s="22">
        <v>0</v>
      </c>
      <c r="AW24" s="22">
        <v>1</v>
      </c>
      <c r="AX24" s="22">
        <v>2</v>
      </c>
      <c r="AY24" s="22">
        <v>3</v>
      </c>
      <c r="AZ24" s="22">
        <v>4</v>
      </c>
      <c r="BA24" s="22">
        <v>5</v>
      </c>
      <c r="BB24" s="22">
        <v>6</v>
      </c>
      <c r="BC24" s="22">
        <v>7</v>
      </c>
      <c r="BD24" s="22">
        <v>8</v>
      </c>
      <c r="BE24" s="22">
        <v>9</v>
      </c>
      <c r="BF24" s="22">
        <v>10</v>
      </c>
      <c r="BI24" s="1">
        <f t="shared" si="12"/>
        <v>2</v>
      </c>
      <c r="BJ24" s="1">
        <v>4</v>
      </c>
      <c r="BK24" s="2">
        <f t="shared" si="13"/>
        <v>2.4456524749831336E-2</v>
      </c>
      <c r="BQ24" s="1">
        <f>BI49+1</f>
        <v>7</v>
      </c>
      <c r="BR24" s="1">
        <v>0</v>
      </c>
      <c r="BS24" s="2">
        <f t="shared" ref="BS24:BS30" si="14">$H$32*H39</f>
        <v>2.3711131400805067E-8</v>
      </c>
    </row>
    <row r="25" spans="1:71" x14ac:dyDescent="0.25">
      <c r="A25" s="67" t="s">
        <v>32</v>
      </c>
      <c r="B25" s="77">
        <f>1/(1+EXP(-3.1416*4*((B11/(B11+C8))-(3.1416/6))))</f>
        <v>5.1839625787545836E-3</v>
      </c>
      <c r="C25" s="73">
        <f>1/(1+EXP(-3.1416*4*((C11/(C11+B8))-(3.1416/6))))</f>
        <v>0.29124981281132378</v>
      </c>
      <c r="D25" s="8">
        <f>IF(B17="AOW",0.36-0.08,IF(B17="AIM",0.36+0.08,IF(B17="TL",(0.361)-(0.36*B32),0.36)))</f>
        <v>0.23499999999999999</v>
      </c>
      <c r="E25" s="8">
        <f>IF(C17="AOW",0.36-0.08,IF(C17="AIM",0.36+0.08,IF(C17="TL",(0.361)-(0.36*C32),0.36)))</f>
        <v>0.36</v>
      </c>
      <c r="G25" s="76">
        <v>0</v>
      </c>
      <c r="H25" s="75">
        <f>L25*J25</f>
        <v>0.5181026773958548</v>
      </c>
      <c r="I25" s="36">
        <v>0</v>
      </c>
      <c r="J25" s="34">
        <f t="shared" ref="J25:J35" si="15">Y25+AA25+AC25+AE25+AG25+AI25+AK25+AM25+AO25+AQ25+AS25</f>
        <v>0.70551994408399876</v>
      </c>
      <c r="K25" s="36">
        <v>0</v>
      </c>
      <c r="L25" s="34">
        <f>AB18</f>
        <v>0.73435582047014369</v>
      </c>
      <c r="M25" s="17">
        <v>0</v>
      </c>
      <c r="N25" s="32">
        <f>(1-$B$24)^$B$21</f>
        <v>0.36835240242436207</v>
      </c>
      <c r="O25" s="16">
        <v>0</v>
      </c>
      <c r="P25" s="32">
        <f t="shared" ref="P25:P30" si="16">N25</f>
        <v>0.36835240242436207</v>
      </c>
      <c r="Q25" s="10">
        <v>0</v>
      </c>
      <c r="R25" s="11">
        <f>P25*N25</f>
        <v>0.13568349237179919</v>
      </c>
      <c r="S25" s="16">
        <v>0</v>
      </c>
      <c r="T25" s="15">
        <f>(1-$B$33)^(INT(C23*2*(1-C31)))</f>
        <v>0.98014950062500006</v>
      </c>
      <c r="U25" s="24">
        <v>0</v>
      </c>
      <c r="V25" s="23">
        <f>R25*T25</f>
        <v>0.13299010729127497</v>
      </c>
      <c r="W25" s="33">
        <f>B31</f>
        <v>0.18733466159205153</v>
      </c>
      <c r="X25" s="10">
        <v>0</v>
      </c>
      <c r="Y25" s="9">
        <f>V25</f>
        <v>0.13299010729127497</v>
      </c>
      <c r="Z25" s="10">
        <v>0</v>
      </c>
      <c r="AA25" s="9">
        <f>((1-W25)^Z26)*V26</f>
        <v>0.24111747295942779</v>
      </c>
      <c r="AB25" s="10">
        <v>0</v>
      </c>
      <c r="AC25" s="9">
        <f>(((1-$W$25)^AB27))*V27</f>
        <v>0.19710857368507834</v>
      </c>
      <c r="AD25" s="10">
        <v>0</v>
      </c>
      <c r="AE25" s="9">
        <f>(((1-$W$25)^AB28))*V28</f>
        <v>9.5742615654606719E-2</v>
      </c>
      <c r="AF25" s="10">
        <v>0</v>
      </c>
      <c r="AG25" s="9">
        <f>(((1-$W$25)^AB29))*V29</f>
        <v>3.0635475512059786E-2</v>
      </c>
      <c r="AH25" s="10">
        <v>0</v>
      </c>
      <c r="AI25" s="9">
        <f>(((1-$W$25)^AB30))*V30</f>
        <v>6.7597283213948122E-3</v>
      </c>
      <c r="AJ25" s="10">
        <v>0</v>
      </c>
      <c r="AK25" s="9">
        <f>(((1-$W$25)^AB31))*V31</f>
        <v>1.0449706379627162E-3</v>
      </c>
      <c r="AL25" s="10">
        <v>0</v>
      </c>
      <c r="AM25" s="9">
        <f>(((1-$W$25)^AB32))*V32</f>
        <v>1.1244409807181611E-4</v>
      </c>
      <c r="AN25" s="10">
        <v>0</v>
      </c>
      <c r="AO25" s="9">
        <f>(((1-$W$25)^AB33))*V33</f>
        <v>8.1706482704485083E-6</v>
      </c>
      <c r="AP25" s="10">
        <v>0</v>
      </c>
      <c r="AQ25" s="9">
        <f>(((1-$W$25)^AB34))*V34</f>
        <v>3.7556907966511416E-7</v>
      </c>
      <c r="AR25" s="10">
        <v>0</v>
      </c>
      <c r="AS25" s="9">
        <f>(((1-$W$25)^AB35))*V35</f>
        <v>9.7067716921333293E-9</v>
      </c>
      <c r="AV25" s="22">
        <v>1</v>
      </c>
      <c r="AW25" s="1">
        <v>1</v>
      </c>
      <c r="AX25" s="1">
        <v>2</v>
      </c>
      <c r="AY25" s="1">
        <v>3</v>
      </c>
      <c r="AZ25" s="1">
        <v>4</v>
      </c>
      <c r="BA25" s="1">
        <v>5</v>
      </c>
      <c r="BB25" s="1">
        <v>6</v>
      </c>
      <c r="BC25" s="1">
        <f>7</f>
        <v>7</v>
      </c>
      <c r="BD25" s="1">
        <v>8</v>
      </c>
      <c r="BE25" s="1">
        <v>9</v>
      </c>
      <c r="BF25" s="1">
        <v>10</v>
      </c>
      <c r="BI25" s="1">
        <f t="shared" si="12"/>
        <v>2</v>
      </c>
      <c r="BJ25" s="1">
        <v>5</v>
      </c>
      <c r="BK25" s="2">
        <f t="shared" si="13"/>
        <v>1.794689458470379E-2</v>
      </c>
      <c r="BQ25" s="1">
        <f>BQ19+1</f>
        <v>7</v>
      </c>
      <c r="BR25" s="1">
        <v>1</v>
      </c>
      <c r="BS25" s="2">
        <f t="shared" si="14"/>
        <v>1.3083125862963403E-7</v>
      </c>
    </row>
    <row r="26" spans="1:71" x14ac:dyDescent="0.25">
      <c r="A26" s="65" t="s">
        <v>31</v>
      </c>
      <c r="B26" s="74">
        <f>1/(1+EXP(-3.1416*4*((B10/(B10+C9))-(3.1416/6))))</f>
        <v>8.2884686537739605E-3</v>
      </c>
      <c r="C26" s="73">
        <f>1/(1+EXP(-3.1416*4*((C10/(C10+B9))-(3.1416/6))))</f>
        <v>0.4567664718416985</v>
      </c>
      <c r="D26" s="8">
        <f>IF(B17="AOW",0.257+0.04,IF(B17="AIM",0.257-0.04,IF(B17="TL",(0.257)-(0.257*B32),0.257)))</f>
        <v>0.16705</v>
      </c>
      <c r="E26" s="8">
        <f>IF(C17="AOW",0.257+0.04,IF(C17="AIM",0.257-0.04,IF(C17="TL",(0.257)-(0.257*C32),0.257)))</f>
        <v>0.25700000000000001</v>
      </c>
      <c r="G26" s="62">
        <v>1</v>
      </c>
      <c r="H26" s="61">
        <f>L25*J26+L26*J25</f>
        <v>0.34837403417187685</v>
      </c>
      <c r="I26" s="24">
        <v>1</v>
      </c>
      <c r="J26" s="23">
        <f t="shared" si="15"/>
        <v>0.2503500831878116</v>
      </c>
      <c r="K26" s="24">
        <v>1</v>
      </c>
      <c r="L26" s="23">
        <f>AC18</f>
        <v>0.23320105236902297</v>
      </c>
      <c r="M26" s="17">
        <v>1</v>
      </c>
      <c r="N26" s="32">
        <f>(($B$24)^M26)*((1-($B$24))^($B$21-M26))*HLOOKUP($B$21,$AV$24:$BF$34,M26+1)</f>
        <v>0.40719321625833993</v>
      </c>
      <c r="O26" s="16">
        <v>1</v>
      </c>
      <c r="P26" s="32">
        <f t="shared" si="16"/>
        <v>0.40719321625833993</v>
      </c>
      <c r="Q26" s="10">
        <v>1</v>
      </c>
      <c r="R26" s="11">
        <f>N26*P25+P26*N25</f>
        <v>0.29998119891932462</v>
      </c>
      <c r="S26" s="16">
        <v>1</v>
      </c>
      <c r="T26" s="15">
        <f t="shared" ref="T26:T35" si="17">(($B$33)^S26)*((1-($B$33))^(INT($C$23*2*(1-$C$31))-S26))*HLOOKUP(INT($C$23*2*(1-$C$31)),$AV$24:$BF$34,S26+1)</f>
        <v>1.9701497500000002E-2</v>
      </c>
      <c r="U26" s="24">
        <v>1</v>
      </c>
      <c r="V26" s="23">
        <f>R26*T25+T26*R25</f>
        <v>0.29669959030341914</v>
      </c>
      <c r="W26" s="12"/>
      <c r="X26" s="10">
        <v>1</v>
      </c>
      <c r="Y26" s="11"/>
      <c r="Z26" s="10">
        <v>1</v>
      </c>
      <c r="AA26" s="9">
        <f>(1-((1-W25)^Z26))*V26</f>
        <v>5.5582117343991343E-2</v>
      </c>
      <c r="AB26" s="10">
        <v>1</v>
      </c>
      <c r="AC26" s="9">
        <f>((($W$25)^M26)*((1-($W$25))^($U$27-M26))*HLOOKUP($U$27,$AV$24:$BF$34,M26+1))*V27</f>
        <v>9.0874474898916008E-2</v>
      </c>
      <c r="AD26" s="10">
        <v>1</v>
      </c>
      <c r="AE26" s="9">
        <f>((($W$25)^M26)*((1-($W$25))^($U$28-M26))*HLOOKUP($U$28,$AV$24:$BF$34,M26+1))*V28</f>
        <v>6.6211426730950304E-2</v>
      </c>
      <c r="AF26" s="10">
        <v>1</v>
      </c>
      <c r="AG26" s="9">
        <f>((($W$25)^M26)*((1-($W$25))^($U$29-M26))*HLOOKUP($U$29,$AV$24:$BF$34,M26+1))*V29</f>
        <v>2.8248215675133651E-2</v>
      </c>
      <c r="AH26" s="10">
        <v>1</v>
      </c>
      <c r="AI26" s="9">
        <f>((($W$25)^M26)*((1-($W$25))^($U$30-M26))*HLOOKUP($U$30,$AV$24:$BF$34,M26+1))*V30</f>
        <v>7.7912232606321651E-3</v>
      </c>
      <c r="AJ26" s="10">
        <v>1</v>
      </c>
      <c r="AK26" s="9">
        <f>((($W$25)^M26)*((1-($W$25))^($U$31-M26))*HLOOKUP($U$31,$AV$24:$BF$34,M26+1))*V31</f>
        <v>1.4453124422893013E-3</v>
      </c>
      <c r="AL26" s="10">
        <v>1</v>
      </c>
      <c r="AM26" s="9">
        <f>((($W$25)^Q26)*((1-($W$25))^($U$32-Q26))*HLOOKUP($U$32,$AV$24:$BF$34,Q26+1))*V32</f>
        <v>1.8144337214014454E-4</v>
      </c>
      <c r="AN26" s="10">
        <v>1</v>
      </c>
      <c r="AO26" s="9">
        <f>((($W$25)^Q26)*((1-($W$25))^($U$33-Q26))*HLOOKUP($U$33,$AV$24:$BF$34,Q26+1))*V33</f>
        <v>1.5067906124612253E-5</v>
      </c>
      <c r="AP26" s="10">
        <v>1</v>
      </c>
      <c r="AQ26" s="9">
        <f>((($W$25)^Q26)*((1-($W$25))^($U$34-Q26))*HLOOKUP($U$34,$AV$24:$BF$34,Q26+1))*V34</f>
        <v>7.7918169763708512E-7</v>
      </c>
      <c r="AR26" s="10">
        <v>1</v>
      </c>
      <c r="AS26" s="9">
        <f>((($W$25)^Q26)*((1-($W$25))^($U$35-Q26))*HLOOKUP($U$35,$AV$24:$BF$34,Q26+1))*V35</f>
        <v>2.237593636833911E-8</v>
      </c>
      <c r="AV26" s="22">
        <v>2</v>
      </c>
      <c r="AX26" s="1">
        <v>1</v>
      </c>
      <c r="AY26" s="1">
        <v>3</v>
      </c>
      <c r="AZ26" s="1">
        <v>6</v>
      </c>
      <c r="BA26" s="1">
        <v>10</v>
      </c>
      <c r="BB26" s="1">
        <v>15</v>
      </c>
      <c r="BC26" s="1">
        <f>6+15</f>
        <v>21</v>
      </c>
      <c r="BD26" s="1">
        <f>21+7</f>
        <v>28</v>
      </c>
      <c r="BE26" s="1">
        <f>28+8</f>
        <v>36</v>
      </c>
      <c r="BF26" s="1">
        <f>36+9</f>
        <v>45</v>
      </c>
      <c r="BI26" s="1">
        <f t="shared" si="12"/>
        <v>2</v>
      </c>
      <c r="BJ26" s="1">
        <v>6</v>
      </c>
      <c r="BK26" s="2">
        <f t="shared" si="13"/>
        <v>9.8154414275216616E-3</v>
      </c>
      <c r="BQ26" s="1">
        <f>BQ20+1</f>
        <v>7</v>
      </c>
      <c r="BR26" s="1">
        <v>2</v>
      </c>
      <c r="BS26" s="2">
        <f t="shared" si="14"/>
        <v>3.2900205397953349E-7</v>
      </c>
    </row>
    <row r="27" spans="1:71" x14ac:dyDescent="0.25">
      <c r="A27" s="67" t="s">
        <v>30</v>
      </c>
      <c r="B27" s="74">
        <f>1/(1+EXP(-3.1416*4*((B12/(B12+C7))-(3.1416/6))))</f>
        <v>6.3857555350523773E-3</v>
      </c>
      <c r="C27" s="73">
        <f>1/(1+EXP(-3.1416*4*((C12/(C12+B7))-(3.1416/6))))</f>
        <v>0.39695297341787411</v>
      </c>
      <c r="D27" s="8">
        <f>D26</f>
        <v>0.16705</v>
      </c>
      <c r="E27" s="8">
        <f>E26</f>
        <v>0.25700000000000001</v>
      </c>
      <c r="G27" s="62">
        <v>2</v>
      </c>
      <c r="H27" s="61">
        <f>L25*J27+J26*L26+J25*L27</f>
        <v>0.10518557995405131</v>
      </c>
      <c r="I27" s="24">
        <v>2</v>
      </c>
      <c r="J27" s="23">
        <f t="shared" si="15"/>
        <v>4.006809129617827E-2</v>
      </c>
      <c r="K27" s="24">
        <v>2</v>
      </c>
      <c r="L27" s="23">
        <f>AD18</f>
        <v>2.4633521959564034E-2</v>
      </c>
      <c r="M27" s="17">
        <v>2</v>
      </c>
      <c r="N27" s="32">
        <f>(($B$24)^M27)*((1-($B$24))^($B$21-M27))*HLOOKUP($B$21,$AV$24:$BF$34,M27+1)</f>
        <v>0.18005183544403028</v>
      </c>
      <c r="O27" s="16">
        <v>2</v>
      </c>
      <c r="P27" s="32">
        <f t="shared" si="16"/>
        <v>0.18005183544403028</v>
      </c>
      <c r="Q27" s="10">
        <v>2</v>
      </c>
      <c r="R27" s="11">
        <f>P25*N27+P26*N26+P27*N25</f>
        <v>0.29845136766026015</v>
      </c>
      <c r="S27" s="16">
        <v>2</v>
      </c>
      <c r="T27" s="15">
        <f t="shared" si="17"/>
        <v>1.4850375000000001E-4</v>
      </c>
      <c r="U27" s="24">
        <v>2</v>
      </c>
      <c r="V27" s="23">
        <f>R27*T25+T26*R26+R25*T27</f>
        <v>0.2984571873210386</v>
      </c>
      <c r="W27" s="12"/>
      <c r="X27" s="10">
        <v>2</v>
      </c>
      <c r="Y27" s="11"/>
      <c r="Z27" s="10">
        <v>2</v>
      </c>
      <c r="AA27" s="9"/>
      <c r="AB27" s="10">
        <v>2</v>
      </c>
      <c r="AC27" s="9">
        <f>((($W$25)^M27)*((1-($W$25))^($U$27-M27))*HLOOKUP($U$27,$AV$24:$BF$34,M27+1))*V27</f>
        <v>1.0474138737044298E-2</v>
      </c>
      <c r="AD27" s="10">
        <v>2</v>
      </c>
      <c r="AE27" s="9">
        <f>((($W$25)^M27)*((1-($W$25))^($U$28-M27))*HLOOKUP($U$28,$AV$24:$BF$34,M27+1))*V28</f>
        <v>1.526298050864202E-2</v>
      </c>
      <c r="AF27" s="10">
        <v>2</v>
      </c>
      <c r="AG27" s="9">
        <f>((($W$25)^M27)*((1-($W$25))^($U$29-M27))*HLOOKUP($U$29,$AV$24:$BF$34,M27+1))*V29</f>
        <v>9.7676183675696367E-3</v>
      </c>
      <c r="AH27" s="10">
        <v>2</v>
      </c>
      <c r="AI27" s="9">
        <f>((($W$25)^M27)*((1-($W$25))^($U$30-M27))*HLOOKUP($U$30,$AV$24:$BF$34,M27+1))*V30</f>
        <v>3.5920473137885001E-3</v>
      </c>
      <c r="AJ27" s="10">
        <v>2</v>
      </c>
      <c r="AK27" s="9">
        <f>((($W$25)^M27)*((1-($W$25))^($U$31-M27))*HLOOKUP($U$31,$AV$24:$BF$34,M27+1))*V31</f>
        <v>8.3292932673083579E-4</v>
      </c>
      <c r="AL27" s="10">
        <v>2</v>
      </c>
      <c r="AM27" s="9">
        <f>((($W$25)^Q27)*((1-($W$25))^($U$32-Q27))*HLOOKUP($U$32,$AV$24:$BF$34,Q27+1))*V32</f>
        <v>1.2547834063373727E-4</v>
      </c>
      <c r="AN27" s="10">
        <v>2</v>
      </c>
      <c r="AO27" s="9">
        <f>((($W$25)^Q27)*((1-($W$25))^($U$33-Q27))*HLOOKUP($U$33,$AV$24:$BF$34,Q27+1))*V33</f>
        <v>1.2157026225576748E-5</v>
      </c>
      <c r="AP27" s="10">
        <v>2</v>
      </c>
      <c r="AQ27" s="9">
        <f>((($W$25)^Q27)*((1-($W$25))^($U$34-Q27))*HLOOKUP($U$34,$AV$24:$BF$34,Q27+1))*V34</f>
        <v>7.1846420782026486E-7</v>
      </c>
      <c r="AR27" s="10">
        <v>2</v>
      </c>
      <c r="AS27" s="9">
        <f>((($W$25)^Q27)*((1-($W$25))^($U$35-Q27))*HLOOKUP($U$35,$AV$24:$BF$34,Q27+1))*V35</f>
        <v>2.3211335849650034E-8</v>
      </c>
      <c r="AV27" s="22">
        <v>3</v>
      </c>
      <c r="AY27" s="1">
        <v>1</v>
      </c>
      <c r="AZ27" s="1">
        <v>4</v>
      </c>
      <c r="BA27" s="1">
        <v>10</v>
      </c>
      <c r="BB27" s="1">
        <v>20</v>
      </c>
      <c r="BC27" s="1">
        <f>15+20</f>
        <v>35</v>
      </c>
      <c r="BD27" s="1">
        <f>21+35</f>
        <v>56</v>
      </c>
      <c r="BE27" s="1">
        <f>28+56</f>
        <v>84</v>
      </c>
      <c r="BF27" s="1">
        <f>36+84</f>
        <v>120</v>
      </c>
      <c r="BI27" s="1">
        <f t="shared" si="12"/>
        <v>2</v>
      </c>
      <c r="BJ27" s="1">
        <v>7</v>
      </c>
      <c r="BK27" s="2">
        <f t="shared" si="13"/>
        <v>4.1321511064132512E-3</v>
      </c>
      <c r="BQ27" s="1">
        <f>BQ21+1</f>
        <v>7</v>
      </c>
      <c r="BR27" s="1">
        <v>3</v>
      </c>
      <c r="BS27" s="2">
        <f t="shared" si="14"/>
        <v>4.9940667737724488E-7</v>
      </c>
    </row>
    <row r="28" spans="1:71" x14ac:dyDescent="0.25">
      <c r="A28" s="67" t="s">
        <v>29</v>
      </c>
      <c r="B28" s="72">
        <v>0.9</v>
      </c>
      <c r="C28" s="71">
        <v>0.9</v>
      </c>
      <c r="D28" s="8">
        <v>8.5000000000000006E-2</v>
      </c>
      <c r="E28" s="8">
        <v>8.5000000000000006E-2</v>
      </c>
      <c r="G28" s="62">
        <v>3</v>
      </c>
      <c r="H28" s="61">
        <f>J28*L25+J27*L26+L28*J25+L27*J26</f>
        <v>2.3820223216389606E-2</v>
      </c>
      <c r="I28" s="24">
        <v>3</v>
      </c>
      <c r="J28" s="23">
        <f t="shared" si="15"/>
        <v>3.8121379104849042E-3</v>
      </c>
      <c r="K28" s="24">
        <v>3</v>
      </c>
      <c r="L28" s="23">
        <f>AE18</f>
        <v>7.8096052012693006E-3</v>
      </c>
      <c r="M28" s="17">
        <v>3</v>
      </c>
      <c r="N28" s="32">
        <f>(($B$24)^M28)*((1-($B$24))^($B$21-M28))*HLOOKUP($B$21,$AV$24:$BF$34,M28+1)</f>
        <v>3.9807469958188652E-2</v>
      </c>
      <c r="O28" s="16">
        <v>3</v>
      </c>
      <c r="P28" s="32">
        <f t="shared" si="16"/>
        <v>3.9807469958188652E-2</v>
      </c>
      <c r="Q28" s="10">
        <v>3</v>
      </c>
      <c r="R28" s="11">
        <f>P25*N28+P26*N27+P27*N26+P28*N25</f>
        <v>0.17595812632241292</v>
      </c>
      <c r="S28" s="16">
        <v>3</v>
      </c>
      <c r="T28" s="15">
        <f t="shared" si="17"/>
        <v>4.9750000000000011E-7</v>
      </c>
      <c r="U28" s="24">
        <v>3</v>
      </c>
      <c r="V28" s="23">
        <f>R28*T25+R27*T26+R26*T27+R25*T28</f>
        <v>0.17838982435516038</v>
      </c>
      <c r="W28" s="12"/>
      <c r="X28" s="10">
        <v>3</v>
      </c>
      <c r="Y28" s="11"/>
      <c r="Z28" s="10">
        <v>3</v>
      </c>
      <c r="AA28" s="9"/>
      <c r="AB28" s="10">
        <v>3</v>
      </c>
      <c r="AC28" s="9"/>
      <c r="AD28" s="10">
        <v>3</v>
      </c>
      <c r="AE28" s="9">
        <f>((($W$25)^M28)*((1-($W$25))^($U$28-M28))*HLOOKUP($U$28,$AV$24:$BF$34,M28+1))*V28</f>
        <v>1.1728014609613728E-3</v>
      </c>
      <c r="AF28" s="10">
        <v>3</v>
      </c>
      <c r="AG28" s="9">
        <f>((($W$25)^M28)*((1-($W$25))^($U$29-M28))*HLOOKUP($U$29,$AV$24:$BF$34,M28+1))*V29</f>
        <v>1.5010799607734053E-3</v>
      </c>
      <c r="AH28" s="10">
        <v>3</v>
      </c>
      <c r="AI28" s="9">
        <f>((($W$25)^M28)*((1-($W$25))^($U$30-M28))*HLOOKUP($U$30,$AV$24:$BF$34,M28+1))*V30</f>
        <v>8.2803453789413489E-4</v>
      </c>
      <c r="AJ28" s="10">
        <v>3</v>
      </c>
      <c r="AK28" s="9">
        <f>((($W$25)^M28)*((1-($W$25))^($U$31-M28))*HLOOKUP($U$31,$AV$24:$BF$34,M28+1))*V31</f>
        <v>2.560078565819803E-4</v>
      </c>
      <c r="AL28" s="10">
        <v>3</v>
      </c>
      <c r="AM28" s="9">
        <f>((($W$25)^Q28)*((1-($W$25))^($U$32-Q28))*HLOOKUP($U$32,$AV$24:$BF$34,Q28+1))*V32</f>
        <v>4.8208533428622288E-5</v>
      </c>
      <c r="AN28" s="10">
        <v>3</v>
      </c>
      <c r="AO28" s="9">
        <f>((($W$25)^Q28)*((1-($W$25))^($U$33-Q28))*HLOOKUP($U$33,$AV$24:$BF$34,Q28+1))*V33</f>
        <v>5.6048468817329336E-6</v>
      </c>
      <c r="AP28" s="10">
        <v>3</v>
      </c>
      <c r="AQ28" s="9">
        <f>((($W$25)^Q28)*((1-($W$25))^($U$34-Q28))*HLOOKUP($U$34,$AV$24:$BF$34,Q28+1))*V34</f>
        <v>3.8644556380850806E-7</v>
      </c>
      <c r="AR28" s="10">
        <v>3</v>
      </c>
      <c r="AS28" s="9">
        <f>((($W$25)^Q28)*((1-($W$25))^($U$35-Q28))*HLOOKUP($U$35,$AV$24:$BF$34,Q28+1))*V35</f>
        <v>1.4268399847550698E-8</v>
      </c>
      <c r="AV28" s="22">
        <v>4</v>
      </c>
      <c r="AZ28" s="1">
        <v>1</v>
      </c>
      <c r="BA28" s="1">
        <v>5</v>
      </c>
      <c r="BB28" s="1">
        <v>15</v>
      </c>
      <c r="BC28" s="1">
        <f>20+15</f>
        <v>35</v>
      </c>
      <c r="BD28" s="1">
        <f>35+35</f>
        <v>70</v>
      </c>
      <c r="BE28" s="1">
        <f>56+70</f>
        <v>126</v>
      </c>
      <c r="BF28" s="1">
        <f t="shared" ref="BF28:BF34" si="18">BE27+BE28</f>
        <v>210</v>
      </c>
      <c r="BI28" s="1">
        <f t="shared" si="12"/>
        <v>2</v>
      </c>
      <c r="BJ28" s="1">
        <v>8</v>
      </c>
      <c r="BK28" s="2">
        <f t="shared" si="13"/>
        <v>1.3781806243886199E-3</v>
      </c>
      <c r="BQ28" s="1">
        <f>BQ22+1</f>
        <v>7</v>
      </c>
      <c r="BR28" s="1">
        <v>4</v>
      </c>
      <c r="BS28" s="2">
        <f t="shared" si="14"/>
        <v>5.1155855781619683E-7</v>
      </c>
    </row>
    <row r="29" spans="1:71" x14ac:dyDescent="0.25">
      <c r="A29" s="67" t="s">
        <v>28</v>
      </c>
      <c r="B29" s="74">
        <f>1/(1+EXP(-3.1416*4*((B14/(B14+C13))-(3.1416/6))))</f>
        <v>0.3003599256256817</v>
      </c>
      <c r="C29" s="73">
        <f>1/(1+EXP(-3.1416*4*((C14/(C14+B13))-(3.1416/6))))</f>
        <v>0.38060831534430095</v>
      </c>
      <c r="D29" s="8">
        <v>0.04</v>
      </c>
      <c r="E29" s="8">
        <v>0.04</v>
      </c>
      <c r="G29" s="62">
        <v>4</v>
      </c>
      <c r="H29" s="61">
        <f>J29*L25+J28*L26+J27*L27+J26*L28</f>
        <v>4.0067134238858043E-3</v>
      </c>
      <c r="I29" s="24">
        <v>4</v>
      </c>
      <c r="J29" s="23">
        <f t="shared" si="15"/>
        <v>2.3907393101142384E-4</v>
      </c>
      <c r="K29" s="24">
        <v>4</v>
      </c>
      <c r="L29" s="23"/>
      <c r="M29" s="17">
        <v>4</v>
      </c>
      <c r="N29" s="32">
        <f>(($B$24)^M29)*((1-($B$24))^($B$21-M29))*HLOOKUP($B$21,$AV$24:$BF$34,M29+1)</f>
        <v>4.4004957254786805E-3</v>
      </c>
      <c r="O29" s="16">
        <v>4</v>
      </c>
      <c r="P29" s="32">
        <f t="shared" si="16"/>
        <v>4.4004957254786805E-3</v>
      </c>
      <c r="Q29" s="10">
        <v>4</v>
      </c>
      <c r="R29" s="11">
        <f>P25*N29+P26*N28+P27*N27+P28*N26+P29*N25</f>
        <v>6.807919323820473E-2</v>
      </c>
      <c r="S29" s="16">
        <v>4</v>
      </c>
      <c r="T29" s="15">
        <f t="shared" si="17"/>
        <v>6.2500000000000001E-10</v>
      </c>
      <c r="U29" s="24">
        <v>4</v>
      </c>
      <c r="V29" s="23">
        <f>T29*R25+T28*R26+T27*R27+T26*R28+T25*R29</f>
        <v>7.0238896313963767E-2</v>
      </c>
      <c r="W29" s="12"/>
      <c r="X29" s="10">
        <v>4</v>
      </c>
      <c r="Y29" s="11"/>
      <c r="Z29" s="10">
        <v>4</v>
      </c>
      <c r="AA29" s="9"/>
      <c r="AB29" s="10">
        <v>4</v>
      </c>
      <c r="AC29" s="9"/>
      <c r="AD29" s="10">
        <v>4</v>
      </c>
      <c r="AE29" s="9"/>
      <c r="AF29" s="10">
        <v>4</v>
      </c>
      <c r="AG29" s="9">
        <f>((($W$25)^M29)*((1-($W$25))^($U$29-M29))*HLOOKUP($U$29,$AV$24:$BF$34,M29+1))*V29</f>
        <v>8.6506798427317264E-5</v>
      </c>
      <c r="AH29" s="10">
        <v>4</v>
      </c>
      <c r="AI29" s="9">
        <f>((($W$25)^M29)*((1-($W$25))^($U$30-M29))*HLOOKUP($U$30,$AV$24:$BF$34,M29+1))*V30</f>
        <v>9.5438775724590035E-5</v>
      </c>
      <c r="AJ29" s="10">
        <v>4</v>
      </c>
      <c r="AK29" s="9">
        <f>((($W$25)^M29)*((1-($W$25))^($U$31-M29))*HLOOKUP($U$31,$AV$24:$BF$34,M29+1))*V31</f>
        <v>4.4260973346955532E-5</v>
      </c>
      <c r="AL29" s="10">
        <v>4</v>
      </c>
      <c r="AM29" s="9">
        <f>((($W$25)^Q29)*((1-($W$25))^($U$32-Q29))*HLOOKUP($U$32,$AV$24:$BF$34,Q29+1))*V32</f>
        <v>1.1112974638973143E-5</v>
      </c>
      <c r="AN29" s="10">
        <v>4</v>
      </c>
      <c r="AO29" s="9">
        <f>((($W$25)^Q29)*((1-($W$25))^($U$33-Q29))*HLOOKUP($U$33,$AV$24:$BF$34,Q29+1))*V33</f>
        <v>1.615028419819269E-6</v>
      </c>
      <c r="AP29" s="10">
        <v>4</v>
      </c>
      <c r="AQ29" s="9">
        <f>((($W$25)^Q29)*((1-($W$25))^($U$34-Q29))*HLOOKUP($U$34,$AV$24:$BF$34,Q29+1))*V34</f>
        <v>1.3362446784362878E-7</v>
      </c>
      <c r="AR29" s="10">
        <v>4</v>
      </c>
      <c r="AS29" s="9">
        <f>((($W$25)^Q29)*((1-($W$25))^($U$35-Q29))*HLOOKUP($U$35,$AV$24:$BF$34,Q29+1))*V35</f>
        <v>5.7559859249572021E-9</v>
      </c>
      <c r="AV29" s="22">
        <v>5</v>
      </c>
      <c r="BA29" s="1">
        <v>1</v>
      </c>
      <c r="BB29" s="1">
        <v>6</v>
      </c>
      <c r="BC29" s="1">
        <f>15+6</f>
        <v>21</v>
      </c>
      <c r="BD29" s="1">
        <f>35+21</f>
        <v>56</v>
      </c>
      <c r="BE29" s="1">
        <f>70+56</f>
        <v>126</v>
      </c>
      <c r="BF29" s="1">
        <f t="shared" si="18"/>
        <v>252</v>
      </c>
      <c r="BI29" s="1">
        <f t="shared" si="12"/>
        <v>2</v>
      </c>
      <c r="BJ29" s="1">
        <v>9</v>
      </c>
      <c r="BK29" s="2">
        <f t="shared" si="13"/>
        <v>3.7052240247034451E-4</v>
      </c>
      <c r="BQ29" s="1">
        <f>BQ23+1</f>
        <v>7</v>
      </c>
      <c r="BR29" s="1">
        <v>5</v>
      </c>
      <c r="BS29" s="2">
        <f t="shared" si="14"/>
        <v>3.7539624312704935E-7</v>
      </c>
    </row>
    <row r="30" spans="1:71" x14ac:dyDescent="0.25">
      <c r="A30" s="67" t="s">
        <v>27</v>
      </c>
      <c r="B30" s="72">
        <f>IF(B17="TL",0.55,0.15)</f>
        <v>0.55000000000000004</v>
      </c>
      <c r="C30" s="71">
        <f>IF(C17="TL",0.55,0.15)</f>
        <v>0.15</v>
      </c>
      <c r="D30" s="8">
        <f>IF(B17="TL",0.875*B32,0.001)</f>
        <v>0.30624999999999997</v>
      </c>
      <c r="E30" s="8">
        <f>IF(C17="TL",0.875*C32,0.001)</f>
        <v>1E-3</v>
      </c>
      <c r="G30" s="62">
        <v>5</v>
      </c>
      <c r="H30" s="61">
        <f>J30*L25+J29*L26+J28*L27+J27*L28</f>
        <v>4.7017417670280946E-4</v>
      </c>
      <c r="I30" s="24">
        <v>5</v>
      </c>
      <c r="J30" s="23">
        <f t="shared" si="15"/>
        <v>1.0348562730390609E-5</v>
      </c>
      <c r="K30" s="24">
        <v>5</v>
      </c>
      <c r="L30" s="23"/>
      <c r="M30" s="17">
        <v>5</v>
      </c>
      <c r="N30" s="32">
        <f>(($B$24)^M30)*((1-($B$24))^($B$21-M30))*HLOOKUP($B$21,$AV$24:$BF$34,M30+1)</f>
        <v>1.9458018960054772E-4</v>
      </c>
      <c r="O30" s="16">
        <v>5</v>
      </c>
      <c r="P30" s="32">
        <f t="shared" si="16"/>
        <v>1.9458018960054772E-4</v>
      </c>
      <c r="Q30" s="10">
        <v>5</v>
      </c>
      <c r="R30" s="11">
        <f>P25*N30+P26*N29+P27*N28+P28*N27+P29*N26+P30*N25</f>
        <v>1.8061868236494506E-2</v>
      </c>
      <c r="S30" s="16">
        <v>5</v>
      </c>
      <c r="T30" s="15">
        <f t="shared" si="17"/>
        <v>0</v>
      </c>
      <c r="U30" s="24">
        <v>5</v>
      </c>
      <c r="V30" s="23">
        <f>T30*R25+T29*R26+T28*R27+T27*R28+T26*R29+T25*R30</f>
        <v>1.9070872296384659E-2</v>
      </c>
      <c r="W30" s="12"/>
      <c r="X30" s="10">
        <v>5</v>
      </c>
      <c r="Y30" s="11"/>
      <c r="Z30" s="10">
        <v>5</v>
      </c>
      <c r="AA30" s="9"/>
      <c r="AB30" s="10">
        <v>5</v>
      </c>
      <c r="AC30" s="9"/>
      <c r="AD30" s="10">
        <v>5</v>
      </c>
      <c r="AE30" s="9"/>
      <c r="AF30" s="10">
        <v>5</v>
      </c>
      <c r="AG30" s="9"/>
      <c r="AH30" s="10">
        <v>5</v>
      </c>
      <c r="AI30" s="9">
        <f>((($W$25)^M30)*((1-($W$25))^($U$30-M30))*HLOOKUP($U$30,$AV$24:$BF$34,M30+1))*V30</f>
        <v>4.4000869504663746E-6</v>
      </c>
      <c r="AJ30" s="10">
        <v>5</v>
      </c>
      <c r="AK30" s="9">
        <f>((($W$25)^M30)*((1-($W$25))^($U$31-M30))*HLOOKUP($U$31,$AV$24:$BF$34,M30+1))*V31</f>
        <v>4.0811950857559183E-6</v>
      </c>
      <c r="AL30" s="10">
        <v>5</v>
      </c>
      <c r="AM30" s="9">
        <f>((($W$25)^Q30)*((1-($W$25))^($U$32-Q30))*HLOOKUP($U$32,$AV$24:$BF$34,Q30+1))*V32</f>
        <v>1.5370499354764084E-6</v>
      </c>
      <c r="AN30" s="10">
        <v>5</v>
      </c>
      <c r="AO30" s="9">
        <f>((($W$25)^Q30)*((1-($W$25))^($U$33-Q30))*HLOOKUP($U$33,$AV$24:$BF$34,Q30+1))*V33</f>
        <v>2.9783556717809607E-7</v>
      </c>
      <c r="AP30" s="10">
        <v>5</v>
      </c>
      <c r="AQ30" s="9">
        <f>((($W$25)^Q30)*((1-($W$25))^($U$34-Q30))*HLOOKUP($U$34,$AV$24:$BF$34,Q30+1))*V34</f>
        <v>3.0802955756602165E-8</v>
      </c>
      <c r="AR30" s="10">
        <v>5</v>
      </c>
      <c r="AS30" s="9">
        <f>((($W$25)^Q30)*((1-($W$25))^($U$35-Q30))*HLOOKUP($U$35,$AV$24:$BF$34,Q30+1))*V35</f>
        <v>1.5922357572078614E-9</v>
      </c>
      <c r="AV30" s="29">
        <v>6</v>
      </c>
      <c r="BB30" s="1">
        <v>1</v>
      </c>
      <c r="BC30" s="1">
        <v>7</v>
      </c>
      <c r="BD30" s="1">
        <f>28</f>
        <v>28</v>
      </c>
      <c r="BE30" s="1">
        <f>56+28</f>
        <v>84</v>
      </c>
      <c r="BF30" s="1">
        <f t="shared" si="18"/>
        <v>210</v>
      </c>
      <c r="BI30" s="1">
        <f t="shared" si="12"/>
        <v>2</v>
      </c>
      <c r="BJ30" s="1">
        <v>10</v>
      </c>
      <c r="BK30" s="2">
        <f t="shared" si="13"/>
        <v>7.9145293527838187E-5</v>
      </c>
      <c r="BQ30" s="1">
        <f>BM10+1</f>
        <v>7</v>
      </c>
      <c r="BR30" s="1">
        <v>6</v>
      </c>
      <c r="BS30" s="2">
        <f t="shared" si="14"/>
        <v>2.053101621082514E-7</v>
      </c>
    </row>
    <row r="31" spans="1:71" x14ac:dyDescent="0.25">
      <c r="A31" s="70" t="s">
        <v>26</v>
      </c>
      <c r="B31" s="69">
        <f>(B25*D25)+(B26*D26)+(B27*D27)+(B28*D28)+(B29*D29)+(B30*D30)/(B25+B26+B27+B28+B29+B30)</f>
        <v>0.18733466159205153</v>
      </c>
      <c r="C31" s="68">
        <f>(C25*E25)+(C26*E26)+(C27*E27)+(C28*E28)+(C29*E29)+(C30*E30)/(C25+C26+C27+C28+C29+C30)</f>
        <v>0.41603840202163317</v>
      </c>
      <c r="G31" s="62">
        <v>6</v>
      </c>
      <c r="H31" s="61">
        <f>J31*L25+J30*L26+J29*L27+J28*L28</f>
        <v>3.8304608930502516E-5</v>
      </c>
      <c r="I31" s="24">
        <v>6</v>
      </c>
      <c r="J31" s="23">
        <f t="shared" si="15"/>
        <v>3.1427302899679917E-7</v>
      </c>
      <c r="K31" s="24">
        <v>6</v>
      </c>
      <c r="L31" s="23"/>
      <c r="M31" s="17"/>
      <c r="N31" s="11"/>
      <c r="O31" s="11"/>
      <c r="P31" s="11"/>
      <c r="Q31" s="10">
        <v>6</v>
      </c>
      <c r="R31" s="11">
        <f>P26*N30+P27*N29+P28*N28+P29*N27+P30*N26</f>
        <v>3.3277327953913929E-3</v>
      </c>
      <c r="S31" s="16">
        <v>6</v>
      </c>
      <c r="T31" s="15">
        <f t="shared" si="17"/>
        <v>0</v>
      </c>
      <c r="U31" s="24">
        <v>6</v>
      </c>
      <c r="V31" s="23">
        <f>T31*R25+T30*R26+T29*R27+T28*R28+T27*R29+T26*R30+T25*R31</f>
        <v>3.6277192307157331E-3</v>
      </c>
      <c r="W31" s="12"/>
      <c r="X31" s="10">
        <v>6</v>
      </c>
      <c r="Y31" s="11"/>
      <c r="Z31" s="10">
        <v>6</v>
      </c>
      <c r="AA31" s="9"/>
      <c r="AB31" s="10">
        <v>6</v>
      </c>
      <c r="AC31" s="9"/>
      <c r="AD31" s="10">
        <v>6</v>
      </c>
      <c r="AE31" s="9"/>
      <c r="AF31" s="10">
        <v>6</v>
      </c>
      <c r="AG31" s="9"/>
      <c r="AH31" s="10">
        <v>6</v>
      </c>
      <c r="AI31" s="9"/>
      <c r="AJ31" s="10">
        <v>6</v>
      </c>
      <c r="AK31" s="9">
        <f>((($W$25)^Q31)*((1-($W$25))^($U$31-Q31))*HLOOKUP($U$31,$AV$24:$BF$34,Q31+1))*V31</f>
        <v>1.5679871819048718E-7</v>
      </c>
      <c r="AL31" s="10">
        <v>6</v>
      </c>
      <c r="AM31" s="9">
        <f>((($W$25)^Q31)*((1-($W$25))^($U$32-Q31))*HLOOKUP($U$32,$AV$24:$BF$34,Q31+1))*V32</f>
        <v>1.1810631671033313E-7</v>
      </c>
      <c r="AN31" s="10">
        <v>6</v>
      </c>
      <c r="AO31" s="9">
        <f>((($W$25)^Q31)*((1-($W$25))^($U$33-Q31))*HLOOKUP($U$33,$AV$24:$BF$34,Q31+1))*V33</f>
        <v>3.4328352982723729E-8</v>
      </c>
      <c r="AP31" s="10">
        <v>6</v>
      </c>
      <c r="AQ31" s="9">
        <f>((($W$25)^Q31)*((1-($W$25))^($U$34-Q31))*HLOOKUP($U$34,$AV$24:$BF$34,Q31+1))*V34</f>
        <v>4.7337741790100392E-9</v>
      </c>
      <c r="AR31" s="10">
        <v>6</v>
      </c>
      <c r="AS31" s="9">
        <f>((($W$25)^Q31)*((1-($W$25))^($U$35-Q31))*HLOOKUP($U$35,$AV$24:$BF$34,Q31+1))*V35</f>
        <v>3.0586693424508312E-10</v>
      </c>
      <c r="AV31" s="22">
        <v>7</v>
      </c>
      <c r="BC31" s="1">
        <v>1</v>
      </c>
      <c r="BD31" s="1">
        <v>8</v>
      </c>
      <c r="BE31" s="1">
        <f>28+8</f>
        <v>36</v>
      </c>
      <c r="BF31" s="1">
        <f t="shared" si="18"/>
        <v>120</v>
      </c>
      <c r="BI31" s="1">
        <f t="shared" ref="BI31:BI37" si="19">BI24+1</f>
        <v>3</v>
      </c>
      <c r="BJ31" s="1">
        <v>4</v>
      </c>
      <c r="BK31" s="2">
        <f t="shared" ref="BK31:BK37" si="20">$H$28*H43</f>
        <v>5.5384005953346615E-3</v>
      </c>
      <c r="BQ31" s="1">
        <f t="shared" ref="BQ31:BQ37" si="21">BQ24+1</f>
        <v>8</v>
      </c>
      <c r="BR31" s="1">
        <v>0</v>
      </c>
      <c r="BS31" s="2">
        <f t="shared" ref="BS31:BS38" si="22">$H$33*H39</f>
        <v>9.7189413822944624E-10</v>
      </c>
    </row>
    <row r="32" spans="1:71" x14ac:dyDescent="0.25">
      <c r="A32" s="67" t="s">
        <v>25</v>
      </c>
      <c r="B32" s="66">
        <f>IF(B17&lt;&gt;"TL",0.001,IF(B18&lt;5,0.1,IF(B18&lt;10,0.2,IF(B18&lt;14,0.3,0.35))))</f>
        <v>0.35</v>
      </c>
      <c r="C32" s="66">
        <f>IF(C17&lt;&gt;"TL",0.001,IF(C18&lt;5,0.1,IF(C18&lt;10,0.2,IF(C18&lt;14,0.3,0.35))))</f>
        <v>1E-3</v>
      </c>
      <c r="G32" s="62">
        <v>7</v>
      </c>
      <c r="H32" s="61">
        <f>J32*L25+J31*L26+J30*L27+J29*L28</f>
        <v>2.2001729245986123E-6</v>
      </c>
      <c r="I32" s="24">
        <v>7</v>
      </c>
      <c r="J32" s="23">
        <f t="shared" si="15"/>
        <v>6.6582996761862638E-9</v>
      </c>
      <c r="K32" s="24">
        <v>7</v>
      </c>
      <c r="L32" s="23"/>
      <c r="M32" s="17"/>
      <c r="N32" s="11"/>
      <c r="O32" s="11"/>
      <c r="P32" s="11"/>
      <c r="Q32" s="10">
        <v>7</v>
      </c>
      <c r="R32" s="11">
        <f>P27*N30+P28*N29+P29*N28+P30*N27</f>
        <v>4.2041424334351236E-4</v>
      </c>
      <c r="S32" s="16">
        <v>7</v>
      </c>
      <c r="T32" s="15">
        <f t="shared" si="17"/>
        <v>0</v>
      </c>
      <c r="U32" s="24">
        <v>7</v>
      </c>
      <c r="V32" s="23">
        <f>T32*R25+T31*R26+T30*R27+T29*R28+T28*R29+T27*R30+T26*R31+T25*R32</f>
        <v>4.8034636455544268E-4</v>
      </c>
      <c r="W32" s="12"/>
      <c r="X32" s="10">
        <v>7</v>
      </c>
      <c r="Y32" s="11"/>
      <c r="Z32" s="10">
        <v>7</v>
      </c>
      <c r="AA32" s="9"/>
      <c r="AB32" s="10">
        <v>7</v>
      </c>
      <c r="AC32" s="9"/>
      <c r="AD32" s="10">
        <v>7</v>
      </c>
      <c r="AE32" s="9"/>
      <c r="AF32" s="10">
        <v>7</v>
      </c>
      <c r="AG32" s="9"/>
      <c r="AH32" s="10">
        <v>7</v>
      </c>
      <c r="AI32" s="9"/>
      <c r="AJ32" s="10">
        <v>7</v>
      </c>
      <c r="AK32" s="9"/>
      <c r="AL32" s="10">
        <v>7</v>
      </c>
      <c r="AM32" s="9">
        <f>((($W$25)^Q32)*((1-($W$25))^($U$32-Q32))*HLOOKUP($U$32,$AV$24:$BF$34,Q32+1))*V32</f>
        <v>3.8893899629016993E-9</v>
      </c>
      <c r="AN32" s="10">
        <v>7</v>
      </c>
      <c r="AO32" s="9">
        <f>((($W$25)^Q32)*((1-($W$25))^($U$33-Q32))*HLOOKUP($U$33,$AV$24:$BF$34,Q32+1))*V33</f>
        <v>2.2609519160844492E-9</v>
      </c>
      <c r="AP32" s="10">
        <v>7</v>
      </c>
      <c r="AQ32" s="9">
        <f>((($W$25)^Q32)*((1-($W$25))^($U$34-Q32))*HLOOKUP($U$34,$AV$24:$BF$34,Q32+1))*V34</f>
        <v>4.6766746160514342E-10</v>
      </c>
      <c r="AR32" s="10">
        <v>7</v>
      </c>
      <c r="AS32" s="9">
        <f>((($W$25)^Q32)*((1-($W$25))^($U$35-Q32))*HLOOKUP($U$35,$AV$24:$BF$34,Q32+1))*V35</f>
        <v>4.0290335594971909E-11</v>
      </c>
      <c r="AV32" s="22">
        <v>8</v>
      </c>
      <c r="BD32" s="1">
        <v>1</v>
      </c>
      <c r="BE32" s="1">
        <v>9</v>
      </c>
      <c r="BF32" s="1">
        <f t="shared" si="18"/>
        <v>45</v>
      </c>
      <c r="BI32" s="1">
        <f t="shared" si="19"/>
        <v>3</v>
      </c>
      <c r="BJ32" s="1">
        <v>5</v>
      </c>
      <c r="BK32" s="2">
        <f t="shared" si="20"/>
        <v>4.0642361361263053E-3</v>
      </c>
      <c r="BQ32" s="1">
        <f t="shared" si="21"/>
        <v>8</v>
      </c>
      <c r="BR32" s="1">
        <v>1</v>
      </c>
      <c r="BS32" s="2">
        <f t="shared" si="22"/>
        <v>5.3626345875256167E-9</v>
      </c>
    </row>
    <row r="33" spans="1:71" x14ac:dyDescent="0.25">
      <c r="A33" s="67" t="s">
        <v>24</v>
      </c>
      <c r="B33" s="66">
        <f>IF(B17&lt;&gt;"CA",0.005,IF((B18-B16)&lt;0,0.1,0.1+0.048*(B18-B16)))</f>
        <v>5.0000000000000001E-3</v>
      </c>
      <c r="C33" s="66">
        <f>IF(C17&lt;&gt;"CA",0.005,IF((C18-C16)&lt;0,0.1,0.1+0.048*(C18-C16)))</f>
        <v>5.0000000000000001E-3</v>
      </c>
      <c r="G33" s="62">
        <v>8</v>
      </c>
      <c r="H33" s="61">
        <f>J33*L25+J32*L26+J31*L27+J30*L28</f>
        <v>9.0182755616458078E-8</v>
      </c>
      <c r="I33" s="24">
        <v>8</v>
      </c>
      <c r="J33" s="23">
        <f t="shared" si="15"/>
        <v>9.5583417486486499E-11</v>
      </c>
      <c r="K33" s="24">
        <v>8</v>
      </c>
      <c r="L33" s="23"/>
      <c r="M33" s="17"/>
      <c r="N33" s="11"/>
      <c r="O33" s="11"/>
      <c r="P33" s="11"/>
      <c r="Q33" s="10">
        <v>8</v>
      </c>
      <c r="R33" s="11">
        <f>P28*N30+P29*N29+P30*N28</f>
        <v>3.485585273392105E-5</v>
      </c>
      <c r="S33" s="16">
        <v>8</v>
      </c>
      <c r="T33" s="15">
        <f t="shared" si="17"/>
        <v>0</v>
      </c>
      <c r="U33" s="24">
        <v>8</v>
      </c>
      <c r="V33" s="23">
        <f>T33*R25+T32*R26+T31*R27+T30*R28+T29*R29+T28*R30+T27*R31+T26*R32+T25*R33</f>
        <v>4.2949945943264892E-5</v>
      </c>
      <c r="W33" s="12"/>
      <c r="X33" s="10">
        <v>8</v>
      </c>
      <c r="Y33" s="11"/>
      <c r="Z33" s="10">
        <v>8</v>
      </c>
      <c r="AA33" s="9"/>
      <c r="AB33" s="10">
        <v>8</v>
      </c>
      <c r="AC33" s="9"/>
      <c r="AD33" s="10">
        <v>8</v>
      </c>
      <c r="AE33" s="9"/>
      <c r="AF33" s="10">
        <v>8</v>
      </c>
      <c r="AG33" s="9"/>
      <c r="AH33" s="10">
        <v>8</v>
      </c>
      <c r="AI33" s="9"/>
      <c r="AJ33" s="10">
        <v>8</v>
      </c>
      <c r="AK33" s="9"/>
      <c r="AL33" s="10">
        <v>8</v>
      </c>
      <c r="AM33" s="9"/>
      <c r="AN33" s="10">
        <v>8</v>
      </c>
      <c r="AO33" s="9">
        <f>((($W$25)^Q33)*((1-($W$25))^($U$33-Q33))*HLOOKUP($U$33,$AV$24:$BF$34,Q33+1))*V33</f>
        <v>6.5148998311122965E-11</v>
      </c>
      <c r="AP33" s="10">
        <v>8</v>
      </c>
      <c r="AQ33" s="9">
        <f>((($W$25)^Q33)*((1-($W$25))^($U$34-Q33))*HLOOKUP($U$34,$AV$24:$BF$34,Q33+1))*V34</f>
        <v>2.695153881825643E-11</v>
      </c>
      <c r="AR33" s="10">
        <v>8</v>
      </c>
      <c r="AS33" s="9">
        <f>((($W$25)^Q33)*((1-($W$25))^($U$35-Q33))*HLOOKUP($U$35,$AV$24:$BF$34,Q33+1))*V35</f>
        <v>3.4828803571071075E-12</v>
      </c>
      <c r="AV33" s="29">
        <v>9</v>
      </c>
      <c r="BE33" s="1">
        <v>1</v>
      </c>
      <c r="BF33" s="1">
        <f t="shared" si="18"/>
        <v>10</v>
      </c>
      <c r="BI33" s="1">
        <f t="shared" si="19"/>
        <v>3</v>
      </c>
      <c r="BJ33" s="1">
        <v>6</v>
      </c>
      <c r="BK33" s="2">
        <f t="shared" si="20"/>
        <v>2.2227952336536846E-3</v>
      </c>
      <c r="BQ33" s="1">
        <f t="shared" si="21"/>
        <v>8</v>
      </c>
      <c r="BR33" s="1">
        <v>2</v>
      </c>
      <c r="BS33" s="2">
        <f t="shared" si="22"/>
        <v>1.3485445393689639E-8</v>
      </c>
    </row>
    <row r="34" spans="1:71" x14ac:dyDescent="0.25">
      <c r="A34" s="65" t="s">
        <v>23</v>
      </c>
      <c r="B34" s="64">
        <f>B23*2</f>
        <v>1.8105883617417675</v>
      </c>
      <c r="C34" s="63">
        <f>C23*2</f>
        <v>8.1894116382582318</v>
      </c>
      <c r="G34" s="62">
        <v>9</v>
      </c>
      <c r="H34" s="61">
        <f>J34*L25+J33*L26+J32*L27+J31*L28</f>
        <v>2.6412937641390772E-9</v>
      </c>
      <c r="I34" s="24">
        <v>9</v>
      </c>
      <c r="J34" s="23">
        <f t="shared" si="15"/>
        <v>8.6873068295372808E-13</v>
      </c>
      <c r="K34" s="24">
        <v>9</v>
      </c>
      <c r="L34" s="23"/>
      <c r="M34" s="17"/>
      <c r="N34" s="11"/>
      <c r="O34" s="11"/>
      <c r="P34" s="11"/>
      <c r="Q34" s="10">
        <v>9</v>
      </c>
      <c r="R34" s="11">
        <f>P29*N30+P30*N29</f>
        <v>1.7124985852000829E-6</v>
      </c>
      <c r="S34" s="16">
        <v>9</v>
      </c>
      <c r="T34" s="15">
        <f t="shared" si="17"/>
        <v>0</v>
      </c>
      <c r="U34" s="24">
        <v>9</v>
      </c>
      <c r="V34" s="23">
        <f>T34*R25+T33*R26+T32*R27+T31*R28+T30*R29+T29*R30+T28*R31+T27*R32+T26*R33+T25*R34</f>
        <v>2.4293170560258733E-6</v>
      </c>
      <c r="W34" s="12"/>
      <c r="X34" s="10">
        <v>9</v>
      </c>
      <c r="Y34" s="11"/>
      <c r="Z34" s="10">
        <v>9</v>
      </c>
      <c r="AA34" s="9"/>
      <c r="AB34" s="10">
        <v>9</v>
      </c>
      <c r="AC34" s="9"/>
      <c r="AD34" s="10">
        <v>9</v>
      </c>
      <c r="AE34" s="9"/>
      <c r="AF34" s="10">
        <v>9</v>
      </c>
      <c r="AG34" s="9"/>
      <c r="AH34" s="10">
        <v>9</v>
      </c>
      <c r="AI34" s="9"/>
      <c r="AJ34" s="10">
        <v>9</v>
      </c>
      <c r="AK34" s="9"/>
      <c r="AL34" s="10">
        <v>9</v>
      </c>
      <c r="AM34" s="9"/>
      <c r="AN34" s="10">
        <v>9</v>
      </c>
      <c r="AO34" s="9"/>
      <c r="AP34" s="10">
        <v>9</v>
      </c>
      <c r="AQ34" s="9">
        <f>((($W$25)^Q34)*((1-($W$25))^($U$34-Q34))*HLOOKUP($U$34,$AV$24:$BF$34,Q34+1))*V34</f>
        <v>6.9031523874189457E-13</v>
      </c>
      <c r="AR34" s="10">
        <v>9</v>
      </c>
      <c r="AS34" s="9">
        <f>((($W$25)^Q34)*((1-($W$25))^($U$35-Q34))*HLOOKUP($U$35,$AV$24:$BF$34,Q34+1))*V35</f>
        <v>1.7841544421183349E-13</v>
      </c>
      <c r="AV34" s="22">
        <v>10</v>
      </c>
      <c r="BF34" s="1">
        <f t="shared" si="18"/>
        <v>1</v>
      </c>
      <c r="BI34" s="1">
        <f t="shared" si="19"/>
        <v>3</v>
      </c>
      <c r="BJ34" s="1">
        <v>7</v>
      </c>
      <c r="BK34" s="2">
        <f t="shared" si="20"/>
        <v>9.357628846236529E-4</v>
      </c>
      <c r="BQ34" s="1">
        <f t="shared" si="21"/>
        <v>8</v>
      </c>
      <c r="BR34" s="1">
        <v>3</v>
      </c>
      <c r="BS34" s="2">
        <f t="shared" si="22"/>
        <v>2.0470150248465523E-8</v>
      </c>
    </row>
    <row r="35" spans="1:71" ht="15.75" thickBot="1" x14ac:dyDescent="0.3">
      <c r="G35" s="60">
        <v>10</v>
      </c>
      <c r="H35" s="59">
        <f>J35*L25+J34*L26+J33*L27+J32*L28</f>
        <v>5.4558857173235572E-11</v>
      </c>
      <c r="I35" s="14">
        <v>10</v>
      </c>
      <c r="J35" s="13">
        <f t="shared" si="15"/>
        <v>4.112811914643421E-15</v>
      </c>
      <c r="K35" s="14">
        <v>10</v>
      </c>
      <c r="L35" s="13"/>
      <c r="M35" s="17"/>
      <c r="N35" s="11"/>
      <c r="O35" s="11"/>
      <c r="P35" s="11"/>
      <c r="Q35" s="10">
        <v>10</v>
      </c>
      <c r="R35" s="11">
        <f>P30*N30</f>
        <v>3.7861450184985096E-8</v>
      </c>
      <c r="S35" s="16">
        <v>10</v>
      </c>
      <c r="T35" s="15">
        <f t="shared" si="17"/>
        <v>0</v>
      </c>
      <c r="U35" s="14">
        <v>10</v>
      </c>
      <c r="V35" s="13">
        <f>IF(((T35*R25+T34*R26+T33*R27+T32*R28+T31*R29+T30*R30+T29*R31+T28*R32+T27*R33+T26*R34+T25*R35)+V23)&lt;&gt;1,1-V23,(T35*R25+T34*R26+T33*R27+T32*R28+T31*R29+T30*R30+T29*R31+T28*R32+T27*R33+T26*R34+T25*R35))</f>
        <v>7.7260488118291448E-8</v>
      </c>
      <c r="W35" s="12"/>
      <c r="X35" s="10">
        <v>10</v>
      </c>
      <c r="Y35" s="11"/>
      <c r="Z35" s="10">
        <v>10</v>
      </c>
      <c r="AA35" s="9"/>
      <c r="AB35" s="10">
        <v>10</v>
      </c>
      <c r="AC35" s="9"/>
      <c r="AD35" s="10">
        <v>10</v>
      </c>
      <c r="AE35" s="9"/>
      <c r="AF35" s="10">
        <v>10</v>
      </c>
      <c r="AG35" s="9"/>
      <c r="AH35" s="10">
        <v>10</v>
      </c>
      <c r="AI35" s="9"/>
      <c r="AJ35" s="10">
        <v>10</v>
      </c>
      <c r="AK35" s="9"/>
      <c r="AL35" s="10">
        <v>10</v>
      </c>
      <c r="AM35" s="9"/>
      <c r="AN35" s="10">
        <v>10</v>
      </c>
      <c r="AO35" s="9"/>
      <c r="AP35" s="10">
        <v>10</v>
      </c>
      <c r="AQ35" s="9"/>
      <c r="AR35" s="10">
        <v>10</v>
      </c>
      <c r="AS35" s="9">
        <f>((($W$25)^Q35)*((1-($W$25))^($U$35-Q35))*HLOOKUP($U$35,$AV$24:$BF$34,Q35+1))*V35</f>
        <v>4.112811914643421E-15</v>
      </c>
      <c r="BI35" s="1">
        <f t="shared" si="19"/>
        <v>3</v>
      </c>
      <c r="BJ35" s="1">
        <v>8</v>
      </c>
      <c r="BK35" s="2">
        <f t="shared" si="20"/>
        <v>3.121014317721191E-4</v>
      </c>
      <c r="BQ35" s="1">
        <f t="shared" si="21"/>
        <v>8</v>
      </c>
      <c r="BR35" s="1">
        <v>4</v>
      </c>
      <c r="BS35" s="2">
        <f t="shared" si="22"/>
        <v>2.0968242944568649E-8</v>
      </c>
    </row>
    <row r="36" spans="1:71" ht="15.75" x14ac:dyDescent="0.25">
      <c r="A36" s="58" t="s">
        <v>22</v>
      </c>
      <c r="B36" s="48">
        <f>SUM(BO4:BO14)</f>
        <v>4.8450506091028016E-2</v>
      </c>
      <c r="C36" s="5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2">
        <f>SUM(V39:V49)</f>
        <v>1</v>
      </c>
      <c r="W36" s="4"/>
      <c r="X36" s="4"/>
      <c r="AS36" s="56">
        <f>Y37+AA37+AC37+AE37+AG37+AI37+AK37+AM37+AO37+AQ37+AS37</f>
        <v>0.99999999999999967</v>
      </c>
      <c r="BI36" s="1">
        <f t="shared" si="19"/>
        <v>3</v>
      </c>
      <c r="BJ36" s="1">
        <v>9</v>
      </c>
      <c r="BK36" s="2">
        <f t="shared" si="20"/>
        <v>8.3908139664885841E-5</v>
      </c>
      <c r="BQ36" s="1">
        <f t="shared" si="21"/>
        <v>8</v>
      </c>
      <c r="BR36" s="1">
        <v>5</v>
      </c>
      <c r="BS36" s="2">
        <f t="shared" si="22"/>
        <v>1.5387094021002626E-8</v>
      </c>
    </row>
    <row r="37" spans="1:71" ht="16.5" thickBot="1" x14ac:dyDescent="0.3">
      <c r="A37" s="55" t="s">
        <v>21</v>
      </c>
      <c r="B37" s="48">
        <f>SUM(BK4:BK59)</f>
        <v>0.93289556854011735</v>
      </c>
      <c r="G37" s="4"/>
      <c r="H37" s="50">
        <f>SUM(H39:H49)</f>
        <v>0.99986765415110979</v>
      </c>
      <c r="I37" s="53"/>
      <c r="J37" s="50">
        <f>SUM(J39:J49)</f>
        <v>0.99999999999999967</v>
      </c>
      <c r="K37" s="50"/>
      <c r="L37" s="50">
        <f>SUM(L39:L49)</f>
        <v>1</v>
      </c>
      <c r="M37" s="53"/>
      <c r="N37" s="54">
        <f>SUM(N39:N49)</f>
        <v>0.99999999999999978</v>
      </c>
      <c r="O37" s="53"/>
      <c r="P37" s="54">
        <f>SUM(P39:P49)</f>
        <v>0.99999999999999978</v>
      </c>
      <c r="Q37" s="53"/>
      <c r="R37" s="50">
        <f>SUM(R39:R49)</f>
        <v>0.99999999999999978</v>
      </c>
      <c r="S37" s="53"/>
      <c r="T37" s="50">
        <f>SUM(T39:T49)</f>
        <v>1</v>
      </c>
      <c r="U37" s="53"/>
      <c r="V37" s="52">
        <f>SUM(V39:V48)</f>
        <v>0.86281660163360407</v>
      </c>
      <c r="W37" s="4"/>
      <c r="X37" s="4"/>
      <c r="Y37" s="50">
        <f>SUM(Y39:Y49)</f>
        <v>3.7672142934060342E-8</v>
      </c>
      <c r="Z37" s="51"/>
      <c r="AA37" s="50">
        <f>SUM(AA39:AA49)</f>
        <v>1.7041253995250141E-6</v>
      </c>
      <c r="AB37" s="51"/>
      <c r="AC37" s="50">
        <f>SUM(AC39:AC49)</f>
        <v>3.4690135963177554E-5</v>
      </c>
      <c r="AD37" s="51"/>
      <c r="AE37" s="50">
        <f>SUM(AE39:AE49)</f>
        <v>4.1848645139046546E-4</v>
      </c>
      <c r="AF37" s="51"/>
      <c r="AG37" s="50">
        <f>SUM(AG39:AG49)</f>
        <v>3.3131962026311601E-3</v>
      </c>
      <c r="AH37" s="51"/>
      <c r="AI37" s="50">
        <f>SUM(AI39:AI49)</f>
        <v>1.7988197559289008E-2</v>
      </c>
      <c r="AJ37" s="51"/>
      <c r="AK37" s="50">
        <f>SUM(AK39:AK49)</f>
        <v>6.7829106613196202E-2</v>
      </c>
      <c r="AL37" s="51"/>
      <c r="AM37" s="50">
        <f>SUM(AM39:AM49)</f>
        <v>0.17541873165699187</v>
      </c>
      <c r="AN37" s="51"/>
      <c r="AO37" s="50">
        <f>SUM(AO39:AO49)</f>
        <v>0.29783890145357067</v>
      </c>
      <c r="AP37" s="51"/>
      <c r="AQ37" s="50">
        <f>SUM(AQ39:AQ49)</f>
        <v>0.29997354976302887</v>
      </c>
      <c r="AR37" s="51"/>
      <c r="AS37" s="50">
        <f>SUM(AS39:AS49)</f>
        <v>0.13718339836639584</v>
      </c>
      <c r="BI37" s="1">
        <f t="shared" si="19"/>
        <v>3</v>
      </c>
      <c r="BJ37" s="1">
        <v>10</v>
      </c>
      <c r="BK37" s="2">
        <f t="shared" si="20"/>
        <v>1.7923165505987863E-5</v>
      </c>
      <c r="BQ37" s="1">
        <f t="shared" si="21"/>
        <v>8</v>
      </c>
      <c r="BR37" s="1">
        <v>6</v>
      </c>
      <c r="BS37" s="2">
        <f t="shared" si="22"/>
        <v>8.4154458806285346E-9</v>
      </c>
    </row>
    <row r="38" spans="1:71" ht="16.5" thickBot="1" x14ac:dyDescent="0.3">
      <c r="A38" s="49" t="s">
        <v>20</v>
      </c>
      <c r="B38" s="48">
        <f>SUM(BS4:BS47)</f>
        <v>1.8521579464678181E-2</v>
      </c>
      <c r="G38" s="46" t="str">
        <f t="shared" ref="G38:AS38" si="23">G24</f>
        <v>G</v>
      </c>
      <c r="H38" s="47" t="str">
        <f t="shared" si="23"/>
        <v>p</v>
      </c>
      <c r="I38" s="46" t="str">
        <f t="shared" si="23"/>
        <v>GT</v>
      </c>
      <c r="J38" s="44" t="str">
        <f t="shared" si="23"/>
        <v>p(x)</v>
      </c>
      <c r="K38" s="45" t="str">
        <f t="shared" si="23"/>
        <v>EE(x)</v>
      </c>
      <c r="L38" s="44" t="str">
        <f t="shared" si="23"/>
        <v>p</v>
      </c>
      <c r="M38" s="40" t="str">
        <f t="shared" si="23"/>
        <v>OcaS</v>
      </c>
      <c r="N38" s="39" t="str">
        <f t="shared" si="23"/>
        <v>P</v>
      </c>
      <c r="O38" s="39" t="str">
        <f t="shared" si="23"/>
        <v>O_CA</v>
      </c>
      <c r="P38" s="39" t="str">
        <f t="shared" si="23"/>
        <v>p</v>
      </c>
      <c r="Q38" s="39" t="str">
        <f t="shared" si="23"/>
        <v>TotalN</v>
      </c>
      <c r="R38" s="39" t="str">
        <f t="shared" si="23"/>
        <v>p</v>
      </c>
      <c r="S38" s="39" t="str">
        <f t="shared" si="23"/>
        <v>OcaCA</v>
      </c>
      <c r="T38" s="43" t="str">
        <f t="shared" si="23"/>
        <v>p</v>
      </c>
      <c r="U38" s="42" t="str">
        <f t="shared" si="23"/>
        <v>Total</v>
      </c>
      <c r="V38" s="41" t="str">
        <f t="shared" si="23"/>
        <v>P</v>
      </c>
      <c r="W38" s="40" t="str">
        <f t="shared" si="23"/>
        <v>E(x)</v>
      </c>
      <c r="X38" s="39" t="str">
        <f t="shared" si="23"/>
        <v>G0</v>
      </c>
      <c r="Y38" s="39" t="str">
        <f t="shared" si="23"/>
        <v>p</v>
      </c>
      <c r="Z38" s="39" t="str">
        <f t="shared" si="23"/>
        <v>G1</v>
      </c>
      <c r="AA38" s="39" t="str">
        <f t="shared" si="23"/>
        <v>p</v>
      </c>
      <c r="AB38" s="39" t="str">
        <f t="shared" si="23"/>
        <v>G2</v>
      </c>
      <c r="AC38" s="39" t="str">
        <f t="shared" si="23"/>
        <v>p</v>
      </c>
      <c r="AD38" s="39" t="str">
        <f t="shared" si="23"/>
        <v>G3</v>
      </c>
      <c r="AE38" s="39" t="str">
        <f t="shared" si="23"/>
        <v>p</v>
      </c>
      <c r="AF38" s="39" t="str">
        <f t="shared" si="23"/>
        <v>G4</v>
      </c>
      <c r="AG38" s="39" t="str">
        <f t="shared" si="23"/>
        <v>p</v>
      </c>
      <c r="AH38" s="39" t="str">
        <f t="shared" si="23"/>
        <v>G5</v>
      </c>
      <c r="AI38" s="39" t="str">
        <f t="shared" si="23"/>
        <v>p</v>
      </c>
      <c r="AJ38" s="39" t="str">
        <f t="shared" si="23"/>
        <v>G6</v>
      </c>
      <c r="AK38" s="39" t="str">
        <f t="shared" si="23"/>
        <v>p</v>
      </c>
      <c r="AL38" s="39" t="str">
        <f t="shared" si="23"/>
        <v>G7</v>
      </c>
      <c r="AM38" s="39" t="str">
        <f t="shared" si="23"/>
        <v>p</v>
      </c>
      <c r="AN38" s="39" t="str">
        <f t="shared" si="23"/>
        <v>G8</v>
      </c>
      <c r="AO38" s="39" t="str">
        <f t="shared" si="23"/>
        <v>p</v>
      </c>
      <c r="AP38" s="39" t="str">
        <f t="shared" si="23"/>
        <v>G9</v>
      </c>
      <c r="AQ38" s="39" t="str">
        <f t="shared" si="23"/>
        <v>p</v>
      </c>
      <c r="AR38" s="39" t="str">
        <f t="shared" si="23"/>
        <v>G10</v>
      </c>
      <c r="AS38" s="39" t="str">
        <f t="shared" si="23"/>
        <v>p</v>
      </c>
      <c r="AV38" s="22">
        <v>0</v>
      </c>
      <c r="AW38" s="22">
        <v>1</v>
      </c>
      <c r="AX38" s="22">
        <v>2</v>
      </c>
      <c r="AY38" s="22">
        <v>3</v>
      </c>
      <c r="AZ38" s="22">
        <v>4</v>
      </c>
      <c r="BA38" s="22">
        <v>5</v>
      </c>
      <c r="BB38" s="22">
        <v>6</v>
      </c>
      <c r="BC38" s="22">
        <v>7</v>
      </c>
      <c r="BD38" s="22">
        <v>8</v>
      </c>
      <c r="BE38" s="22">
        <v>9</v>
      </c>
      <c r="BF38" s="22">
        <v>10</v>
      </c>
      <c r="BI38" s="1">
        <f t="shared" ref="BI38:BI43" si="24">BI32+1</f>
        <v>4</v>
      </c>
      <c r="BJ38" s="1">
        <v>5</v>
      </c>
      <c r="BK38" s="2">
        <f t="shared" ref="BK38:BK43" si="25">$H$29*H44</f>
        <v>6.8363043186155407E-4</v>
      </c>
      <c r="BQ38" s="1">
        <f>BM11+1</f>
        <v>8</v>
      </c>
      <c r="BR38" s="1">
        <v>7</v>
      </c>
      <c r="BS38" s="2">
        <f t="shared" si="22"/>
        <v>3.5427743381053652E-9</v>
      </c>
    </row>
    <row r="39" spans="1:71" x14ac:dyDescent="0.25">
      <c r="G39" s="38">
        <v>0</v>
      </c>
      <c r="H39" s="37">
        <f>L39*J39</f>
        <v>1.0776939910362181E-2</v>
      </c>
      <c r="I39" s="36">
        <v>0</v>
      </c>
      <c r="J39" s="34">
        <f t="shared" ref="J39:J49" si="26">Y39+AA39+AC39+AE39+AG39+AI39+AK39+AM39+AO39+AQ39+AS39</f>
        <v>1.5484266072177722E-2</v>
      </c>
      <c r="K39" s="35">
        <v>0</v>
      </c>
      <c r="L39" s="34">
        <f>AH18</f>
        <v>0.69599294277991575</v>
      </c>
      <c r="M39" s="17">
        <v>0</v>
      </c>
      <c r="N39" s="32">
        <f>(1-$C$24)^$B$21</f>
        <v>1.9458018960054815E-4</v>
      </c>
      <c r="O39" s="16">
        <v>0</v>
      </c>
      <c r="P39" s="32">
        <f t="shared" ref="P39:P44" si="27">N39</f>
        <v>1.9458018960054815E-4</v>
      </c>
      <c r="Q39" s="10">
        <v>0</v>
      </c>
      <c r="R39" s="11">
        <f>P39*N39</f>
        <v>3.7861450184985268E-8</v>
      </c>
      <c r="S39" s="16">
        <v>0</v>
      </c>
      <c r="T39" s="15">
        <f>(1-$C$33)^(INT(B23*2*(1-B31)))</f>
        <v>0.995</v>
      </c>
      <c r="U39" s="24">
        <v>0</v>
      </c>
      <c r="V39" s="23">
        <f>R39*T39</f>
        <v>3.7672142934060342E-8</v>
      </c>
      <c r="W39" s="33">
        <f>C31</f>
        <v>0.41603840202163317</v>
      </c>
      <c r="X39" s="10">
        <v>0</v>
      </c>
      <c r="Y39" s="9">
        <f>V39</f>
        <v>3.7672142934060342E-8</v>
      </c>
      <c r="Z39" s="10">
        <v>0</v>
      </c>
      <c r="AA39" s="9">
        <f>((1-W39)^Z40)*V40</f>
        <v>9.9514379146215001E-7</v>
      </c>
      <c r="AB39" s="10">
        <v>0</v>
      </c>
      <c r="AC39" s="9">
        <f>(((1-$W$39)^AB41))*V41</f>
        <v>1.1829723086076753E-5</v>
      </c>
      <c r="AD39" s="10">
        <v>0</v>
      </c>
      <c r="AE39" s="9">
        <f>(((1-$W$39)^AB42))*V42</f>
        <v>8.3336310085495465E-5</v>
      </c>
      <c r="AF39" s="10">
        <v>0</v>
      </c>
      <c r="AG39" s="9">
        <f>(((1-$W$39)^AB43))*V43</f>
        <v>3.852869578730151E-4</v>
      </c>
      <c r="AH39" s="10">
        <v>0</v>
      </c>
      <c r="AI39" s="9">
        <f>(((1-$W$39)^AB44))*V44</f>
        <v>1.2215439307655153E-3</v>
      </c>
      <c r="AJ39" s="10">
        <v>0</v>
      </c>
      <c r="AK39" s="9">
        <f>(((1-$W$39)^AB45))*V45</f>
        <v>2.6898113813242563E-3</v>
      </c>
      <c r="AL39" s="10">
        <v>0</v>
      </c>
      <c r="AM39" s="9">
        <f>(((1-$W$39)^AB46))*V46</f>
        <v>4.0622438028731934E-3</v>
      </c>
      <c r="AN39" s="10">
        <v>0</v>
      </c>
      <c r="AO39" s="9">
        <f>(((1-$W$39)^AB47))*V47</f>
        <v>4.0276871360620569E-3</v>
      </c>
      <c r="AP39" s="10">
        <v>0</v>
      </c>
      <c r="AQ39" s="9">
        <f>(((1-$W$39)^AB48))*V48</f>
        <v>2.3688717963040902E-3</v>
      </c>
      <c r="AR39" s="10">
        <v>0</v>
      </c>
      <c r="AS39" s="9">
        <f>(((1-$W$39)^AB49))*V49</f>
        <v>6.3262221786962729E-4</v>
      </c>
      <c r="AV39" s="22">
        <v>1</v>
      </c>
      <c r="AW39" s="1">
        <v>1</v>
      </c>
      <c r="AX39" s="1">
        <v>2</v>
      </c>
      <c r="AY39" s="1">
        <v>3</v>
      </c>
      <c r="AZ39" s="1">
        <v>4</v>
      </c>
      <c r="BA39" s="1">
        <v>5</v>
      </c>
      <c r="BB39" s="1">
        <v>6</v>
      </c>
      <c r="BC39" s="1">
        <f>7</f>
        <v>7</v>
      </c>
      <c r="BD39" s="1">
        <v>8</v>
      </c>
      <c r="BE39" s="1">
        <v>9</v>
      </c>
      <c r="BF39" s="1">
        <v>10</v>
      </c>
      <c r="BI39" s="1">
        <f t="shared" si="24"/>
        <v>4</v>
      </c>
      <c r="BJ39" s="1">
        <v>6</v>
      </c>
      <c r="BK39" s="2">
        <f t="shared" si="25"/>
        <v>3.7388833094988459E-4</v>
      </c>
      <c r="BQ39" s="1">
        <f t="shared" ref="BQ39:BQ46" si="28">BQ31+1</f>
        <v>9</v>
      </c>
      <c r="BR39" s="1">
        <v>0</v>
      </c>
      <c r="BS39" s="2">
        <f t="shared" ref="BS39:BS47" si="29">$H$34*H39</f>
        <v>2.8465064181741174E-11</v>
      </c>
    </row>
    <row r="40" spans="1:71" x14ac:dyDescent="0.25">
      <c r="G40" s="27">
        <v>1</v>
      </c>
      <c r="H40" s="26">
        <f>L39*J40+L40*J39</f>
        <v>5.9464079921582612E-2</v>
      </c>
      <c r="I40" s="24">
        <v>1</v>
      </c>
      <c r="J40" s="23">
        <f t="shared" si="26"/>
        <v>8.0053953053339386E-2</v>
      </c>
      <c r="K40" s="25">
        <v>1</v>
      </c>
      <c r="L40" s="23">
        <f>AI18</f>
        <v>0.241993617092161</v>
      </c>
      <c r="M40" s="17">
        <v>1</v>
      </c>
      <c r="N40" s="32">
        <f>(($C$24)^M26)*((1-($C$24))^($B$21-M26))*HLOOKUP($B$21,$AV$24:$BF$34,M26+1)</f>
        <v>4.4004957254786883E-3</v>
      </c>
      <c r="O40" s="16">
        <v>1</v>
      </c>
      <c r="P40" s="32">
        <f t="shared" si="27"/>
        <v>4.4004957254786883E-3</v>
      </c>
      <c r="Q40" s="10">
        <v>1</v>
      </c>
      <c r="R40" s="11">
        <f>P40*N39+P39*N40</f>
        <v>1.7124985852000897E-6</v>
      </c>
      <c r="S40" s="16">
        <v>1</v>
      </c>
      <c r="T40" s="15">
        <f t="shared" ref="T40:T49" si="30">(($C$33)^S40)*((1-($C$33))^(INT($B$23*2*(1-$B$31))-S40))*HLOOKUP(INT($B$23*2*(1-$B$31)),$AV$24:$BF$34,S40+1)</f>
        <v>5.0000000000000001E-3</v>
      </c>
      <c r="U40" s="24">
        <v>1</v>
      </c>
      <c r="V40" s="23">
        <f>R40*T39+T40*R39</f>
        <v>1.7041253995250141E-6</v>
      </c>
      <c r="W40" s="12"/>
      <c r="X40" s="10">
        <v>1</v>
      </c>
      <c r="Y40" s="11"/>
      <c r="Z40" s="10">
        <v>1</v>
      </c>
      <c r="AA40" s="9">
        <f>(1-((1-W39)^Z40))*V40</f>
        <v>7.0898160806286413E-7</v>
      </c>
      <c r="AB40" s="10">
        <v>1</v>
      </c>
      <c r="AC40" s="9">
        <f>((($W$39)^M40)*((1-($W$39))^($U$27-M40))*HLOOKUP($U$27,$AV$24:$BF$34,M40+1))*V41</f>
        <v>1.6855968290134448E-5</v>
      </c>
      <c r="AD40" s="10">
        <v>1</v>
      </c>
      <c r="AE40" s="9">
        <f>((($W$39)^M40)*((1-($W$39))^($U$28-M40))*HLOOKUP($U$28,$AV$24:$BF$34,M40+1))*V42</f>
        <v>1.7811670526817719E-4</v>
      </c>
      <c r="AF40" s="10">
        <v>1</v>
      </c>
      <c r="AG40" s="9">
        <f>((($W$39)^M40)*((1-($W$39))^($U$29-M40))*HLOOKUP($U$29,$AV$24:$BF$34,M40+1))*V43</f>
        <v>1.0979774754243596E-3</v>
      </c>
      <c r="AH40" s="10">
        <v>1</v>
      </c>
      <c r="AI40" s="9">
        <f>((($W$39)^M40)*((1-($W$39))^($U$30-M40))*HLOOKUP($U$30,$AV$24:$BF$34,M40+1))*V44</f>
        <v>4.3513921695732503E-3</v>
      </c>
      <c r="AJ40" s="10">
        <v>1</v>
      </c>
      <c r="AK40" s="9">
        <f>((($W$39)^M40)*((1-($W$39))^($U$31-M40))*HLOOKUP($U$31,$AV$24:$BF$34,M40+1))*V45</f>
        <v>1.1497997464557956E-2</v>
      </c>
      <c r="AL40" s="10">
        <v>1</v>
      </c>
      <c r="AM40" s="9">
        <f>((($W$39)^Q40)*((1-($W$39))^($U$32-Q40))*HLOOKUP($U$32,$AV$24:$BF$34,Q40+1))*V46</f>
        <v>2.0258773836401792E-2</v>
      </c>
      <c r="AN40" s="10">
        <v>1</v>
      </c>
      <c r="AO40" s="9">
        <f>((($W$39)^Q40)*((1-($W$39))^($U$33-Q40))*HLOOKUP($U$33,$AV$24:$BF$34,Q40+1))*V47</f>
        <v>2.2955927591559507E-2</v>
      </c>
      <c r="AP40" s="10">
        <v>1</v>
      </c>
      <c r="AQ40" s="9">
        <f>((($W$39)^Q40)*((1-($W$39))^($U$34-Q40))*HLOOKUP($U$34,$AV$24:$BF$34,Q40+1))*V48</f>
        <v>1.5189140452493958E-2</v>
      </c>
      <c r="AR40" s="10">
        <v>1</v>
      </c>
      <c r="AS40" s="9">
        <f>((($W$39)^Q40)*((1-($W$39))^($U$35-Q40))*HLOOKUP($U$35,$AV$24:$BF$34,Q40+1))*V49</f>
        <v>4.5070624081621794E-3</v>
      </c>
      <c r="AV40" s="22">
        <v>2</v>
      </c>
      <c r="AX40" s="1">
        <v>1</v>
      </c>
      <c r="AY40" s="1">
        <v>3</v>
      </c>
      <c r="AZ40" s="1">
        <v>6</v>
      </c>
      <c r="BA40" s="1">
        <v>10</v>
      </c>
      <c r="BB40" s="1">
        <v>15</v>
      </c>
      <c r="BC40" s="1">
        <f>6+15</f>
        <v>21</v>
      </c>
      <c r="BD40" s="1">
        <f>21+7</f>
        <v>28</v>
      </c>
      <c r="BE40" s="1">
        <f>28+8</f>
        <v>36</v>
      </c>
      <c r="BF40" s="1">
        <f>36+9</f>
        <v>45</v>
      </c>
      <c r="BI40" s="1">
        <f t="shared" si="24"/>
        <v>4</v>
      </c>
      <c r="BJ40" s="1">
        <v>7</v>
      </c>
      <c r="BK40" s="2">
        <f t="shared" si="25"/>
        <v>1.5740128366286459E-4</v>
      </c>
      <c r="BQ40" s="1">
        <f t="shared" si="28"/>
        <v>9</v>
      </c>
      <c r="BR40" s="1">
        <v>1</v>
      </c>
      <c r="BS40" s="2">
        <f t="shared" si="29"/>
        <v>1.5706210348714386E-10</v>
      </c>
    </row>
    <row r="41" spans="1:71" x14ac:dyDescent="0.25">
      <c r="G41" s="27">
        <v>2</v>
      </c>
      <c r="H41" s="26">
        <f>L39*J41+J40*L40+J39*L41</f>
        <v>0.14953463443767942</v>
      </c>
      <c r="I41" s="24">
        <v>2</v>
      </c>
      <c r="J41" s="23">
        <f t="shared" si="26"/>
        <v>0.18626188316528644</v>
      </c>
      <c r="K41" s="25">
        <v>2</v>
      </c>
      <c r="L41" s="23">
        <f>AJ18</f>
        <v>3.3913947318614704E-2</v>
      </c>
      <c r="M41" s="17">
        <v>2</v>
      </c>
      <c r="N41" s="32">
        <f>(($C$24)^M27)*((1-($C$24))^($B$21-M27))*HLOOKUP($B$21,$AV$24:$BF$34,M27+1)</f>
        <v>3.9807469958188686E-2</v>
      </c>
      <c r="O41" s="16">
        <v>2</v>
      </c>
      <c r="P41" s="32">
        <f t="shared" si="27"/>
        <v>3.9807469958188686E-2</v>
      </c>
      <c r="Q41" s="10">
        <v>2</v>
      </c>
      <c r="R41" s="11">
        <f>P41*N39+P40*N40+P39*N41</f>
        <v>3.4855852733921165E-5</v>
      </c>
      <c r="S41" s="16">
        <v>2</v>
      </c>
      <c r="T41" s="15">
        <f t="shared" si="30"/>
        <v>0</v>
      </c>
      <c r="U41" s="24">
        <v>2</v>
      </c>
      <c r="V41" s="23">
        <f>R41*T39+T40*R40+R39*T41</f>
        <v>3.469013596317756E-5</v>
      </c>
      <c r="W41" s="12"/>
      <c r="X41" s="10">
        <v>2</v>
      </c>
      <c r="Y41" s="11"/>
      <c r="Z41" s="10">
        <v>2</v>
      </c>
      <c r="AA41" s="9"/>
      <c r="AB41" s="10">
        <v>2</v>
      </c>
      <c r="AC41" s="9">
        <f>((($W$39)^M41)*((1-($W$39))^($U$27-M41))*HLOOKUP($U$27,$AV$24:$BF$34,M41+1))*V41</f>
        <v>6.0044445869663564E-6</v>
      </c>
      <c r="AD41" s="10">
        <v>2</v>
      </c>
      <c r="AE41" s="9">
        <f>((($W$39)^M41)*((1-($W$39))^($U$28-M41))*HLOOKUP($U$28,$AV$24:$BF$34,M41+1))*V42</f>
        <v>1.2689770986597622E-4</v>
      </c>
      <c r="AF41" s="10">
        <v>2</v>
      </c>
      <c r="AG41" s="9">
        <f>((($W$39)^M41)*((1-($W$39))^($U$29-M41))*HLOOKUP($U$29,$AV$24:$BF$34,M41+1))*V43</f>
        <v>1.1733668684191971E-3</v>
      </c>
      <c r="AH41" s="10">
        <v>2</v>
      </c>
      <c r="AI41" s="9">
        <f>((($W$39)^M41)*((1-($W$39))^($U$30-M41))*HLOOKUP($U$30,$AV$24:$BF$34,M41+1))*V44</f>
        <v>6.2002236142444673E-3</v>
      </c>
      <c r="AJ41" s="10">
        <v>2</v>
      </c>
      <c r="AK41" s="9">
        <f>((($W$39)^M41)*((1-($W$39))^($U$31-M41))*HLOOKUP($U$31,$AV$24:$BF$34,M41+1))*V45</f>
        <v>2.047912272041514E-2</v>
      </c>
      <c r="AL41" s="10">
        <v>2</v>
      </c>
      <c r="AM41" s="9">
        <f>((($W$39)^Q41)*((1-($W$39))^($U$32-Q41))*HLOOKUP($U$32,$AV$24:$BF$34,Q41+1))*V46</f>
        <v>4.329956587724032E-2</v>
      </c>
      <c r="AN41" s="10">
        <v>2</v>
      </c>
      <c r="AO41" s="9">
        <f>((($W$39)^Q41)*((1-($W$39))^($U$33-Q41))*HLOOKUP($U$33,$AV$24:$BF$34,Q41+1))*V47</f>
        <v>5.7241633915877624E-2</v>
      </c>
      <c r="AP41" s="10">
        <v>2</v>
      </c>
      <c r="AQ41" s="9">
        <f>((($W$39)^Q41)*((1-($W$39))^($U$34-Q41))*HLOOKUP($U$34,$AV$24:$BF$34,Q41+1))*V48</f>
        <v>4.3285488250012175E-2</v>
      </c>
      <c r="AR41" s="10">
        <v>2</v>
      </c>
      <c r="AS41" s="9">
        <f>((($W$39)^Q41)*((1-($W$39))^($U$35-Q41))*HLOOKUP($U$35,$AV$24:$BF$34,Q41+1))*V49</f>
        <v>1.4449579764624593E-2</v>
      </c>
      <c r="AV41" s="22">
        <v>3</v>
      </c>
      <c r="AY41" s="1">
        <v>1</v>
      </c>
      <c r="AZ41" s="1">
        <v>4</v>
      </c>
      <c r="BA41" s="1">
        <v>10</v>
      </c>
      <c r="BB41" s="1">
        <v>20</v>
      </c>
      <c r="BC41" s="1">
        <f>15+20</f>
        <v>35</v>
      </c>
      <c r="BD41" s="1">
        <f>21+35</f>
        <v>56</v>
      </c>
      <c r="BE41" s="1">
        <f>28+56</f>
        <v>84</v>
      </c>
      <c r="BF41" s="1">
        <f>36+84</f>
        <v>120</v>
      </c>
      <c r="BI41" s="1">
        <f t="shared" si="24"/>
        <v>4</v>
      </c>
      <c r="BJ41" s="1">
        <v>8</v>
      </c>
      <c r="BK41" s="2">
        <f t="shared" si="25"/>
        <v>5.2497450797812703E-5</v>
      </c>
      <c r="BQ41" s="1">
        <f t="shared" si="28"/>
        <v>9</v>
      </c>
      <c r="BR41" s="1">
        <v>2</v>
      </c>
      <c r="BS41" s="2">
        <f t="shared" si="29"/>
        <v>3.9496489746305915E-10</v>
      </c>
    </row>
    <row r="42" spans="1:71" ht="15" customHeight="1" x14ac:dyDescent="0.25">
      <c r="G42" s="27">
        <v>3</v>
      </c>
      <c r="H42" s="26">
        <f>J42*L39+J41*L40+L42*J39+L41*J40</f>
        <v>0.22698519366079098</v>
      </c>
      <c r="I42" s="24">
        <v>3</v>
      </c>
      <c r="J42" s="23">
        <f t="shared" si="26"/>
        <v>0.25684306588450934</v>
      </c>
      <c r="K42" s="25">
        <v>3</v>
      </c>
      <c r="L42" s="23">
        <f>AK18</f>
        <v>2.8099492809308554E-2</v>
      </c>
      <c r="M42" s="17">
        <v>3</v>
      </c>
      <c r="N42" s="32">
        <f>(($C$24)^M28)*((1-($C$24))^($B$21-M28))*HLOOKUP($B$21,$AV$24:$BF$34,M28+1)</f>
        <v>0.18005183544403036</v>
      </c>
      <c r="O42" s="16">
        <v>3</v>
      </c>
      <c r="P42" s="32">
        <f t="shared" si="27"/>
        <v>0.18005183544403036</v>
      </c>
      <c r="Q42" s="10">
        <v>3</v>
      </c>
      <c r="R42" s="11">
        <f>P42*N39+P41*N40+P40*N41+P39*N42</f>
        <v>4.2041424334351345E-4</v>
      </c>
      <c r="S42" s="16">
        <v>3</v>
      </c>
      <c r="T42" s="15">
        <f t="shared" si="30"/>
        <v>0</v>
      </c>
      <c r="U42" s="24">
        <v>3</v>
      </c>
      <c r="V42" s="23">
        <f>R42*T39+R41*T40+R40*T41+R39*T42</f>
        <v>4.1848645139046551E-4</v>
      </c>
      <c r="W42" s="12"/>
      <c r="X42" s="10">
        <v>3</v>
      </c>
      <c r="Y42" s="11"/>
      <c r="Z42" s="10">
        <v>3</v>
      </c>
      <c r="AA42" s="9"/>
      <c r="AB42" s="10">
        <v>3</v>
      </c>
      <c r="AC42" s="9"/>
      <c r="AD42" s="10">
        <v>3</v>
      </c>
      <c r="AE42" s="9">
        <f>((($W$39)^M42)*((1-($W$39))^($U$28-M42))*HLOOKUP($U$28,$AV$24:$BF$34,M42+1))*V42</f>
        <v>3.0135726170816565E-5</v>
      </c>
      <c r="AF42" s="10">
        <v>3</v>
      </c>
      <c r="AG42" s="9">
        <f>((($W$39)^M42)*((1-($W$39))^($U$29-M42))*HLOOKUP($U$29,$AV$24:$BF$34,M42+1))*V43</f>
        <v>5.5730340101386262E-4</v>
      </c>
      <c r="AH42" s="10">
        <v>3</v>
      </c>
      <c r="AI42" s="9">
        <f>((($W$39)^M42)*((1-($W$39))^($U$30-M42))*HLOOKUP($U$30,$AV$24:$BF$34,M42+1))*V44</f>
        <v>4.4172958180421712E-3</v>
      </c>
      <c r="AJ42" s="10">
        <v>3</v>
      </c>
      <c r="AK42" s="9">
        <f>((($W$39)^M42)*((1-($W$39))^($U$31-M42))*HLOOKUP($U$31,$AV$24:$BF$34,M42+1))*V45</f>
        <v>1.9453565715970404E-2</v>
      </c>
      <c r="AL42" s="10">
        <v>3</v>
      </c>
      <c r="AM42" s="9">
        <f>((($W$39)^Q42)*((1-($W$39))^($U$32-Q42))*HLOOKUP($U$32,$AV$24:$BF$34,Q42+1))*V46</f>
        <v>5.1414003529688848E-2</v>
      </c>
      <c r="AN42" s="10">
        <v>3</v>
      </c>
      <c r="AO42" s="9">
        <f>((($W$39)^Q42)*((1-($W$39))^($U$33-Q42))*HLOOKUP($U$33,$AV$24:$BF$34,Q42+1))*V47</f>
        <v>8.1562616397769641E-2</v>
      </c>
      <c r="AP42" s="10">
        <v>3</v>
      </c>
      <c r="AQ42" s="9">
        <f>((($W$39)^Q42)*((1-($W$39))^($U$34-Q42))*HLOOKUP($U$34,$AV$24:$BF$34,Q42+1))*V48</f>
        <v>7.1956202812100342E-2</v>
      </c>
      <c r="AR42" s="10">
        <v>3</v>
      </c>
      <c r="AS42" s="9">
        <f>((($W$39)^Q42)*((1-($W$39))^($U$35-Q42))*HLOOKUP($U$35,$AV$24:$BF$34,Q42+1))*V49</f>
        <v>2.7451942483753277E-2</v>
      </c>
      <c r="AV42" s="22">
        <v>4</v>
      </c>
      <c r="AZ42" s="1">
        <v>1</v>
      </c>
      <c r="BA42" s="1">
        <v>5</v>
      </c>
      <c r="BB42" s="1">
        <v>15</v>
      </c>
      <c r="BC42" s="1">
        <f>20+15</f>
        <v>35</v>
      </c>
      <c r="BD42" s="1">
        <f>35+35</f>
        <v>70</v>
      </c>
      <c r="BE42" s="1">
        <f>56+70</f>
        <v>126</v>
      </c>
      <c r="BF42" s="1">
        <f t="shared" ref="BF42:BF48" si="31">BE41+BE42</f>
        <v>210</v>
      </c>
      <c r="BI42" s="1">
        <f t="shared" si="24"/>
        <v>4</v>
      </c>
      <c r="BJ42" s="1">
        <v>9</v>
      </c>
      <c r="BK42" s="2">
        <f t="shared" si="25"/>
        <v>1.4113884093968607E-5</v>
      </c>
      <c r="BQ42" s="1">
        <f t="shared" si="28"/>
        <v>9</v>
      </c>
      <c r="BR42" s="1">
        <v>3</v>
      </c>
      <c r="BS42" s="2">
        <f t="shared" si="29"/>
        <v>5.9953457656814802E-10</v>
      </c>
    </row>
    <row r="43" spans="1:71" ht="15" customHeight="1" x14ac:dyDescent="0.25">
      <c r="G43" s="27">
        <v>4</v>
      </c>
      <c r="H43" s="26">
        <f>J43*L39+J42*L40+J41*L41+J40*L42</f>
        <v>0.23250834154752761</v>
      </c>
      <c r="I43" s="24">
        <v>4</v>
      </c>
      <c r="J43" s="23">
        <f t="shared" si="26"/>
        <v>0.23245581656557446</v>
      </c>
      <c r="K43" s="25">
        <v>4</v>
      </c>
      <c r="L43" s="23"/>
      <c r="M43" s="17">
        <v>4</v>
      </c>
      <c r="N43" s="32">
        <f>(($C$24)^M29)*((1-($C$24))^($B$21-M29))*HLOOKUP($B$21,$AV$24:$BF$34,M29+1)</f>
        <v>0.40719321625833976</v>
      </c>
      <c r="O43" s="16">
        <v>4</v>
      </c>
      <c r="P43" s="32">
        <f t="shared" si="27"/>
        <v>0.40719321625833976</v>
      </c>
      <c r="Q43" s="10">
        <v>4</v>
      </c>
      <c r="R43" s="11">
        <f>P43*N39+P42*N40+P41*N41+P40*N42+P39*N43</f>
        <v>3.3277327953913998E-3</v>
      </c>
      <c r="S43" s="16">
        <v>4</v>
      </c>
      <c r="T43" s="15">
        <f t="shared" si="30"/>
        <v>0</v>
      </c>
      <c r="U43" s="24">
        <v>4</v>
      </c>
      <c r="V43" s="23">
        <f>T43*R39+T42*R40+T41*R41+T40*R42+T39*R43</f>
        <v>3.3131962026311606E-3</v>
      </c>
      <c r="W43" s="12"/>
      <c r="X43" s="10">
        <v>4</v>
      </c>
      <c r="Y43" s="11"/>
      <c r="Z43" s="10">
        <v>4</v>
      </c>
      <c r="AA43" s="9"/>
      <c r="AB43" s="10">
        <v>4</v>
      </c>
      <c r="AC43" s="9"/>
      <c r="AD43" s="10">
        <v>4</v>
      </c>
      <c r="AE43" s="9"/>
      <c r="AF43" s="10">
        <v>4</v>
      </c>
      <c r="AG43" s="9">
        <f>((($W$39)^M43)*((1-($W$39))^($U$29-M43))*HLOOKUP($U$29,$AV$24:$BF$34,M43+1))*V43</f>
        <v>9.9261499900725575E-5</v>
      </c>
      <c r="AH43" s="10">
        <v>4</v>
      </c>
      <c r="AI43" s="9">
        <f>((($W$39)^M43)*((1-($W$39))^($U$30-M43))*HLOOKUP($U$30,$AV$24:$BF$34,M43+1))*V44</f>
        <v>1.5735321464265095E-3</v>
      </c>
      <c r="AJ43" s="10">
        <v>4</v>
      </c>
      <c r="AK43" s="9">
        <f>((($W$39)^M43)*((1-($W$39))^($U$31-M43))*HLOOKUP($U$31,$AV$24:$BF$34,M43+1))*V45</f>
        <v>1.0394643785799483E-2</v>
      </c>
      <c r="AL43" s="10">
        <v>4</v>
      </c>
      <c r="AM43" s="9">
        <f>((($W$39)^Q43)*((1-($W$39))^($U$32-Q43))*HLOOKUP($U$32,$AV$24:$BF$34,Q43+1))*V46</f>
        <v>3.6629463211412694E-2</v>
      </c>
      <c r="AN43" s="10">
        <v>4</v>
      </c>
      <c r="AO43" s="9">
        <f>((($W$39)^Q43)*((1-($W$39))^($U$33-Q43))*HLOOKUP($U$33,$AV$24:$BF$34,Q43+1))*V47</f>
        <v>7.2635727906393527E-2</v>
      </c>
      <c r="AP43" s="10">
        <v>4</v>
      </c>
      <c r="AQ43" s="9">
        <f>((($W$39)^Q43)*((1-($W$39))^($U$34-Q43))*HLOOKUP($U$34,$AV$24:$BF$34,Q43+1))*V48</f>
        <v>7.6896863776134278E-2</v>
      </c>
      <c r="AR43" s="10">
        <v>4</v>
      </c>
      <c r="AS43" s="9">
        <f>((($W$39)^Q43)*((1-($W$39))^($U$35-Q43))*HLOOKUP($U$35,$AV$24:$BF$34,Q43+1))*V49</f>
        <v>3.4226324239507264E-2</v>
      </c>
      <c r="AV43" s="22">
        <v>5</v>
      </c>
      <c r="BA43" s="1">
        <v>1</v>
      </c>
      <c r="BB43" s="1">
        <v>6</v>
      </c>
      <c r="BC43" s="1">
        <f>15+6</f>
        <v>21</v>
      </c>
      <c r="BD43" s="1">
        <f>35+21</f>
        <v>56</v>
      </c>
      <c r="BE43" s="1">
        <f>70+56</f>
        <v>126</v>
      </c>
      <c r="BF43" s="1">
        <f t="shared" si="31"/>
        <v>252</v>
      </c>
      <c r="BI43" s="1">
        <f t="shared" si="24"/>
        <v>4</v>
      </c>
      <c r="BJ43" s="1">
        <v>10</v>
      </c>
      <c r="BK43" s="2">
        <f t="shared" si="25"/>
        <v>3.0147907170725988E-6</v>
      </c>
      <c r="BQ43" s="1">
        <f t="shared" si="28"/>
        <v>9</v>
      </c>
      <c r="BR43" s="1">
        <v>4</v>
      </c>
      <c r="BS43" s="2">
        <f t="shared" si="29"/>
        <v>6.1412283263980345E-10</v>
      </c>
    </row>
    <row r="44" spans="1:71" ht="15" customHeight="1" thickBot="1" x14ac:dyDescent="0.3">
      <c r="G44" s="27">
        <v>5</v>
      </c>
      <c r="H44" s="26">
        <f>J44*L39+J43*L40+J42*L41+J41*L42</f>
        <v>0.17062124478035498</v>
      </c>
      <c r="I44" s="24">
        <v>5</v>
      </c>
      <c r="J44" s="23">
        <f t="shared" si="26"/>
        <v>0.14428881112245046</v>
      </c>
      <c r="K44" s="25">
        <v>5</v>
      </c>
      <c r="L44" s="23"/>
      <c r="M44" s="17">
        <v>5</v>
      </c>
      <c r="N44" s="32">
        <f>(($C$24)^M30)*((1-($C$24))^($B$21-M30))*HLOOKUP($B$21,$AV$24:$BF$34,M30+1)</f>
        <v>0.36835240242436179</v>
      </c>
      <c r="O44" s="16">
        <v>5</v>
      </c>
      <c r="P44" s="32">
        <f t="shared" si="27"/>
        <v>0.36835240242436179</v>
      </c>
      <c r="Q44" s="10">
        <v>5</v>
      </c>
      <c r="R44" s="11">
        <f>P44*N39+P43*N40+P42*N41+P41*N42+P40*N43+P39*N44</f>
        <v>1.8061868236494527E-2</v>
      </c>
      <c r="S44" s="16">
        <v>5</v>
      </c>
      <c r="T44" s="15">
        <f t="shared" si="30"/>
        <v>0</v>
      </c>
      <c r="U44" s="24">
        <v>5</v>
      </c>
      <c r="V44" s="23">
        <f>T44*R39+T43*R40+T42*R41+T41*R42+T40*R43+T39*R44</f>
        <v>1.7988197559289012E-2</v>
      </c>
      <c r="W44" s="12"/>
      <c r="X44" s="10">
        <v>5</v>
      </c>
      <c r="Y44" s="11"/>
      <c r="Z44" s="10">
        <v>5</v>
      </c>
      <c r="AA44" s="9"/>
      <c r="AB44" s="10">
        <v>5</v>
      </c>
      <c r="AC44" s="9"/>
      <c r="AD44" s="10">
        <v>5</v>
      </c>
      <c r="AE44" s="9"/>
      <c r="AF44" s="10">
        <v>5</v>
      </c>
      <c r="AG44" s="9"/>
      <c r="AH44" s="10">
        <v>5</v>
      </c>
      <c r="AI44" s="9">
        <f>((($W$39)^M44)*((1-($W$39))^($U$30-M44))*HLOOKUP($U$30,$AV$24:$BF$34,M44+1))*V44</f>
        <v>2.2420988023709308E-4</v>
      </c>
      <c r="AJ44" s="10">
        <v>5</v>
      </c>
      <c r="AK44" s="9">
        <f>((($W$39)^M44)*((1-($W$39))^($U$31-M44))*HLOOKUP($U$31,$AV$24:$BF$34,M44+1))*V45</f>
        <v>2.9622297118163054E-3</v>
      </c>
      <c r="AL44" s="10">
        <v>5</v>
      </c>
      <c r="AM44" s="9">
        <f>((($W$39)^Q44)*((1-($W$39))^($U$32-Q44))*HLOOKUP($U$32,$AV$24:$BF$34,Q44+1))*V46</f>
        <v>1.5657807014170359E-2</v>
      </c>
      <c r="AN44" s="10">
        <v>5</v>
      </c>
      <c r="AO44" s="9">
        <f>((($W$39)^Q44)*((1-($W$39))^($U$33-Q44))*HLOOKUP($U$33,$AV$24:$BF$34,Q44+1))*V47</f>
        <v>4.1398958112959475E-2</v>
      </c>
      <c r="AP44" s="10">
        <v>5</v>
      </c>
      <c r="AQ44" s="9">
        <f>((($W$39)^Q44)*((1-($W$39))^($U$34-Q44))*HLOOKUP($U$34,$AV$24:$BF$34,Q44+1))*V48</f>
        <v>5.4784507126243054E-2</v>
      </c>
      <c r="AR44" s="10">
        <v>5</v>
      </c>
      <c r="AS44" s="9">
        <f>((($W$39)^Q44)*((1-($W$39))^($U$35-Q44))*HLOOKUP($U$35,$AV$24:$BF$34,Q44+1))*V49</f>
        <v>2.9261099277024173E-2</v>
      </c>
      <c r="AV44" s="29">
        <v>6</v>
      </c>
      <c r="BB44" s="1">
        <v>1</v>
      </c>
      <c r="BC44" s="1">
        <v>7</v>
      </c>
      <c r="BD44" s="1">
        <f>28</f>
        <v>28</v>
      </c>
      <c r="BE44" s="1">
        <f>56+28</f>
        <v>84</v>
      </c>
      <c r="BF44" s="1">
        <f t="shared" si="31"/>
        <v>210</v>
      </c>
      <c r="BI44" s="1">
        <f>BI39+1</f>
        <v>5</v>
      </c>
      <c r="BJ44" s="1">
        <v>6</v>
      </c>
      <c r="BK44" s="2">
        <f>$H$30*H45</f>
        <v>4.3874522478990208E-5</v>
      </c>
      <c r="BQ44" s="1">
        <f t="shared" si="28"/>
        <v>9</v>
      </c>
      <c r="BR44" s="1">
        <v>5</v>
      </c>
      <c r="BS44" s="2">
        <f t="shared" si="29"/>
        <v>4.5066082986799867E-10</v>
      </c>
    </row>
    <row r="45" spans="1:71" ht="15" customHeight="1" thickBot="1" x14ac:dyDescent="0.3">
      <c r="A45" s="31" t="s">
        <v>19</v>
      </c>
      <c r="B45" s="31" t="s">
        <v>18</v>
      </c>
      <c r="C45" s="31" t="s">
        <v>17</v>
      </c>
      <c r="D45" s="31" t="s">
        <v>16</v>
      </c>
      <c r="E45" s="31" t="s">
        <v>15</v>
      </c>
      <c r="G45" s="27">
        <v>6</v>
      </c>
      <c r="H45" s="26">
        <f>J45*L39+J44*L40+J43*L41+J42*L42</f>
        <v>9.3315466167600017E-2</v>
      </c>
      <c r="I45" s="24">
        <v>6</v>
      </c>
      <c r="J45" s="23">
        <f t="shared" si="26"/>
        <v>6.2210171967202091E-2</v>
      </c>
      <c r="K45" s="25">
        <v>6</v>
      </c>
      <c r="L45" s="23"/>
      <c r="M45" s="17"/>
      <c r="N45" s="11"/>
      <c r="O45" s="11"/>
      <c r="P45" s="11"/>
      <c r="Q45" s="10">
        <v>6</v>
      </c>
      <c r="R45" s="11">
        <f>P44*N40+P43*N41+P42*N42+P41*N43+P40*N44</f>
        <v>6.8079193238204772E-2</v>
      </c>
      <c r="S45" s="16">
        <v>6</v>
      </c>
      <c r="T45" s="15">
        <f t="shared" si="30"/>
        <v>0</v>
      </c>
      <c r="U45" s="24">
        <v>6</v>
      </c>
      <c r="V45" s="23">
        <f>T45*R39+T44*R40+T43*R41+T42*R42+T41*R43+T40*R44+T39*R45</f>
        <v>6.7829106613196216E-2</v>
      </c>
      <c r="W45" s="12"/>
      <c r="X45" s="10">
        <v>6</v>
      </c>
      <c r="Y45" s="11"/>
      <c r="Z45" s="10">
        <v>6</v>
      </c>
      <c r="AA45" s="9"/>
      <c r="AB45" s="10">
        <v>6</v>
      </c>
      <c r="AC45" s="9"/>
      <c r="AD45" s="10">
        <v>6</v>
      </c>
      <c r="AE45" s="9"/>
      <c r="AF45" s="10">
        <v>6</v>
      </c>
      <c r="AG45" s="9"/>
      <c r="AH45" s="10">
        <v>6</v>
      </c>
      <c r="AI45" s="9"/>
      <c r="AJ45" s="10">
        <v>6</v>
      </c>
      <c r="AK45" s="9">
        <f>((($W$39)^Q45)*((1-($W$39))^($U$31-Q45))*HLOOKUP($U$31,$AV$24:$BF$34,Q45+1))*V45</f>
        <v>3.5173583331265374E-4</v>
      </c>
      <c r="AL45" s="10">
        <v>6</v>
      </c>
      <c r="AM45" s="9">
        <f>((($W$39)^Q45)*((1-($W$39))^($U$32-Q45))*HLOOKUP($U$32,$AV$24:$BF$34,Q45+1))*V46</f>
        <v>3.7184231702280988E-3</v>
      </c>
      <c r="AN45" s="10">
        <v>6</v>
      </c>
      <c r="AO45" s="9">
        <f>((($W$39)^Q45)*((1-($W$39))^($U$33-Q45))*HLOOKUP($U$33,$AV$24:$BF$34,Q45+1))*V47</f>
        <v>1.4747165257358448E-2</v>
      </c>
      <c r="AP45" s="10">
        <v>6</v>
      </c>
      <c r="AQ45" s="9">
        <f>((($W$39)^Q45)*((1-($W$39))^($U$34-Q45))*HLOOKUP($U$34,$AV$24:$BF$34,Q45+1))*V48</f>
        <v>2.6020499611904613E-2</v>
      </c>
      <c r="AR45" s="10">
        <v>6</v>
      </c>
      <c r="AS45" s="9">
        <f>((($W$39)^Q45)*((1-($W$39))^($U$35-Q45))*HLOOKUP($U$35,$AV$24:$BF$34,Q45+1))*V49</f>
        <v>1.7372348094398273E-2</v>
      </c>
      <c r="AV45" s="22">
        <v>7</v>
      </c>
      <c r="BC45" s="1">
        <v>1</v>
      </c>
      <c r="BD45" s="1">
        <v>8</v>
      </c>
      <c r="BE45" s="1">
        <f>28+8</f>
        <v>36</v>
      </c>
      <c r="BF45" s="1">
        <f t="shared" si="31"/>
        <v>120</v>
      </c>
      <c r="BI45" s="1">
        <f>BI40+1</f>
        <v>5</v>
      </c>
      <c r="BJ45" s="1">
        <v>7</v>
      </c>
      <c r="BK45" s="2">
        <f>$H$30*H46</f>
        <v>1.8470504657750133E-5</v>
      </c>
      <c r="BQ45" s="1">
        <f t="shared" si="28"/>
        <v>9</v>
      </c>
      <c r="BR45" s="1">
        <v>6</v>
      </c>
      <c r="BS45" s="2">
        <f t="shared" si="29"/>
        <v>2.4647355888621295E-10</v>
      </c>
    </row>
    <row r="46" spans="1:71" ht="15" customHeight="1" thickBot="1" x14ac:dyDescent="0.3">
      <c r="A46" s="30" t="s">
        <v>7</v>
      </c>
      <c r="B46" s="30" t="s">
        <v>13</v>
      </c>
      <c r="C46" s="30" t="s">
        <v>2</v>
      </c>
      <c r="D46" s="30" t="s">
        <v>14</v>
      </c>
      <c r="E46" s="30" t="s">
        <v>5</v>
      </c>
      <c r="G46" s="27">
        <v>7</v>
      </c>
      <c r="H46" s="26">
        <f>J46*L39+J45*L40+J44*L41+J43*L42</f>
        <v>3.9284387728986403E-2</v>
      </c>
      <c r="I46" s="24">
        <v>7</v>
      </c>
      <c r="J46" s="23">
        <f t="shared" si="26"/>
        <v>1.8397642738208344E-2</v>
      </c>
      <c r="K46" s="25">
        <v>7</v>
      </c>
      <c r="L46" s="23"/>
      <c r="M46" s="17"/>
      <c r="N46" s="11"/>
      <c r="O46" s="11"/>
      <c r="P46" s="11"/>
      <c r="Q46" s="10">
        <v>7</v>
      </c>
      <c r="R46" s="11">
        <f>P44*N41+P43*N42+P42*N43+P41*N44</f>
        <v>0.17595812632241295</v>
      </c>
      <c r="S46" s="16">
        <v>7</v>
      </c>
      <c r="T46" s="15">
        <f t="shared" si="30"/>
        <v>0</v>
      </c>
      <c r="U46" s="24">
        <v>7</v>
      </c>
      <c r="V46" s="23">
        <f>T46*R39+T45*R40+T44*R41+T43*R42+T42*R43+T41*R44+T40*R45+T39*R46</f>
        <v>0.17541873165699193</v>
      </c>
      <c r="W46" s="12"/>
      <c r="X46" s="10">
        <v>7</v>
      </c>
      <c r="Y46" s="11"/>
      <c r="Z46" s="10">
        <v>7</v>
      </c>
      <c r="AA46" s="9"/>
      <c r="AB46" s="10">
        <v>7</v>
      </c>
      <c r="AC46" s="9"/>
      <c r="AD46" s="10">
        <v>7</v>
      </c>
      <c r="AE46" s="9"/>
      <c r="AF46" s="10">
        <v>7</v>
      </c>
      <c r="AG46" s="9"/>
      <c r="AH46" s="10">
        <v>7</v>
      </c>
      <c r="AI46" s="9"/>
      <c r="AJ46" s="10">
        <v>7</v>
      </c>
      <c r="AK46" s="9"/>
      <c r="AL46" s="10">
        <v>7</v>
      </c>
      <c r="AM46" s="9">
        <f>((($W$39)^Q46)*((1-($W$39))^($U$32-Q46))*HLOOKUP($U$32,$AV$24:$BF$34,Q46+1))*V46</f>
        <v>3.7845121497654744E-4</v>
      </c>
      <c r="AN46" s="10">
        <v>7</v>
      </c>
      <c r="AO46" s="9">
        <f>((($W$39)^Q46)*((1-($W$39))^($U$33-Q46))*HLOOKUP($U$33,$AV$24:$BF$34,Q46+1))*V47</f>
        <v>3.001854470891152E-3</v>
      </c>
      <c r="AP46" s="10">
        <v>7</v>
      </c>
      <c r="AQ46" s="9">
        <f>((($W$39)^Q46)*((1-($W$39))^($U$34-Q46))*HLOOKUP($U$34,$AV$24:$BF$34,Q46+1))*V48</f>
        <v>7.9448916179849487E-3</v>
      </c>
      <c r="AR46" s="10">
        <v>7</v>
      </c>
      <c r="AS46" s="9">
        <f>((($W$39)^Q46)*((1-($W$39))^($U$35-Q46))*HLOOKUP($U$35,$AV$24:$BF$34,Q46+1))*V49</f>
        <v>7.0724454343556948E-3</v>
      </c>
      <c r="AV46" s="22">
        <v>8</v>
      </c>
      <c r="BD46" s="1">
        <v>1</v>
      </c>
      <c r="BE46" s="1">
        <v>9</v>
      </c>
      <c r="BF46" s="1">
        <f t="shared" si="31"/>
        <v>45</v>
      </c>
      <c r="BI46" s="1">
        <f>BI41+1</f>
        <v>5</v>
      </c>
      <c r="BJ46" s="1">
        <v>8</v>
      </c>
      <c r="BK46" s="2">
        <f>$H$30*H47</f>
        <v>6.1603970877257646E-6</v>
      </c>
      <c r="BQ46" s="1">
        <f t="shared" si="28"/>
        <v>9</v>
      </c>
      <c r="BR46" s="1">
        <v>7</v>
      </c>
      <c r="BS46" s="2">
        <f t="shared" si="29"/>
        <v>1.0376160833659348E-10</v>
      </c>
    </row>
    <row r="47" spans="1:71" ht="15" customHeight="1" thickBot="1" x14ac:dyDescent="0.3">
      <c r="A47" s="30" t="s">
        <v>4</v>
      </c>
      <c r="B47" s="30" t="s">
        <v>13</v>
      </c>
      <c r="C47" s="30" t="s">
        <v>11</v>
      </c>
      <c r="D47" s="30" t="s">
        <v>12</v>
      </c>
      <c r="E47" s="30" t="s">
        <v>5</v>
      </c>
      <c r="G47" s="27">
        <v>8</v>
      </c>
      <c r="H47" s="26">
        <f>J47*L39+J46*L40+J45*L41+J44*L42</f>
        <v>1.3102372254739258E-2</v>
      </c>
      <c r="I47" s="24">
        <v>8</v>
      </c>
      <c r="J47" s="23">
        <f t="shared" si="26"/>
        <v>3.5719115588222056E-3</v>
      </c>
      <c r="K47" s="25">
        <v>8</v>
      </c>
      <c r="L47" s="23"/>
      <c r="M47" s="17"/>
      <c r="N47" s="11"/>
      <c r="O47" s="11"/>
      <c r="P47" s="11"/>
      <c r="Q47" s="10">
        <v>8</v>
      </c>
      <c r="R47" s="11">
        <f>P44*N42+P43*N43+P42*N44</f>
        <v>0.29845136766025998</v>
      </c>
      <c r="S47" s="16">
        <v>8</v>
      </c>
      <c r="T47" s="15">
        <f t="shared" si="30"/>
        <v>0</v>
      </c>
      <c r="U47" s="24">
        <v>8</v>
      </c>
      <c r="V47" s="23">
        <f>T47*R39+T46*R40+T45*R41+T44*R42+T43*R43+T42*R44+T41*R45+T40*R46+T39*R47</f>
        <v>0.29783890145357078</v>
      </c>
      <c r="W47" s="12"/>
      <c r="X47" s="10">
        <v>8</v>
      </c>
      <c r="Y47" s="11"/>
      <c r="Z47" s="10">
        <v>8</v>
      </c>
      <c r="AA47" s="9"/>
      <c r="AB47" s="10">
        <v>8</v>
      </c>
      <c r="AC47" s="9"/>
      <c r="AD47" s="10">
        <v>8</v>
      </c>
      <c r="AE47" s="9"/>
      <c r="AF47" s="10">
        <v>8</v>
      </c>
      <c r="AG47" s="9"/>
      <c r="AH47" s="10">
        <v>8</v>
      </c>
      <c r="AI47" s="9"/>
      <c r="AJ47" s="10">
        <v>8</v>
      </c>
      <c r="AK47" s="9"/>
      <c r="AL47" s="10">
        <v>8</v>
      </c>
      <c r="AM47" s="9"/>
      <c r="AN47" s="10">
        <v>8</v>
      </c>
      <c r="AO47" s="9">
        <f>((($W$39)^Q47)*((1-($W$39))^($U$33-Q47))*HLOOKUP($U$33,$AV$24:$BF$34,Q47+1))*V47</f>
        <v>2.6733066469922982E-4</v>
      </c>
      <c r="AP47" s="10">
        <v>8</v>
      </c>
      <c r="AQ47" s="9">
        <f>((($W$39)^Q47)*((1-($W$39))^($U$34-Q47))*HLOOKUP($U$34,$AV$24:$BF$34,Q47+1))*V48</f>
        <v>1.4150673710499604E-3</v>
      </c>
      <c r="AR47" s="10">
        <v>8</v>
      </c>
      <c r="AS47" s="9">
        <f>((($W$39)^Q47)*((1-($W$39))^($U$35-Q47))*HLOOKUP($U$35,$AV$24:$BF$34,Q47+1))*V49</f>
        <v>1.8895135230730155E-3</v>
      </c>
      <c r="AV47" s="29">
        <v>9</v>
      </c>
      <c r="BE47" s="1">
        <v>1</v>
      </c>
      <c r="BF47" s="1">
        <f t="shared" si="31"/>
        <v>10</v>
      </c>
      <c r="BI47" s="1">
        <f>BI42+1</f>
        <v>5</v>
      </c>
      <c r="BJ47" s="1">
        <v>9</v>
      </c>
      <c r="BK47" s="2">
        <f>$H$30*H48</f>
        <v>1.6562162380769514E-6</v>
      </c>
      <c r="BQ47" s="1">
        <f>BM12+1</f>
        <v>9</v>
      </c>
      <c r="BR47" s="1">
        <v>8</v>
      </c>
      <c r="BS47" s="2">
        <f t="shared" si="29"/>
        <v>3.4607214131871665E-11</v>
      </c>
    </row>
    <row r="48" spans="1:71" ht="15" customHeight="1" thickBot="1" x14ac:dyDescent="0.3">
      <c r="A48" s="21" t="s">
        <v>7</v>
      </c>
      <c r="B48" s="21" t="s">
        <v>9</v>
      </c>
      <c r="C48" s="21" t="s">
        <v>11</v>
      </c>
      <c r="D48" s="28" t="s">
        <v>10</v>
      </c>
      <c r="E48" s="21" t="s">
        <v>5</v>
      </c>
      <c r="G48" s="27">
        <v>9</v>
      </c>
      <c r="H48" s="26">
        <f>J48*L39+J47*L40+J46*L41+J45*L42</f>
        <v>3.5225589157011966E-3</v>
      </c>
      <c r="I48" s="24">
        <v>9</v>
      </c>
      <c r="J48" s="23">
        <f t="shared" si="26"/>
        <v>4.1116530583912357E-4</v>
      </c>
      <c r="K48" s="25">
        <v>9</v>
      </c>
      <c r="L48" s="23"/>
      <c r="M48" s="17"/>
      <c r="N48" s="11"/>
      <c r="O48" s="11"/>
      <c r="P48" s="11"/>
      <c r="Q48" s="10">
        <v>9</v>
      </c>
      <c r="R48" s="11">
        <f>P44*N43+P43*N44</f>
        <v>0.29998119891932429</v>
      </c>
      <c r="S48" s="16">
        <v>9</v>
      </c>
      <c r="T48" s="15">
        <f t="shared" si="30"/>
        <v>0</v>
      </c>
      <c r="U48" s="24">
        <v>9</v>
      </c>
      <c r="V48" s="23">
        <f>T48*R39+T47*R40+T46*R41+T45*R42+T44*R43+T43*R44+T42*R45+T41*R46+T40*R47+T39*R48</f>
        <v>0.29997354976302898</v>
      </c>
      <c r="W48" s="12"/>
      <c r="X48" s="10">
        <v>9</v>
      </c>
      <c r="Y48" s="11"/>
      <c r="Z48" s="10">
        <v>9</v>
      </c>
      <c r="AA48" s="9"/>
      <c r="AB48" s="10">
        <v>9</v>
      </c>
      <c r="AC48" s="9"/>
      <c r="AD48" s="10">
        <v>9</v>
      </c>
      <c r="AE48" s="9"/>
      <c r="AF48" s="10">
        <v>9</v>
      </c>
      <c r="AG48" s="9"/>
      <c r="AH48" s="10">
        <v>9</v>
      </c>
      <c r="AI48" s="9"/>
      <c r="AJ48" s="10">
        <v>9</v>
      </c>
      <c r="AK48" s="9"/>
      <c r="AL48" s="10">
        <v>9</v>
      </c>
      <c r="AM48" s="9"/>
      <c r="AN48" s="10">
        <v>9</v>
      </c>
      <c r="AO48" s="9"/>
      <c r="AP48" s="10">
        <v>9</v>
      </c>
      <c r="AQ48" s="9">
        <f>((($W$39)^Q48)*((1-($W$39))^($U$34-Q48))*HLOOKUP($U$34,$AV$24:$BF$34,Q48+1))*V48</f>
        <v>1.1201694880140781E-4</v>
      </c>
      <c r="AR48" s="10">
        <v>9</v>
      </c>
      <c r="AS48" s="9">
        <f>((($W$39)^Q48)*((1-($W$39))^($U$35-Q48))*HLOOKUP($U$35,$AV$24:$BF$34,Q48+1))*V49</f>
        <v>2.9914835703771575E-4</v>
      </c>
      <c r="AV48" s="22">
        <v>10</v>
      </c>
      <c r="BF48" s="1">
        <f t="shared" si="31"/>
        <v>1</v>
      </c>
      <c r="BI48" s="1">
        <f>BI43+1</f>
        <v>5</v>
      </c>
      <c r="BJ48" s="1">
        <v>10</v>
      </c>
      <c r="BK48" s="2">
        <f>$H$30*H49</f>
        <v>3.53775424736062E-7</v>
      </c>
    </row>
    <row r="49" spans="1:63" ht="15" customHeight="1" thickBot="1" x14ac:dyDescent="0.3">
      <c r="A49" s="21" t="s">
        <v>4</v>
      </c>
      <c r="B49" s="21" t="s">
        <v>9</v>
      </c>
      <c r="C49" s="21" t="s">
        <v>2</v>
      </c>
      <c r="D49" s="21" t="s">
        <v>8</v>
      </c>
      <c r="E49" s="21" t="s">
        <v>0</v>
      </c>
      <c r="G49" s="20">
        <v>10</v>
      </c>
      <c r="H49" s="19">
        <f>J49*L39+J48*L40+J47*L41+J46*L42</f>
        <v>7.5243482578516536E-4</v>
      </c>
      <c r="I49" s="14">
        <v>10</v>
      </c>
      <c r="J49" s="13">
        <f t="shared" si="26"/>
        <v>2.1312566590034373E-5</v>
      </c>
      <c r="K49" s="18">
        <v>10</v>
      </c>
      <c r="L49" s="13"/>
      <c r="M49" s="17"/>
      <c r="N49" s="11"/>
      <c r="O49" s="11"/>
      <c r="P49" s="11"/>
      <c r="Q49" s="10">
        <v>10</v>
      </c>
      <c r="R49" s="11">
        <f>P44*N44</f>
        <v>0.13568349237179897</v>
      </c>
      <c r="S49" s="16">
        <v>10</v>
      </c>
      <c r="T49" s="15">
        <f t="shared" si="30"/>
        <v>0</v>
      </c>
      <c r="U49" s="14">
        <v>10</v>
      </c>
      <c r="V49" s="13">
        <f>IF(((T49*R39+T48*R40+T47*R41+T46*R42+T45*R43+T44*R44+T43*R45+T42*R46+T41*R47+T40*R48+T39*R49)+V37)&lt;&gt;1,1-V37,(T49*R39+T48*R40+T47*R41+T46*R42+T45*R43+T44*R44+T43*R45+T42*R46+T41*R47+T40*R48+T39*R49))</f>
        <v>0.13718339836639593</v>
      </c>
      <c r="W49" s="12"/>
      <c r="X49" s="10">
        <v>10</v>
      </c>
      <c r="Y49" s="11"/>
      <c r="Z49" s="10">
        <v>10</v>
      </c>
      <c r="AA49" s="9"/>
      <c r="AB49" s="10">
        <v>10</v>
      </c>
      <c r="AC49" s="9"/>
      <c r="AD49" s="10">
        <v>10</v>
      </c>
      <c r="AE49" s="9"/>
      <c r="AF49" s="10">
        <v>10</v>
      </c>
      <c r="AG49" s="9"/>
      <c r="AH49" s="10">
        <v>10</v>
      </c>
      <c r="AI49" s="9"/>
      <c r="AJ49" s="10">
        <v>10</v>
      </c>
      <c r="AK49" s="9"/>
      <c r="AL49" s="10">
        <v>10</v>
      </c>
      <c r="AM49" s="9"/>
      <c r="AN49" s="10">
        <v>10</v>
      </c>
      <c r="AO49" s="9"/>
      <c r="AP49" s="10">
        <v>10</v>
      </c>
      <c r="AQ49" s="9"/>
      <c r="AR49" s="10">
        <v>10</v>
      </c>
      <c r="AS49" s="9">
        <f>((($W$39)^Q49)*((1-($W$39))^($U$35-Q49))*HLOOKUP($U$35,$AV$24:$BF$34,Q49+1))*V49</f>
        <v>2.1312566590034373E-5</v>
      </c>
      <c r="BI49" s="1">
        <f>BQ14+1</f>
        <v>6</v>
      </c>
      <c r="BJ49" s="1">
        <v>0</v>
      </c>
      <c r="BK49" s="2">
        <f>$H$31*H39</f>
        <v>4.1280646873394817E-7</v>
      </c>
    </row>
    <row r="50" spans="1:63" ht="15.75" thickBot="1" x14ac:dyDescent="0.3">
      <c r="A50" s="3" t="s">
        <v>7</v>
      </c>
      <c r="B50" s="3" t="s">
        <v>3</v>
      </c>
      <c r="C50" s="3" t="s">
        <v>2</v>
      </c>
      <c r="D50" s="3" t="s">
        <v>6</v>
      </c>
      <c r="E50" s="3" t="s">
        <v>5</v>
      </c>
      <c r="G50" s="7"/>
      <c r="H50" s="6"/>
      <c r="I50" s="5"/>
      <c r="J50" s="5"/>
      <c r="K50" s="6"/>
      <c r="L50" s="6"/>
      <c r="O50" s="8"/>
      <c r="P50" s="8"/>
      <c r="Q50" s="8"/>
      <c r="R50" s="8"/>
      <c r="S50" s="7"/>
      <c r="T50" s="7"/>
      <c r="U50" s="7"/>
      <c r="V50" s="6"/>
      <c r="W50" s="5"/>
      <c r="X50" s="4"/>
      <c r="Y50" s="4"/>
      <c r="BI50" s="1">
        <f>BI45+1</f>
        <v>6</v>
      </c>
      <c r="BJ50" s="1">
        <v>7</v>
      </c>
      <c r="BK50" s="2">
        <f>$H$31*H46</f>
        <v>1.504773109033056E-6</v>
      </c>
    </row>
    <row r="51" spans="1:63" ht="15.75" thickBot="1" x14ac:dyDescent="0.3">
      <c r="A51" s="3" t="s">
        <v>4</v>
      </c>
      <c r="B51" s="3" t="s">
        <v>3</v>
      </c>
      <c r="C51" s="3" t="s">
        <v>2</v>
      </c>
      <c r="D51" s="3" t="s">
        <v>1</v>
      </c>
      <c r="E51" s="3" t="s">
        <v>0</v>
      </c>
      <c r="BI51" s="1">
        <f>BI46+1</f>
        <v>6</v>
      </c>
      <c r="BJ51" s="1">
        <v>8</v>
      </c>
      <c r="BK51" s="2">
        <f>$H$31*H47</f>
        <v>5.0188124527965381E-7</v>
      </c>
    </row>
    <row r="52" spans="1:63" x14ac:dyDescent="0.25">
      <c r="H52" s="2"/>
      <c r="BI52" s="1">
        <f>BI47+1</f>
        <v>6</v>
      </c>
      <c r="BJ52" s="1">
        <v>9</v>
      </c>
      <c r="BK52" s="2">
        <f>$H$31*H48</f>
        <v>1.3493024170058932E-7</v>
      </c>
    </row>
    <row r="53" spans="1:63" x14ac:dyDescent="0.25">
      <c r="BI53" s="1">
        <f>BI48+1</f>
        <v>6</v>
      </c>
      <c r="BJ53" s="1">
        <v>10</v>
      </c>
      <c r="BK53" s="2">
        <f>$H$31*H49</f>
        <v>2.882172174739155E-8</v>
      </c>
    </row>
    <row r="54" spans="1:63" x14ac:dyDescent="0.25">
      <c r="BI54" s="1">
        <f>BI51+1</f>
        <v>7</v>
      </c>
      <c r="BJ54" s="1">
        <v>8</v>
      </c>
      <c r="BK54" s="2">
        <f>$H$32*H47</f>
        <v>2.882748468288939E-8</v>
      </c>
    </row>
    <row r="55" spans="1:63" x14ac:dyDescent="0.25">
      <c r="BI55" s="1">
        <f>BI52+1</f>
        <v>7</v>
      </c>
      <c r="BJ55" s="1">
        <v>9</v>
      </c>
      <c r="BK55" s="2">
        <f>$H$32*H48</f>
        <v>7.750238751629219E-9</v>
      </c>
    </row>
    <row r="56" spans="1:63" x14ac:dyDescent="0.25">
      <c r="BI56" s="1">
        <f>BI53+1</f>
        <v>7</v>
      </c>
      <c r="BJ56" s="1">
        <v>10</v>
      </c>
      <c r="BK56" s="2">
        <f>$H$32*H49</f>
        <v>1.6554867312175947E-9</v>
      </c>
    </row>
    <row r="57" spans="1:63" x14ac:dyDescent="0.25">
      <c r="BI57" s="1">
        <f>BI55+1</f>
        <v>8</v>
      </c>
      <c r="BJ57" s="1">
        <v>9</v>
      </c>
      <c r="BK57" s="2">
        <f>$H$33*H48</f>
        <v>3.1767406983925656E-10</v>
      </c>
    </row>
    <row r="58" spans="1:63" x14ac:dyDescent="0.25">
      <c r="BI58" s="1">
        <f>BI56+1</f>
        <v>8</v>
      </c>
      <c r="BJ58" s="1">
        <v>10</v>
      </c>
      <c r="BK58" s="2">
        <f>$H$33*H49</f>
        <v>6.7856646011095776E-11</v>
      </c>
    </row>
    <row r="59" spans="1:63" x14ac:dyDescent="0.25">
      <c r="BI59" s="1">
        <f>BI58+1</f>
        <v>9</v>
      </c>
      <c r="BJ59" s="1">
        <v>10</v>
      </c>
      <c r="BK59" s="2">
        <f>$H$34*H49</f>
        <v>1.9874014132674303E-12</v>
      </c>
    </row>
  </sheetData>
  <mergeCells count="1">
    <mergeCell ref="B3:C3"/>
  </mergeCells>
  <conditionalFormatting sqref="H49">
    <cfRule type="cellIs" dxfId="68" priority="1" operator="greaterThan">
      <formula>0.15</formula>
    </cfRule>
  </conditionalFormatting>
  <conditionalFormatting sqref="H39:H49">
    <cfRule type="cellIs" dxfId="67" priority="2" operator="greaterThan">
      <formula>0.15</formula>
    </cfRule>
  </conditionalFormatting>
  <conditionalFormatting sqref="H49">
    <cfRule type="cellIs" dxfId="66" priority="3" operator="greaterThan">
      <formula>0.15</formula>
    </cfRule>
  </conditionalFormatting>
  <conditionalFormatting sqref="H39:H49">
    <cfRule type="cellIs" dxfId="65" priority="4" operator="greaterThan">
      <formula>0.15</formula>
    </cfRule>
  </conditionalFormatting>
  <conditionalFormatting sqref="H35">
    <cfRule type="cellIs" dxfId="64" priority="5" operator="greaterThan">
      <formula>0.15</formula>
    </cfRule>
  </conditionalFormatting>
  <conditionalFormatting sqref="H25:H35">
    <cfRule type="cellIs" dxfId="63" priority="6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8" operator="greaterThan">
      <formula>0.15</formula>
    </cfRule>
  </conditionalFormatting>
  <conditionalFormatting sqref="V49">
    <cfRule type="cellIs" dxfId="60" priority="9" operator="greaterThan">
      <formula>0.15</formula>
    </cfRule>
  </conditionalFormatting>
  <conditionalFormatting sqref="V35">
    <cfRule type="cellIs" dxfId="59" priority="10" operator="greaterThan">
      <formula>0.15</formula>
    </cfRule>
  </conditionalFormatting>
  <conditionalFormatting sqref="V25:V35 V39:V49">
    <cfRule type="cellIs" dxfId="58" priority="11" operator="greaterThan">
      <formula>0.15</formula>
    </cfRule>
  </conditionalFormatting>
  <conditionalFormatting sqref="V49">
    <cfRule type="cellIs" dxfId="57" priority="12" operator="greaterThan">
      <formula>0.15</formula>
    </cfRule>
  </conditionalFormatting>
  <conditionalFormatting sqref="V35">
    <cfRule type="cellIs" dxfId="56" priority="13" operator="greaterThan">
      <formula>0.15</formula>
    </cfRule>
  </conditionalFormatting>
  <conditionalFormatting sqref="V25:V35 V39:V49">
    <cfRule type="cellIs" dxfId="55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B845-4073-4952-8191-51A59CD4248E}">
  <sheetPr>
    <tabColor theme="5" tint="0.59999389629810485"/>
  </sheetPr>
  <dimension ref="A1:G35"/>
  <sheetViews>
    <sheetView workbookViewId="0">
      <selection activeCell="B4" sqref="B4"/>
    </sheetView>
  </sheetViews>
  <sheetFormatPr baseColWidth="10" defaultRowHeight="15" x14ac:dyDescent="0.25"/>
  <cols>
    <col min="1" max="1" width="7.85546875" style="163" bestFit="1" customWidth="1"/>
    <col min="2" max="2" width="26.140625" style="163" bestFit="1" customWidth="1"/>
    <col min="3" max="3" width="9.85546875" style="163" bestFit="1" customWidth="1"/>
    <col min="4" max="4" width="11.85546875" style="163" bestFit="1" customWidth="1"/>
    <col min="5" max="5" width="15.42578125" style="163" bestFit="1" customWidth="1"/>
    <col min="6" max="6" width="56.28515625" style="172" bestFit="1" customWidth="1"/>
    <col min="7" max="7" width="54.28515625" style="172" customWidth="1"/>
  </cols>
  <sheetData>
    <row r="1" spans="1:7" s="176" customFormat="1" x14ac:dyDescent="0.25">
      <c r="A1" s="177" t="s">
        <v>450</v>
      </c>
      <c r="B1" s="177" t="s">
        <v>451</v>
      </c>
      <c r="C1" s="177" t="s">
        <v>456</v>
      </c>
      <c r="D1" s="177" t="s">
        <v>452</v>
      </c>
      <c r="E1" s="177" t="s">
        <v>453</v>
      </c>
      <c r="F1" s="178" t="s">
        <v>454</v>
      </c>
      <c r="G1" s="178" t="s">
        <v>455</v>
      </c>
    </row>
    <row r="2" spans="1:7" ht="61.5" customHeight="1" x14ac:dyDescent="0.25">
      <c r="A2" s="180">
        <v>1</v>
      </c>
      <c r="B2" s="180" t="s">
        <v>477</v>
      </c>
      <c r="C2" s="181" t="s">
        <v>457</v>
      </c>
      <c r="D2" s="180" t="s">
        <v>458</v>
      </c>
      <c r="E2" s="180" t="s">
        <v>461</v>
      </c>
      <c r="F2" s="179" t="s">
        <v>459</v>
      </c>
      <c r="G2" s="179" t="s">
        <v>460</v>
      </c>
    </row>
    <row r="3" spans="1:7" ht="61.5" customHeight="1" x14ac:dyDescent="0.25">
      <c r="A3" s="180">
        <v>2</v>
      </c>
      <c r="B3" s="180" t="s">
        <v>476</v>
      </c>
      <c r="C3" s="180" t="s">
        <v>478</v>
      </c>
      <c r="D3" s="180" t="s">
        <v>479</v>
      </c>
      <c r="E3" s="180" t="s">
        <v>479</v>
      </c>
      <c r="F3" s="185" t="s">
        <v>480</v>
      </c>
      <c r="G3" s="185" t="s">
        <v>481</v>
      </c>
    </row>
    <row r="4" spans="1:7" ht="46.5" customHeight="1" x14ac:dyDescent="0.25">
      <c r="A4" s="180"/>
      <c r="B4" s="180"/>
      <c r="C4" s="180"/>
      <c r="D4" s="180"/>
      <c r="E4" s="180"/>
      <c r="F4" s="184"/>
      <c r="G4" s="184"/>
    </row>
    <row r="5" spans="1:7" ht="46.5" customHeight="1" x14ac:dyDescent="0.25">
      <c r="A5" s="180"/>
      <c r="B5" s="180"/>
      <c r="C5" s="180"/>
      <c r="D5" s="180"/>
      <c r="E5" s="180"/>
      <c r="F5" s="184"/>
      <c r="G5" s="184"/>
    </row>
    <row r="6" spans="1:7" ht="46.5" customHeight="1" x14ac:dyDescent="0.25">
      <c r="A6" s="180"/>
      <c r="B6" s="180"/>
      <c r="C6" s="180"/>
      <c r="D6" s="180"/>
      <c r="E6" s="180"/>
      <c r="F6" s="184"/>
      <c r="G6" s="184"/>
    </row>
    <row r="7" spans="1:7" ht="46.5" customHeight="1" x14ac:dyDescent="0.25">
      <c r="A7" s="180"/>
      <c r="B7" s="180"/>
      <c r="C7" s="180"/>
      <c r="D7" s="180"/>
      <c r="E7" s="180"/>
      <c r="F7" s="184"/>
      <c r="G7" s="184"/>
    </row>
    <row r="8" spans="1:7" ht="46.5" customHeight="1" x14ac:dyDescent="0.25">
      <c r="A8" s="180"/>
      <c r="B8" s="180"/>
      <c r="C8" s="180"/>
      <c r="D8" s="180"/>
      <c r="E8" s="180"/>
      <c r="F8" s="184"/>
      <c r="G8" s="184"/>
    </row>
    <row r="9" spans="1:7" ht="46.5" customHeight="1" x14ac:dyDescent="0.25">
      <c r="A9" s="180"/>
      <c r="B9" s="180"/>
      <c r="C9" s="180"/>
      <c r="D9" s="180"/>
      <c r="E9" s="180"/>
      <c r="F9" s="184"/>
      <c r="G9" s="184"/>
    </row>
    <row r="10" spans="1:7" ht="46.5" customHeight="1" x14ac:dyDescent="0.25">
      <c r="A10" s="180"/>
      <c r="B10" s="180"/>
      <c r="C10" s="180"/>
      <c r="D10" s="180"/>
      <c r="E10" s="180"/>
      <c r="F10" s="184"/>
      <c r="G10" s="184"/>
    </row>
    <row r="11" spans="1:7" ht="46.5" customHeight="1" x14ac:dyDescent="0.25">
      <c r="A11" s="180"/>
      <c r="B11" s="180"/>
      <c r="C11" s="180"/>
      <c r="D11" s="180"/>
      <c r="E11" s="180"/>
      <c r="F11" s="184"/>
      <c r="G11" s="184"/>
    </row>
    <row r="12" spans="1:7" ht="46.5" customHeight="1" x14ac:dyDescent="0.25">
      <c r="A12" s="180"/>
      <c r="B12" s="180"/>
      <c r="C12" s="180"/>
      <c r="D12" s="180"/>
      <c r="E12" s="180"/>
      <c r="F12" s="184"/>
      <c r="G12" s="184"/>
    </row>
    <row r="13" spans="1:7" ht="46.5" customHeight="1" x14ac:dyDescent="0.25">
      <c r="A13" s="180"/>
      <c r="B13" s="180"/>
      <c r="C13" s="180"/>
      <c r="D13" s="180"/>
      <c r="E13" s="180"/>
      <c r="F13" s="179"/>
      <c r="G13" s="179"/>
    </row>
    <row r="14" spans="1:7" ht="46.5" customHeight="1" x14ac:dyDescent="0.25">
      <c r="A14" s="180"/>
      <c r="B14" s="180"/>
      <c r="C14" s="180"/>
      <c r="D14" s="180"/>
      <c r="E14" s="180"/>
      <c r="F14" s="179"/>
      <c r="G14" s="179"/>
    </row>
    <row r="15" spans="1:7" ht="46.5" customHeight="1" x14ac:dyDescent="0.25">
      <c r="A15" s="180"/>
      <c r="B15" s="180"/>
      <c r="C15" s="180"/>
      <c r="D15" s="180"/>
      <c r="E15" s="180"/>
      <c r="F15" s="179"/>
      <c r="G15" s="179"/>
    </row>
    <row r="16" spans="1:7" ht="46.5" customHeight="1" x14ac:dyDescent="0.25">
      <c r="A16" s="180"/>
      <c r="B16" s="180"/>
      <c r="C16" s="180"/>
      <c r="D16" s="180"/>
      <c r="E16" s="180"/>
      <c r="F16" s="179"/>
      <c r="G16" s="179"/>
    </row>
    <row r="17" spans="1:7" ht="46.5" customHeight="1" x14ac:dyDescent="0.25">
      <c r="A17" s="180"/>
      <c r="B17" s="180"/>
      <c r="C17" s="180"/>
      <c r="D17" s="180"/>
      <c r="E17" s="180"/>
      <c r="F17" s="179"/>
      <c r="G17" s="179"/>
    </row>
    <row r="18" spans="1:7" ht="46.5" customHeight="1" x14ac:dyDescent="0.25">
      <c r="A18" s="180"/>
      <c r="B18" s="180"/>
      <c r="C18" s="180"/>
      <c r="D18" s="180"/>
      <c r="E18" s="180"/>
      <c r="F18" s="179"/>
      <c r="G18" s="179"/>
    </row>
    <row r="19" spans="1:7" x14ac:dyDescent="0.25">
      <c r="A19" s="180"/>
      <c r="B19" s="180"/>
      <c r="C19" s="180"/>
      <c r="D19" s="180"/>
      <c r="E19" s="180"/>
      <c r="F19" s="179"/>
      <c r="G19" s="179"/>
    </row>
    <row r="20" spans="1:7" x14ac:dyDescent="0.25">
      <c r="A20" s="180"/>
      <c r="B20" s="180"/>
      <c r="C20" s="180"/>
      <c r="D20" s="180"/>
      <c r="E20" s="180"/>
      <c r="F20" s="179"/>
      <c r="G20" s="179"/>
    </row>
    <row r="21" spans="1:7" x14ac:dyDescent="0.25">
      <c r="A21" s="180"/>
      <c r="B21" s="180"/>
      <c r="C21" s="180"/>
      <c r="D21" s="180"/>
      <c r="E21" s="180"/>
      <c r="F21" s="179"/>
      <c r="G21" s="179"/>
    </row>
    <row r="22" spans="1:7" x14ac:dyDescent="0.25">
      <c r="A22" s="180"/>
      <c r="B22" s="180"/>
      <c r="C22" s="180"/>
      <c r="D22" s="180"/>
      <c r="E22" s="180"/>
      <c r="F22" s="179"/>
      <c r="G22" s="179"/>
    </row>
    <row r="23" spans="1:7" x14ac:dyDescent="0.25">
      <c r="A23" s="180"/>
      <c r="B23" s="180"/>
      <c r="C23" s="180"/>
      <c r="D23" s="180"/>
      <c r="E23" s="180"/>
      <c r="F23" s="179"/>
      <c r="G23" s="179"/>
    </row>
    <row r="24" spans="1:7" x14ac:dyDescent="0.25">
      <c r="A24" s="180"/>
      <c r="B24" s="180"/>
      <c r="C24" s="180"/>
      <c r="D24" s="180"/>
      <c r="E24" s="180"/>
      <c r="F24" s="179"/>
      <c r="G24" s="179"/>
    </row>
    <row r="25" spans="1:7" x14ac:dyDescent="0.25">
      <c r="A25" s="180"/>
      <c r="B25" s="180"/>
      <c r="C25" s="180"/>
      <c r="D25" s="180"/>
      <c r="E25" s="180"/>
      <c r="F25" s="179"/>
      <c r="G25" s="179"/>
    </row>
    <row r="26" spans="1:7" x14ac:dyDescent="0.25">
      <c r="A26" s="180"/>
      <c r="B26" s="180"/>
      <c r="C26" s="180"/>
      <c r="D26" s="180"/>
      <c r="E26" s="180"/>
      <c r="F26" s="179"/>
      <c r="G26" s="179"/>
    </row>
    <row r="27" spans="1:7" x14ac:dyDescent="0.25">
      <c r="A27" s="180"/>
      <c r="B27" s="180"/>
      <c r="C27" s="180"/>
      <c r="D27" s="180"/>
      <c r="E27" s="180"/>
      <c r="F27" s="179"/>
      <c r="G27" s="179"/>
    </row>
    <row r="28" spans="1:7" x14ac:dyDescent="0.25">
      <c r="A28" s="180"/>
      <c r="B28" s="180"/>
      <c r="C28" s="180"/>
      <c r="D28" s="180"/>
      <c r="E28" s="180"/>
      <c r="F28" s="179"/>
      <c r="G28" s="179"/>
    </row>
    <row r="29" spans="1:7" x14ac:dyDescent="0.25">
      <c r="A29" s="180"/>
      <c r="B29" s="180"/>
      <c r="C29" s="180"/>
      <c r="D29" s="180"/>
      <c r="E29" s="180"/>
      <c r="F29" s="179"/>
      <c r="G29" s="179"/>
    </row>
    <row r="30" spans="1:7" x14ac:dyDescent="0.25">
      <c r="A30" s="180"/>
      <c r="B30" s="180"/>
      <c r="C30" s="180"/>
      <c r="D30" s="180"/>
      <c r="E30" s="180"/>
      <c r="F30" s="179"/>
      <c r="G30" s="179"/>
    </row>
    <row r="31" spans="1:7" x14ac:dyDescent="0.25">
      <c r="A31" s="180"/>
      <c r="B31" s="180"/>
      <c r="C31" s="180"/>
      <c r="D31" s="180"/>
      <c r="E31" s="180"/>
      <c r="F31" s="179"/>
      <c r="G31" s="179"/>
    </row>
    <row r="32" spans="1:7" x14ac:dyDescent="0.25">
      <c r="A32" s="180"/>
      <c r="B32" s="180"/>
      <c r="C32" s="180"/>
      <c r="D32" s="180"/>
      <c r="E32" s="180"/>
      <c r="F32" s="179"/>
      <c r="G32" s="179"/>
    </row>
    <row r="33" spans="1:7" x14ac:dyDescent="0.25">
      <c r="A33" s="180"/>
      <c r="B33" s="180"/>
      <c r="C33" s="180"/>
      <c r="D33" s="180"/>
      <c r="E33" s="180"/>
      <c r="F33" s="179"/>
      <c r="G33" s="179"/>
    </row>
    <row r="34" spans="1:7" x14ac:dyDescent="0.25">
      <c r="A34" s="180"/>
      <c r="B34" s="180"/>
      <c r="C34" s="180"/>
      <c r="D34" s="180"/>
      <c r="E34" s="180"/>
      <c r="F34" s="179"/>
      <c r="G34" s="179"/>
    </row>
    <row r="35" spans="1:7" x14ac:dyDescent="0.25">
      <c r="A35" s="180"/>
      <c r="B35" s="180"/>
      <c r="C35" s="180"/>
      <c r="D35" s="180"/>
      <c r="E35" s="18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E9F6-7055-4EB0-AB87-6DE5BC4B079C}">
  <sheetPr>
    <tabColor rgb="FF00B0F0"/>
  </sheetPr>
  <dimension ref="A1:Y10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3.140625" bestFit="1" customWidth="1"/>
    <col min="2" max="2" width="11.28515625" bestFit="1" customWidth="1"/>
    <col min="3" max="3" width="9.85546875" bestFit="1" customWidth="1"/>
    <col min="4" max="4" width="10.85546875" bestFit="1" customWidth="1"/>
    <col min="5" max="6" width="14.85546875" bestFit="1" customWidth="1"/>
    <col min="7" max="7" width="6" bestFit="1" customWidth="1"/>
    <col min="8" max="8" width="9.85546875" bestFit="1" customWidth="1"/>
    <col min="9" max="9" width="11.140625" bestFit="1" customWidth="1"/>
    <col min="10" max="10" width="7.85546875" style="163" bestFit="1" customWidth="1"/>
    <col min="11" max="11" width="9.85546875" bestFit="1" customWidth="1"/>
    <col min="12" max="12" width="11.140625" bestFit="1" customWidth="1"/>
    <col min="13" max="13" width="9" bestFit="1" customWidth="1"/>
    <col min="14" max="14" width="6.42578125" bestFit="1" customWidth="1"/>
    <col min="15" max="15" width="6.28515625" bestFit="1" customWidth="1"/>
    <col min="16" max="16" width="7.7109375" bestFit="1" customWidth="1"/>
    <col min="17" max="20" width="4.85546875" bestFit="1" customWidth="1"/>
    <col min="21" max="21" width="4.42578125" bestFit="1" customWidth="1"/>
    <col min="22" max="22" width="4.140625" bestFit="1" customWidth="1"/>
    <col min="23" max="23" width="22.7109375" bestFit="1" customWidth="1"/>
    <col min="24" max="24" width="12.7109375" bestFit="1" customWidth="1"/>
    <col min="25" max="25" width="11.42578125" style="163"/>
  </cols>
  <sheetData>
    <row r="1" spans="1:25" x14ac:dyDescent="0.25">
      <c r="A1" t="s">
        <v>144</v>
      </c>
      <c r="B1" s="168">
        <v>44771</v>
      </c>
    </row>
    <row r="2" spans="1:25" x14ac:dyDescent="0.25">
      <c r="A2" s="162" t="s">
        <v>122</v>
      </c>
      <c r="B2" s="162" t="s">
        <v>123</v>
      </c>
      <c r="C2" s="162" t="s">
        <v>124</v>
      </c>
      <c r="D2" s="162" t="s">
        <v>125</v>
      </c>
      <c r="E2" s="162" t="s">
        <v>126</v>
      </c>
      <c r="F2" s="162" t="s">
        <v>127</v>
      </c>
      <c r="G2" s="162" t="s">
        <v>128</v>
      </c>
      <c r="H2" s="162" t="s">
        <v>129</v>
      </c>
      <c r="I2" s="162" t="s">
        <v>130</v>
      </c>
      <c r="J2" s="162" t="s">
        <v>217</v>
      </c>
      <c r="K2" s="162" t="s">
        <v>218</v>
      </c>
      <c r="L2" s="162" t="s">
        <v>219</v>
      </c>
      <c r="M2" s="162" t="s">
        <v>220</v>
      </c>
      <c r="N2" s="162" t="s">
        <v>222</v>
      </c>
      <c r="O2" s="162" t="s">
        <v>221</v>
      </c>
      <c r="P2" s="162" t="s">
        <v>223</v>
      </c>
      <c r="Q2" s="162" t="s">
        <v>94</v>
      </c>
      <c r="R2" s="162" t="s">
        <v>93</v>
      </c>
      <c r="S2" s="162" t="s">
        <v>131</v>
      </c>
      <c r="T2" s="162" t="s">
        <v>3</v>
      </c>
      <c r="U2" s="162" t="s">
        <v>13</v>
      </c>
      <c r="V2" s="162" t="s">
        <v>132</v>
      </c>
      <c r="W2" s="162" t="s">
        <v>133</v>
      </c>
      <c r="X2" s="162" t="s">
        <v>134</v>
      </c>
      <c r="Y2" s="162" t="s">
        <v>237</v>
      </c>
    </row>
    <row r="3" spans="1:25" x14ac:dyDescent="0.25">
      <c r="A3" s="163" t="s">
        <v>142</v>
      </c>
      <c r="B3" s="164">
        <v>38109</v>
      </c>
      <c r="C3" s="163" t="s">
        <v>136</v>
      </c>
      <c r="D3" s="163" t="s">
        <v>143</v>
      </c>
      <c r="E3" s="165">
        <v>345859603</v>
      </c>
      <c r="F3" s="165">
        <v>400664099</v>
      </c>
      <c r="G3" s="163">
        <v>849</v>
      </c>
      <c r="H3" s="166">
        <v>2069410</v>
      </c>
      <c r="I3" s="165">
        <v>421200</v>
      </c>
      <c r="J3" s="170">
        <v>14</v>
      </c>
      <c r="K3" s="166">
        <v>2180770</v>
      </c>
      <c r="L3" s="165">
        <v>432658</v>
      </c>
      <c r="M3" s="167">
        <v>6</v>
      </c>
      <c r="N3" s="167">
        <v>8.4</v>
      </c>
      <c r="O3" s="167">
        <v>5.9</v>
      </c>
      <c r="P3" s="163" t="s">
        <v>236</v>
      </c>
      <c r="Q3" s="163">
        <v>4</v>
      </c>
      <c r="R3" s="163">
        <v>3</v>
      </c>
      <c r="S3" s="163">
        <v>4</v>
      </c>
      <c r="T3" s="163">
        <v>3</v>
      </c>
      <c r="U3" s="163">
        <v>0</v>
      </c>
      <c r="V3" s="163">
        <f>SUM(Q3:U3)</f>
        <v>14</v>
      </c>
      <c r="W3" s="163" t="s">
        <v>282</v>
      </c>
      <c r="X3" s="163" t="s">
        <v>238</v>
      </c>
      <c r="Y3" s="163">
        <v>1099</v>
      </c>
    </row>
    <row r="4" spans="1:25" x14ac:dyDescent="0.25">
      <c r="A4" s="163" t="s">
        <v>141</v>
      </c>
      <c r="B4" s="164">
        <v>40792</v>
      </c>
      <c r="C4" s="163" t="s">
        <v>136</v>
      </c>
      <c r="D4" s="163" t="s">
        <v>248</v>
      </c>
      <c r="E4" s="165">
        <v>338532735</v>
      </c>
      <c r="F4" s="165">
        <v>338899241</v>
      </c>
      <c r="G4" s="163">
        <v>967</v>
      </c>
      <c r="H4" s="166">
        <v>1586420</v>
      </c>
      <c r="I4" s="165">
        <v>286522</v>
      </c>
      <c r="J4" s="170">
        <v>16</v>
      </c>
      <c r="K4" s="166">
        <f>H4-180-20</f>
        <v>1586220</v>
      </c>
      <c r="L4" s="165">
        <f>I4-830-200</f>
        <v>285492</v>
      </c>
      <c r="M4" s="167">
        <v>6.25</v>
      </c>
      <c r="N4" s="167">
        <v>10.5</v>
      </c>
      <c r="O4" s="167">
        <v>7</v>
      </c>
      <c r="P4" s="163" t="s">
        <v>249</v>
      </c>
      <c r="Q4" s="163">
        <v>1</v>
      </c>
      <c r="R4" s="163">
        <v>4</v>
      </c>
      <c r="S4" s="163">
        <v>0</v>
      </c>
      <c r="T4" s="163">
        <v>5</v>
      </c>
      <c r="U4" s="163">
        <v>0</v>
      </c>
      <c r="V4" s="163">
        <f t="shared" ref="V4:V10" si="0">SUM(Q4:U4)</f>
        <v>10</v>
      </c>
      <c r="W4" s="163" t="s">
        <v>250</v>
      </c>
      <c r="X4" s="163" t="s">
        <v>251</v>
      </c>
      <c r="Y4" s="163">
        <v>1148</v>
      </c>
    </row>
    <row r="5" spans="1:25" x14ac:dyDescent="0.25">
      <c r="A5" s="163" t="s">
        <v>137</v>
      </c>
      <c r="B5" s="164">
        <v>42724</v>
      </c>
      <c r="C5" s="163" t="s">
        <v>138</v>
      </c>
      <c r="D5" s="163" t="s">
        <v>135</v>
      </c>
      <c r="E5" s="165">
        <v>58980220</v>
      </c>
      <c r="F5" s="165">
        <v>47077563</v>
      </c>
      <c r="G5" s="163">
        <v>361</v>
      </c>
      <c r="H5" s="166">
        <v>1033260</v>
      </c>
      <c r="I5" s="165">
        <v>327226</v>
      </c>
      <c r="J5" s="170">
        <v>14</v>
      </c>
      <c r="K5" s="166">
        <v>1000260</v>
      </c>
      <c r="L5" s="165">
        <v>318288</v>
      </c>
      <c r="M5" s="167">
        <v>4.95</v>
      </c>
      <c r="N5" s="167">
        <v>10.8</v>
      </c>
      <c r="O5" s="167">
        <v>6.79</v>
      </c>
      <c r="P5" s="163" t="s">
        <v>281</v>
      </c>
      <c r="Q5" s="163">
        <v>5</v>
      </c>
      <c r="R5" s="163">
        <v>2</v>
      </c>
      <c r="S5" s="163">
        <v>2</v>
      </c>
      <c r="T5" s="163">
        <v>4</v>
      </c>
      <c r="U5" s="163">
        <v>0</v>
      </c>
      <c r="V5" s="163">
        <f>SUM(Q5:U5)</f>
        <v>13</v>
      </c>
      <c r="W5" s="163" t="s">
        <v>283</v>
      </c>
      <c r="X5" s="163" t="s">
        <v>139</v>
      </c>
      <c r="Y5" s="163">
        <v>1163</v>
      </c>
    </row>
    <row r="6" spans="1:25" x14ac:dyDescent="0.25">
      <c r="A6" s="163" t="s">
        <v>284</v>
      </c>
      <c r="B6" s="164">
        <v>42652</v>
      </c>
      <c r="C6" s="163" t="s">
        <v>136</v>
      </c>
      <c r="D6" s="163" t="s">
        <v>285</v>
      </c>
      <c r="E6" s="165">
        <v>254416591</v>
      </c>
      <c r="F6" s="165">
        <v>266297698</v>
      </c>
      <c r="G6" s="163">
        <v>307</v>
      </c>
      <c r="H6" s="166">
        <v>2218860</v>
      </c>
      <c r="I6" s="165">
        <v>406454</v>
      </c>
      <c r="J6" s="170">
        <v>12</v>
      </c>
      <c r="K6" s="166">
        <v>2137760</v>
      </c>
      <c r="L6" s="165">
        <v>527806</v>
      </c>
      <c r="M6" s="167">
        <v>5.75</v>
      </c>
      <c r="N6" s="167">
        <v>9.5</v>
      </c>
      <c r="O6" s="167">
        <v>6.42</v>
      </c>
      <c r="P6" s="163" t="s">
        <v>312</v>
      </c>
      <c r="Q6" s="163">
        <v>7</v>
      </c>
      <c r="R6" s="163">
        <v>0</v>
      </c>
      <c r="S6" s="163">
        <v>1</v>
      </c>
      <c r="T6" s="163">
        <v>0</v>
      </c>
      <c r="U6" s="163">
        <v>0</v>
      </c>
      <c r="V6" s="163">
        <f t="shared" si="0"/>
        <v>8</v>
      </c>
      <c r="W6" s="163" t="s">
        <v>313</v>
      </c>
      <c r="X6" s="163" t="s">
        <v>139</v>
      </c>
      <c r="Y6" s="163">
        <v>1146</v>
      </c>
    </row>
    <row r="7" spans="1:25" x14ac:dyDescent="0.25">
      <c r="A7" s="163" t="s">
        <v>314</v>
      </c>
      <c r="B7" s="164">
        <v>42246</v>
      </c>
      <c r="C7" s="163" t="s">
        <v>315</v>
      </c>
      <c r="D7" s="163" t="s">
        <v>140</v>
      </c>
      <c r="E7" s="165">
        <v>109830250</v>
      </c>
      <c r="F7" s="165">
        <v>126272349</v>
      </c>
      <c r="G7" s="163">
        <v>211</v>
      </c>
      <c r="H7" s="166">
        <v>1354780</v>
      </c>
      <c r="I7" s="165">
        <v>346236</v>
      </c>
      <c r="J7" s="170">
        <v>18</v>
      </c>
      <c r="K7" s="166">
        <v>1274500</v>
      </c>
      <c r="L7" s="165">
        <v>297754</v>
      </c>
      <c r="M7" s="167">
        <v>5.61</v>
      </c>
      <c r="N7" s="167">
        <v>9.17</v>
      </c>
      <c r="O7" s="167">
        <v>6.89</v>
      </c>
      <c r="P7" s="163" t="s">
        <v>341</v>
      </c>
      <c r="Q7" s="163">
        <v>6</v>
      </c>
      <c r="R7" s="163">
        <v>1</v>
      </c>
      <c r="S7" s="163">
        <v>4</v>
      </c>
      <c r="T7" s="163">
        <v>5</v>
      </c>
      <c r="U7" s="163">
        <v>0</v>
      </c>
      <c r="V7" s="163">
        <f t="shared" si="0"/>
        <v>16</v>
      </c>
      <c r="W7" s="163" t="s">
        <v>342</v>
      </c>
      <c r="X7" s="163" t="s">
        <v>343</v>
      </c>
      <c r="Y7" s="163">
        <v>1091</v>
      </c>
    </row>
    <row r="8" spans="1:25" x14ac:dyDescent="0.25">
      <c r="A8" s="163" t="s">
        <v>344</v>
      </c>
      <c r="B8" s="164">
        <v>38651</v>
      </c>
      <c r="C8" s="163" t="s">
        <v>138</v>
      </c>
      <c r="D8" s="163" t="s">
        <v>285</v>
      </c>
      <c r="E8" s="165">
        <v>340496625</v>
      </c>
      <c r="F8" s="165">
        <v>373778525</v>
      </c>
      <c r="G8" s="163">
        <v>1044</v>
      </c>
      <c r="H8" s="166">
        <v>1276840</v>
      </c>
      <c r="I8" s="165">
        <v>286522</v>
      </c>
      <c r="J8" s="170">
        <v>14</v>
      </c>
      <c r="K8" s="166">
        <v>1266740</v>
      </c>
      <c r="L8" s="165">
        <v>281724</v>
      </c>
      <c r="M8" s="167">
        <v>6.3</v>
      </c>
      <c r="N8" s="167">
        <v>9.6</v>
      </c>
      <c r="O8" s="167">
        <v>6.1</v>
      </c>
      <c r="P8" s="163" t="s">
        <v>374</v>
      </c>
      <c r="Q8" s="163">
        <v>3</v>
      </c>
      <c r="R8" s="163">
        <v>4</v>
      </c>
      <c r="S8" s="163">
        <v>0</v>
      </c>
      <c r="T8" s="163">
        <v>1</v>
      </c>
      <c r="U8" s="163">
        <v>1</v>
      </c>
      <c r="V8" s="163">
        <f t="shared" si="0"/>
        <v>9</v>
      </c>
      <c r="W8" s="163" t="s">
        <v>375</v>
      </c>
      <c r="X8" s="163">
        <v>352</v>
      </c>
      <c r="Y8" s="163">
        <v>1062</v>
      </c>
    </row>
    <row r="9" spans="1:25" x14ac:dyDescent="0.25">
      <c r="A9" s="163" t="s">
        <v>447</v>
      </c>
      <c r="B9" s="164">
        <v>38111</v>
      </c>
      <c r="C9" s="163" t="s">
        <v>376</v>
      </c>
      <c r="D9" s="163" t="s">
        <v>377</v>
      </c>
      <c r="E9" s="165">
        <v>792988698</v>
      </c>
      <c r="F9" s="165">
        <v>928152920</v>
      </c>
      <c r="G9" s="163">
        <v>1536</v>
      </c>
      <c r="H9" s="166">
        <v>2610000</v>
      </c>
      <c r="I9" s="165">
        <v>532570</v>
      </c>
      <c r="J9" s="170">
        <v>15</v>
      </c>
      <c r="K9" s="166">
        <v>2809420</v>
      </c>
      <c r="L9" s="165">
        <v>570240</v>
      </c>
      <c r="M9" s="167">
        <v>4.93</v>
      </c>
      <c r="N9" s="167">
        <v>11.4</v>
      </c>
      <c r="O9" s="167">
        <v>6.4</v>
      </c>
      <c r="P9" s="163" t="s">
        <v>374</v>
      </c>
      <c r="Q9" s="163">
        <v>2</v>
      </c>
      <c r="R9" s="163">
        <v>6</v>
      </c>
      <c r="S9" s="163">
        <v>4</v>
      </c>
      <c r="T9" s="163">
        <v>2</v>
      </c>
      <c r="U9" s="163">
        <v>0</v>
      </c>
      <c r="V9" s="163">
        <f t="shared" si="0"/>
        <v>14</v>
      </c>
      <c r="W9" s="163" t="s">
        <v>250</v>
      </c>
      <c r="X9" s="163" t="s">
        <v>343</v>
      </c>
      <c r="Y9" s="163">
        <v>1124</v>
      </c>
    </row>
    <row r="10" spans="1:25" x14ac:dyDescent="0.25">
      <c r="A10" s="163" t="s">
        <v>424</v>
      </c>
      <c r="B10" s="164">
        <v>40715</v>
      </c>
      <c r="C10" s="163" t="s">
        <v>425</v>
      </c>
      <c r="D10" s="163" t="s">
        <v>135</v>
      </c>
      <c r="E10" s="165">
        <v>306104153</v>
      </c>
      <c r="F10" s="165">
        <v>274951540</v>
      </c>
      <c r="G10" s="163">
        <v>465</v>
      </c>
      <c r="H10" s="166">
        <v>2603370</v>
      </c>
      <c r="I10" s="165">
        <v>343524</v>
      </c>
      <c r="J10" s="170">
        <v>17</v>
      </c>
      <c r="K10" s="166">
        <v>2603370</v>
      </c>
      <c r="L10" s="165">
        <v>343224</v>
      </c>
      <c r="M10" s="167">
        <v>5.4</v>
      </c>
      <c r="N10" s="167">
        <v>8.1199999999999992</v>
      </c>
      <c r="O10" s="167">
        <v>5.3</v>
      </c>
      <c r="P10" s="163" t="s">
        <v>446</v>
      </c>
      <c r="Q10" s="163">
        <v>3</v>
      </c>
      <c r="R10" s="163">
        <v>2</v>
      </c>
      <c r="S10" s="163">
        <v>3</v>
      </c>
      <c r="T10" s="163">
        <v>1</v>
      </c>
      <c r="U10" s="163">
        <v>1</v>
      </c>
      <c r="V10" s="163">
        <f t="shared" si="0"/>
        <v>10</v>
      </c>
      <c r="W10" s="163" t="s">
        <v>282</v>
      </c>
      <c r="X10" s="163">
        <v>352</v>
      </c>
      <c r="Y10" s="163">
        <v>1044</v>
      </c>
    </row>
  </sheetData>
  <conditionalFormatting sqref="V3:V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2">
      <colorScale>
        <cfvo type="min"/>
        <cfvo type="max"/>
        <color rgb="FFFCFCFF"/>
        <color rgb="FF63BE7B"/>
      </colorScale>
    </cfRule>
  </conditionalFormatting>
  <conditionalFormatting sqref="O3:O10">
    <cfRule type="colorScale" priority="3">
      <colorScale>
        <cfvo type="min"/>
        <cfvo type="max"/>
        <color rgb="FFFCFCFF"/>
        <color rgb="FFF8696B"/>
      </colorScale>
    </cfRule>
  </conditionalFormatting>
  <conditionalFormatting sqref="M3:M10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I10 L3:L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 K3:K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0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ECD6-3C01-4A34-9752-5FF6C63EAA4C}">
  <sheetPr>
    <tabColor theme="9" tint="0.79998168889431442"/>
  </sheetPr>
  <dimension ref="A1:AK20"/>
  <sheetViews>
    <sheetView zoomScale="80" zoomScaleNormal="80" workbookViewId="0">
      <selection activeCell="K34" sqref="K34"/>
    </sheetView>
  </sheetViews>
  <sheetFormatPr baseColWidth="10" defaultRowHeight="15" x14ac:dyDescent="0.25"/>
  <cols>
    <col min="1" max="1" width="9.85546875" customWidth="1"/>
    <col min="2" max="2" width="6" customWidth="1"/>
    <col min="3" max="3" width="25.85546875" bestFit="1" customWidth="1"/>
    <col min="4" max="4" width="15.5703125" bestFit="1" customWidth="1"/>
    <col min="5" max="5" width="5.85546875" customWidth="1"/>
    <col min="6" max="6" width="10.85546875" customWidth="1"/>
    <col min="7" max="11" width="6.42578125" customWidth="1"/>
    <col min="12" max="12" width="7" bestFit="1" customWidth="1"/>
    <col min="13" max="13" width="7.7109375" bestFit="1" customWidth="1"/>
    <col min="14" max="14" width="9.28515625" bestFit="1" customWidth="1"/>
    <col min="15" max="15" width="9" customWidth="1"/>
    <col min="16" max="20" width="6.7109375" customWidth="1"/>
    <col min="21" max="21" width="14.42578125" customWidth="1"/>
    <col min="22" max="22" width="12.85546875" customWidth="1"/>
    <col min="23" max="23" width="8.85546875" customWidth="1"/>
    <col min="24" max="25" width="5.85546875" customWidth="1"/>
    <col min="26" max="26" width="5.7109375" customWidth="1"/>
    <col min="29" max="29" width="18.42578125" bestFit="1" customWidth="1"/>
    <col min="30" max="30" width="17.85546875" bestFit="1" customWidth="1"/>
    <col min="31" max="31" width="17.28515625" bestFit="1" customWidth="1"/>
    <col min="32" max="32" width="16.7109375" bestFit="1" customWidth="1"/>
    <col min="33" max="33" width="12.140625" bestFit="1" customWidth="1"/>
    <col min="34" max="34" width="15.5703125" bestFit="1" customWidth="1"/>
    <col min="35" max="35" width="18.7109375" bestFit="1" customWidth="1"/>
    <col min="36" max="36" width="23.42578125" bestFit="1" customWidth="1"/>
    <col min="37" max="37" width="23.140625" bestFit="1" customWidth="1"/>
  </cols>
  <sheetData>
    <row r="1" spans="1:37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A1" t="s">
        <v>449</v>
      </c>
      <c r="AC1" s="171" t="s">
        <v>224</v>
      </c>
      <c r="AD1" s="172">
        <v>1</v>
      </c>
    </row>
    <row r="2" spans="1:37" x14ac:dyDescent="0.25">
      <c r="A2" s="169" t="s">
        <v>174</v>
      </c>
      <c r="B2">
        <v>10</v>
      </c>
      <c r="C2" s="169" t="s">
        <v>435</v>
      </c>
      <c r="D2">
        <v>438775015</v>
      </c>
      <c r="F2" s="169" t="s">
        <v>180</v>
      </c>
      <c r="G2">
        <v>1</v>
      </c>
      <c r="H2" s="169" t="s">
        <v>172</v>
      </c>
      <c r="I2" s="169" t="s">
        <v>172</v>
      </c>
      <c r="K2">
        <v>29</v>
      </c>
      <c r="L2">
        <v>51</v>
      </c>
      <c r="M2">
        <v>438800</v>
      </c>
      <c r="N2">
        <v>36610</v>
      </c>
      <c r="O2">
        <v>198</v>
      </c>
      <c r="P2">
        <v>8</v>
      </c>
      <c r="Q2">
        <v>6</v>
      </c>
      <c r="R2">
        <v>20</v>
      </c>
      <c r="S2">
        <v>7</v>
      </c>
      <c r="T2">
        <v>7</v>
      </c>
      <c r="U2" s="168">
        <v>44772</v>
      </c>
      <c r="V2">
        <v>11.5</v>
      </c>
      <c r="W2" s="169" t="s">
        <v>148</v>
      </c>
      <c r="X2">
        <v>1</v>
      </c>
      <c r="Y2">
        <v>1</v>
      </c>
      <c r="AC2" s="171" t="s">
        <v>225</v>
      </c>
      <c r="AD2" s="172">
        <v>1</v>
      </c>
    </row>
    <row r="3" spans="1:37" x14ac:dyDescent="0.25">
      <c r="A3" s="169" t="s">
        <v>174</v>
      </c>
      <c r="B3">
        <v>17</v>
      </c>
      <c r="C3" s="169" t="s">
        <v>441</v>
      </c>
      <c r="D3">
        <v>440000802</v>
      </c>
      <c r="F3" s="169" t="s">
        <v>183</v>
      </c>
      <c r="G3">
        <v>1</v>
      </c>
      <c r="H3" s="169" t="s">
        <v>172</v>
      </c>
      <c r="I3" s="169" t="s">
        <v>172</v>
      </c>
      <c r="K3">
        <v>29</v>
      </c>
      <c r="L3">
        <v>8</v>
      </c>
      <c r="M3">
        <v>389960</v>
      </c>
      <c r="N3">
        <v>35000</v>
      </c>
      <c r="O3">
        <v>192</v>
      </c>
      <c r="P3">
        <v>8</v>
      </c>
      <c r="Q3">
        <v>5</v>
      </c>
      <c r="R3">
        <v>20</v>
      </c>
      <c r="S3">
        <v>7</v>
      </c>
      <c r="T3">
        <v>7</v>
      </c>
      <c r="U3" s="168">
        <v>44772</v>
      </c>
      <c r="V3">
        <v>12</v>
      </c>
      <c r="W3" s="169" t="s">
        <v>148</v>
      </c>
      <c r="X3">
        <v>1</v>
      </c>
      <c r="Y3">
        <v>1</v>
      </c>
    </row>
    <row r="4" spans="1:37" x14ac:dyDescent="0.25">
      <c r="A4" s="169" t="s">
        <v>174</v>
      </c>
      <c r="B4">
        <v>7</v>
      </c>
      <c r="C4" s="169" t="s">
        <v>432</v>
      </c>
      <c r="D4">
        <v>444645355</v>
      </c>
      <c r="F4" s="169" t="s">
        <v>347</v>
      </c>
      <c r="G4">
        <v>1</v>
      </c>
      <c r="H4" s="169" t="s">
        <v>172</v>
      </c>
      <c r="I4" s="169" t="s">
        <v>172</v>
      </c>
      <c r="J4">
        <v>1</v>
      </c>
      <c r="K4">
        <v>26</v>
      </c>
      <c r="L4">
        <v>102</v>
      </c>
      <c r="M4">
        <v>388480</v>
      </c>
      <c r="N4">
        <v>21350</v>
      </c>
      <c r="O4">
        <v>157</v>
      </c>
      <c r="P4">
        <v>6</v>
      </c>
      <c r="Q4">
        <v>5</v>
      </c>
      <c r="R4">
        <v>20</v>
      </c>
      <c r="S4">
        <v>8</v>
      </c>
      <c r="T4">
        <v>7</v>
      </c>
      <c r="U4" s="168">
        <v>44772</v>
      </c>
      <c r="V4">
        <v>13.5</v>
      </c>
      <c r="W4" s="169" t="s">
        <v>148</v>
      </c>
      <c r="X4">
        <v>1</v>
      </c>
      <c r="Y4">
        <v>1</v>
      </c>
      <c r="Z4" t="s">
        <v>148</v>
      </c>
      <c r="AA4" t="s">
        <v>448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</row>
    <row r="5" spans="1:37" x14ac:dyDescent="0.25">
      <c r="A5" s="169" t="s">
        <v>174</v>
      </c>
      <c r="B5">
        <v>9</v>
      </c>
      <c r="C5" s="169" t="s">
        <v>434</v>
      </c>
      <c r="D5">
        <v>447292589</v>
      </c>
      <c r="F5" s="169" t="s">
        <v>176</v>
      </c>
      <c r="H5" s="169" t="s">
        <v>172</v>
      </c>
      <c r="I5" s="169" t="s">
        <v>172</v>
      </c>
      <c r="J5">
        <v>1</v>
      </c>
      <c r="K5">
        <v>26</v>
      </c>
      <c r="L5">
        <v>43</v>
      </c>
      <c r="M5">
        <v>231130</v>
      </c>
      <c r="N5">
        <v>21500</v>
      </c>
      <c r="O5">
        <v>101</v>
      </c>
      <c r="P5">
        <v>6</v>
      </c>
      <c r="Q5">
        <v>6</v>
      </c>
      <c r="R5">
        <v>20</v>
      </c>
      <c r="S5">
        <v>8</v>
      </c>
      <c r="T5">
        <v>7</v>
      </c>
      <c r="U5" s="168">
        <v>44769</v>
      </c>
      <c r="V5">
        <v>9.5</v>
      </c>
      <c r="W5" s="169" t="s">
        <v>148</v>
      </c>
      <c r="X5">
        <v>1</v>
      </c>
      <c r="Y5">
        <v>1</v>
      </c>
      <c r="Z5" t="s">
        <v>148</v>
      </c>
      <c r="AC5" s="172"/>
      <c r="AD5" s="169">
        <v>7</v>
      </c>
      <c r="AE5" s="173">
        <v>31.428571428571427</v>
      </c>
      <c r="AF5" s="173">
        <v>52.428571428571431</v>
      </c>
      <c r="AG5" s="173">
        <v>522500</v>
      </c>
      <c r="AH5" s="173">
        <v>111518</v>
      </c>
      <c r="AI5" s="173">
        <v>6.2857142857142856</v>
      </c>
      <c r="AJ5" s="173">
        <v>9.8571428571428577</v>
      </c>
      <c r="AK5" s="173">
        <v>6</v>
      </c>
    </row>
    <row r="6" spans="1:37" x14ac:dyDescent="0.25">
      <c r="A6" s="169" t="s">
        <v>174</v>
      </c>
      <c r="B6">
        <v>6</v>
      </c>
      <c r="C6" s="169" t="s">
        <v>431</v>
      </c>
      <c r="D6">
        <v>438673045</v>
      </c>
      <c r="F6" s="169" t="s">
        <v>171</v>
      </c>
      <c r="H6" s="169" t="s">
        <v>172</v>
      </c>
      <c r="I6" s="169" t="s">
        <v>172</v>
      </c>
      <c r="K6">
        <v>29</v>
      </c>
      <c r="L6">
        <v>60</v>
      </c>
      <c r="M6">
        <v>192140</v>
      </c>
      <c r="N6">
        <v>23720</v>
      </c>
      <c r="O6">
        <v>31</v>
      </c>
      <c r="P6">
        <v>9</v>
      </c>
      <c r="Q6">
        <v>5</v>
      </c>
      <c r="R6">
        <v>16</v>
      </c>
      <c r="S6">
        <v>7</v>
      </c>
      <c r="T6">
        <v>7</v>
      </c>
      <c r="U6" s="168">
        <v>44772</v>
      </c>
      <c r="V6">
        <v>7</v>
      </c>
      <c r="W6" s="169" t="s">
        <v>146</v>
      </c>
      <c r="X6">
        <v>1</v>
      </c>
      <c r="Y6">
        <v>1</v>
      </c>
      <c r="AC6" s="172" t="s">
        <v>183</v>
      </c>
      <c r="AD6" s="169">
        <v>3</v>
      </c>
      <c r="AE6" s="173">
        <v>31</v>
      </c>
      <c r="AF6" s="173">
        <v>33.333333333333336</v>
      </c>
      <c r="AG6" s="173">
        <v>552820</v>
      </c>
      <c r="AH6" s="173">
        <v>66716</v>
      </c>
      <c r="AI6" s="173">
        <v>6.333333333333333</v>
      </c>
      <c r="AJ6" s="173">
        <v>9.6666666666666661</v>
      </c>
      <c r="AK6" s="173">
        <v>6.333333333333333</v>
      </c>
    </row>
    <row r="7" spans="1:37" x14ac:dyDescent="0.25">
      <c r="A7" s="169" t="s">
        <v>174</v>
      </c>
      <c r="B7">
        <v>18</v>
      </c>
      <c r="C7" s="169" t="s">
        <v>442</v>
      </c>
      <c r="D7">
        <v>439110683</v>
      </c>
      <c r="F7" s="169" t="s">
        <v>172</v>
      </c>
      <c r="H7" s="169" t="s">
        <v>172</v>
      </c>
      <c r="I7" s="169" t="s">
        <v>172</v>
      </c>
      <c r="K7">
        <v>29</v>
      </c>
      <c r="L7">
        <v>23</v>
      </c>
      <c r="M7">
        <v>181400</v>
      </c>
      <c r="N7">
        <v>30160</v>
      </c>
      <c r="O7">
        <v>1</v>
      </c>
      <c r="P7">
        <v>8</v>
      </c>
      <c r="Q7">
        <v>4</v>
      </c>
      <c r="R7">
        <v>4</v>
      </c>
      <c r="S7">
        <v>4</v>
      </c>
      <c r="T7">
        <v>6</v>
      </c>
      <c r="U7" s="168">
        <v>44769</v>
      </c>
      <c r="V7">
        <v>7.5</v>
      </c>
      <c r="W7" s="169" t="s">
        <v>147</v>
      </c>
      <c r="X7">
        <v>1</v>
      </c>
      <c r="Y7">
        <v>1</v>
      </c>
      <c r="AC7" s="172" t="s">
        <v>171</v>
      </c>
      <c r="AD7" s="169">
        <v>2</v>
      </c>
      <c r="AE7" s="173">
        <v>30</v>
      </c>
      <c r="AF7" s="173">
        <v>44.5</v>
      </c>
      <c r="AG7" s="173">
        <v>268470</v>
      </c>
      <c r="AH7" s="173">
        <v>41780</v>
      </c>
      <c r="AI7" s="173">
        <v>5.5</v>
      </c>
      <c r="AJ7" s="173">
        <v>9</v>
      </c>
      <c r="AK7" s="173">
        <v>6.5</v>
      </c>
    </row>
    <row r="8" spans="1:37" x14ac:dyDescent="0.25">
      <c r="A8" s="169" t="s">
        <v>174</v>
      </c>
      <c r="B8">
        <v>5</v>
      </c>
      <c r="C8" s="169" t="s">
        <v>430</v>
      </c>
      <c r="D8">
        <v>436973227</v>
      </c>
      <c r="F8" s="169" t="s">
        <v>176</v>
      </c>
      <c r="H8" s="169" t="s">
        <v>172</v>
      </c>
      <c r="I8" s="169" t="s">
        <v>172</v>
      </c>
      <c r="K8">
        <v>30</v>
      </c>
      <c r="L8">
        <v>24</v>
      </c>
      <c r="M8">
        <v>130010</v>
      </c>
      <c r="N8">
        <v>27010</v>
      </c>
      <c r="O8">
        <v>50</v>
      </c>
      <c r="P8">
        <v>8</v>
      </c>
      <c r="Q8">
        <v>3</v>
      </c>
      <c r="R8">
        <v>20</v>
      </c>
      <c r="S8">
        <v>6</v>
      </c>
      <c r="T8">
        <v>6</v>
      </c>
      <c r="U8" s="168">
        <v>44772</v>
      </c>
      <c r="V8">
        <v>7.5</v>
      </c>
      <c r="W8" s="169" t="s">
        <v>146</v>
      </c>
      <c r="X8">
        <v>1</v>
      </c>
      <c r="Y8">
        <v>1</v>
      </c>
      <c r="AC8" s="172" t="s">
        <v>176</v>
      </c>
      <c r="AD8" s="169">
        <v>3</v>
      </c>
      <c r="AE8" s="173">
        <v>29.333333333333332</v>
      </c>
      <c r="AF8" s="173">
        <v>35</v>
      </c>
      <c r="AG8" s="173">
        <v>432300</v>
      </c>
      <c r="AH8" s="173">
        <v>65250</v>
      </c>
      <c r="AI8" s="173">
        <v>6.666666666666667</v>
      </c>
      <c r="AJ8" s="173">
        <v>8.3333333333333339</v>
      </c>
      <c r="AK8" s="173">
        <v>6.333333333333333</v>
      </c>
    </row>
    <row r="9" spans="1:37" x14ac:dyDescent="0.25">
      <c r="A9" s="169" t="s">
        <v>199</v>
      </c>
      <c r="B9">
        <v>11</v>
      </c>
      <c r="C9" s="169" t="s">
        <v>436</v>
      </c>
      <c r="D9">
        <v>435567808</v>
      </c>
      <c r="F9" s="169" t="s">
        <v>183</v>
      </c>
      <c r="H9" s="169" t="s">
        <v>172</v>
      </c>
      <c r="I9" s="169" t="s">
        <v>172</v>
      </c>
      <c r="K9">
        <v>31</v>
      </c>
      <c r="L9">
        <v>46</v>
      </c>
      <c r="M9">
        <v>113230</v>
      </c>
      <c r="N9">
        <v>17016</v>
      </c>
      <c r="O9">
        <v>44</v>
      </c>
      <c r="P9">
        <v>8</v>
      </c>
      <c r="Q9">
        <v>2</v>
      </c>
      <c r="R9">
        <v>19</v>
      </c>
      <c r="S9">
        <v>6</v>
      </c>
      <c r="T9">
        <v>6</v>
      </c>
      <c r="U9" s="168">
        <v>44772</v>
      </c>
      <c r="V9">
        <v>9</v>
      </c>
      <c r="W9" s="169" t="s">
        <v>181</v>
      </c>
      <c r="X9">
        <v>1</v>
      </c>
      <c r="Y9">
        <v>1</v>
      </c>
      <c r="AC9" s="172" t="s">
        <v>180</v>
      </c>
      <c r="AD9" s="169">
        <v>1</v>
      </c>
      <c r="AE9" s="173">
        <v>29</v>
      </c>
      <c r="AF9" s="173">
        <v>51</v>
      </c>
      <c r="AG9" s="173">
        <v>438800</v>
      </c>
      <c r="AH9" s="173">
        <v>36610</v>
      </c>
      <c r="AI9" s="173">
        <v>7</v>
      </c>
      <c r="AJ9" s="173">
        <v>8</v>
      </c>
      <c r="AK9" s="173">
        <v>7</v>
      </c>
    </row>
    <row r="10" spans="1:37" x14ac:dyDescent="0.25">
      <c r="A10" s="169" t="s">
        <v>174</v>
      </c>
      <c r="B10">
        <v>14</v>
      </c>
      <c r="C10" s="169" t="s">
        <v>438</v>
      </c>
      <c r="D10">
        <v>435277760</v>
      </c>
      <c r="F10" s="169" t="s">
        <v>172</v>
      </c>
      <c r="H10" s="169" t="s">
        <v>172</v>
      </c>
      <c r="I10" s="169" t="s">
        <v>172</v>
      </c>
      <c r="K10">
        <v>31</v>
      </c>
      <c r="L10">
        <v>21</v>
      </c>
      <c r="M10">
        <v>110200</v>
      </c>
      <c r="N10">
        <v>20340</v>
      </c>
      <c r="O10">
        <v>21</v>
      </c>
      <c r="P10">
        <v>11</v>
      </c>
      <c r="Q10">
        <v>2</v>
      </c>
      <c r="R10">
        <v>13</v>
      </c>
      <c r="S10">
        <v>7</v>
      </c>
      <c r="T10">
        <v>6</v>
      </c>
      <c r="U10" s="168">
        <v>44772</v>
      </c>
      <c r="V10">
        <v>7.5</v>
      </c>
      <c r="W10" s="169" t="s">
        <v>146</v>
      </c>
      <c r="X10">
        <v>1</v>
      </c>
      <c r="Y10">
        <v>1</v>
      </c>
      <c r="AC10" s="172" t="s">
        <v>347</v>
      </c>
      <c r="AD10" s="169">
        <v>1</v>
      </c>
      <c r="AE10" s="173">
        <v>26</v>
      </c>
      <c r="AF10" s="173">
        <v>102</v>
      </c>
      <c r="AG10" s="173">
        <v>388480</v>
      </c>
      <c r="AH10" s="173">
        <v>21350</v>
      </c>
      <c r="AI10" s="173">
        <v>8</v>
      </c>
      <c r="AJ10" s="173">
        <v>6</v>
      </c>
      <c r="AK10" s="173">
        <v>7</v>
      </c>
    </row>
    <row r="11" spans="1:37" x14ac:dyDescent="0.25">
      <c r="A11" s="169" t="s">
        <v>174</v>
      </c>
      <c r="B11">
        <v>2</v>
      </c>
      <c r="C11" s="169" t="s">
        <v>427</v>
      </c>
      <c r="D11">
        <v>442533611</v>
      </c>
      <c r="F11" s="169" t="s">
        <v>172</v>
      </c>
      <c r="H11" s="169" t="s">
        <v>172</v>
      </c>
      <c r="I11" s="169" t="s">
        <v>172</v>
      </c>
      <c r="K11">
        <v>29</v>
      </c>
      <c r="L11">
        <v>14</v>
      </c>
      <c r="M11">
        <v>97110</v>
      </c>
      <c r="N11">
        <v>21470</v>
      </c>
      <c r="O11">
        <v>23</v>
      </c>
      <c r="P11">
        <v>8</v>
      </c>
      <c r="Q11">
        <v>5</v>
      </c>
      <c r="R11">
        <v>14</v>
      </c>
      <c r="S11">
        <v>7</v>
      </c>
      <c r="T11">
        <v>7</v>
      </c>
      <c r="U11" s="168">
        <v>44772</v>
      </c>
      <c r="V11">
        <v>8.5</v>
      </c>
      <c r="W11" s="169" t="s">
        <v>177</v>
      </c>
      <c r="X11">
        <v>1</v>
      </c>
      <c r="Y11">
        <v>1</v>
      </c>
      <c r="AC11" s="172" t="s">
        <v>229</v>
      </c>
      <c r="AD11" s="169">
        <v>17</v>
      </c>
      <c r="AE11" s="173">
        <v>30.352941176470587</v>
      </c>
      <c r="AF11" s="173">
        <v>47.882352941176471</v>
      </c>
      <c r="AG11" s="173">
        <v>2603370</v>
      </c>
      <c r="AH11" s="173">
        <v>343224</v>
      </c>
      <c r="AI11" s="173">
        <v>6.4117647058823533</v>
      </c>
      <c r="AJ11" s="173">
        <v>9.117647058823529</v>
      </c>
      <c r="AK11" s="173">
        <v>6.2941176470588234</v>
      </c>
    </row>
    <row r="12" spans="1:37" x14ac:dyDescent="0.25">
      <c r="A12" s="169" t="s">
        <v>174</v>
      </c>
      <c r="B12">
        <v>4</v>
      </c>
      <c r="C12" s="169" t="s">
        <v>429</v>
      </c>
      <c r="D12">
        <v>435346337</v>
      </c>
      <c r="F12" s="169" t="s">
        <v>171</v>
      </c>
      <c r="H12" s="169" t="s">
        <v>172</v>
      </c>
      <c r="I12" s="169" t="s">
        <v>172</v>
      </c>
      <c r="K12">
        <v>31</v>
      </c>
      <c r="L12">
        <v>29</v>
      </c>
      <c r="M12">
        <v>76330</v>
      </c>
      <c r="N12">
        <v>18060</v>
      </c>
      <c r="O12">
        <v>21</v>
      </c>
      <c r="P12">
        <v>9</v>
      </c>
      <c r="Q12">
        <v>4</v>
      </c>
      <c r="R12">
        <v>13</v>
      </c>
      <c r="S12">
        <v>4</v>
      </c>
      <c r="T12">
        <v>6</v>
      </c>
      <c r="U12" s="168">
        <v>44769</v>
      </c>
      <c r="V12">
        <v>5.5</v>
      </c>
      <c r="W12" s="169" t="s">
        <v>181</v>
      </c>
      <c r="X12">
        <v>1</v>
      </c>
      <c r="Y12">
        <v>1</v>
      </c>
    </row>
    <row r="13" spans="1:37" x14ac:dyDescent="0.25">
      <c r="A13" s="169" t="s">
        <v>186</v>
      </c>
      <c r="B13">
        <v>8</v>
      </c>
      <c r="C13" s="169" t="s">
        <v>433</v>
      </c>
      <c r="D13">
        <v>432101324</v>
      </c>
      <c r="F13" s="169" t="s">
        <v>176</v>
      </c>
      <c r="H13" s="169" t="s">
        <v>172</v>
      </c>
      <c r="I13" s="169" t="s">
        <v>172</v>
      </c>
      <c r="K13">
        <v>32</v>
      </c>
      <c r="L13">
        <v>38</v>
      </c>
      <c r="M13">
        <v>71160</v>
      </c>
      <c r="N13">
        <v>16740</v>
      </c>
      <c r="O13">
        <v>43</v>
      </c>
      <c r="P13">
        <v>11</v>
      </c>
      <c r="Q13">
        <v>3</v>
      </c>
      <c r="R13">
        <v>19</v>
      </c>
      <c r="S13">
        <v>6</v>
      </c>
      <c r="T13">
        <v>6</v>
      </c>
      <c r="U13" s="168">
        <v>44772</v>
      </c>
      <c r="V13">
        <v>8.5</v>
      </c>
      <c r="W13" s="169" t="s">
        <v>147</v>
      </c>
      <c r="X13">
        <v>1</v>
      </c>
      <c r="Y13">
        <v>1</v>
      </c>
    </row>
    <row r="14" spans="1:37" x14ac:dyDescent="0.25">
      <c r="A14" s="169" t="s">
        <v>174</v>
      </c>
      <c r="B14">
        <v>15</v>
      </c>
      <c r="C14" s="169" t="s">
        <v>439</v>
      </c>
      <c r="D14">
        <v>429023091</v>
      </c>
      <c r="F14" s="169" t="s">
        <v>183</v>
      </c>
      <c r="H14" s="169" t="s">
        <v>172</v>
      </c>
      <c r="I14" s="169" t="s">
        <v>172</v>
      </c>
      <c r="K14">
        <v>33</v>
      </c>
      <c r="L14">
        <v>46</v>
      </c>
      <c r="M14">
        <v>49630</v>
      </c>
      <c r="N14">
        <v>14700</v>
      </c>
      <c r="O14">
        <v>52</v>
      </c>
      <c r="P14">
        <v>13</v>
      </c>
      <c r="Q14">
        <v>4</v>
      </c>
      <c r="R14">
        <v>20</v>
      </c>
      <c r="S14">
        <v>6</v>
      </c>
      <c r="T14">
        <v>6</v>
      </c>
      <c r="U14" s="168">
        <v>44772</v>
      </c>
      <c r="V14">
        <v>9.5</v>
      </c>
      <c r="W14" s="169" t="s">
        <v>147</v>
      </c>
      <c r="X14">
        <v>1</v>
      </c>
      <c r="Y14">
        <v>1</v>
      </c>
    </row>
    <row r="15" spans="1:37" x14ac:dyDescent="0.25">
      <c r="A15" s="169" t="s">
        <v>210</v>
      </c>
      <c r="B15">
        <v>12</v>
      </c>
      <c r="C15" s="169" t="s">
        <v>437</v>
      </c>
      <c r="D15">
        <v>433112817</v>
      </c>
      <c r="F15" s="169" t="s">
        <v>172</v>
      </c>
      <c r="H15" s="169" t="s">
        <v>172</v>
      </c>
      <c r="I15" s="169" t="s">
        <v>172</v>
      </c>
      <c r="K15">
        <v>32</v>
      </c>
      <c r="L15">
        <v>26</v>
      </c>
      <c r="M15">
        <v>40660</v>
      </c>
      <c r="N15">
        <v>13752</v>
      </c>
      <c r="O15">
        <v>54</v>
      </c>
      <c r="P15">
        <v>10</v>
      </c>
      <c r="Q15">
        <v>4</v>
      </c>
      <c r="R15">
        <v>20</v>
      </c>
      <c r="S15">
        <v>7</v>
      </c>
      <c r="T15">
        <v>6</v>
      </c>
      <c r="U15" s="168">
        <v>44772</v>
      </c>
      <c r="V15">
        <v>8.5</v>
      </c>
      <c r="W15" s="169" t="s">
        <v>207</v>
      </c>
      <c r="X15">
        <v>1</v>
      </c>
      <c r="Y15">
        <v>1</v>
      </c>
    </row>
    <row r="16" spans="1:37" x14ac:dyDescent="0.25">
      <c r="A16" s="169" t="s">
        <v>174</v>
      </c>
      <c r="B16">
        <v>1</v>
      </c>
      <c r="C16" s="169" t="s">
        <v>426</v>
      </c>
      <c r="D16">
        <v>428354751</v>
      </c>
      <c r="F16" s="169" t="s">
        <v>172</v>
      </c>
      <c r="H16" s="169" t="s">
        <v>172</v>
      </c>
      <c r="I16" s="169" t="s">
        <v>172</v>
      </c>
      <c r="K16">
        <v>33</v>
      </c>
      <c r="L16">
        <v>94</v>
      </c>
      <c r="M16">
        <v>38400</v>
      </c>
      <c r="N16">
        <v>9620</v>
      </c>
      <c r="O16">
        <v>182</v>
      </c>
      <c r="P16">
        <v>14</v>
      </c>
      <c r="Q16">
        <v>3</v>
      </c>
      <c r="R16">
        <v>20</v>
      </c>
      <c r="S16">
        <v>8</v>
      </c>
      <c r="T16">
        <v>6</v>
      </c>
      <c r="U16" s="168">
        <v>44772</v>
      </c>
      <c r="V16">
        <v>8</v>
      </c>
      <c r="W16" s="169" t="s">
        <v>173</v>
      </c>
      <c r="X16">
        <v>1</v>
      </c>
      <c r="Y16">
        <v>1</v>
      </c>
    </row>
    <row r="17" spans="1:25" x14ac:dyDescent="0.25">
      <c r="A17" s="169" t="s">
        <v>190</v>
      </c>
      <c r="B17">
        <v>16</v>
      </c>
      <c r="C17" s="169" t="s">
        <v>440</v>
      </c>
      <c r="D17">
        <v>428365466</v>
      </c>
      <c r="F17" s="169" t="s">
        <v>172</v>
      </c>
      <c r="H17" s="169" t="s">
        <v>172</v>
      </c>
      <c r="I17" s="169" t="s">
        <v>172</v>
      </c>
      <c r="K17">
        <v>33</v>
      </c>
      <c r="L17">
        <v>84</v>
      </c>
      <c r="M17">
        <v>36850</v>
      </c>
      <c r="N17">
        <v>8760</v>
      </c>
      <c r="O17">
        <v>68</v>
      </c>
      <c r="P17">
        <v>9</v>
      </c>
      <c r="Q17">
        <v>4</v>
      </c>
      <c r="R17">
        <v>20</v>
      </c>
      <c r="S17">
        <v>6</v>
      </c>
      <c r="T17">
        <v>5</v>
      </c>
      <c r="U17" s="168">
        <v>44772</v>
      </c>
      <c r="V17">
        <v>9</v>
      </c>
      <c r="W17" s="169" t="s">
        <v>181</v>
      </c>
      <c r="X17">
        <v>1</v>
      </c>
      <c r="Y17">
        <v>1</v>
      </c>
    </row>
    <row r="18" spans="1:25" x14ac:dyDescent="0.25">
      <c r="A18" s="169" t="s">
        <v>186</v>
      </c>
      <c r="B18">
        <v>3</v>
      </c>
      <c r="C18" s="169" t="s">
        <v>428</v>
      </c>
      <c r="D18">
        <v>429737286</v>
      </c>
      <c r="F18" s="169" t="s">
        <v>172</v>
      </c>
      <c r="H18" s="169" t="s">
        <v>172</v>
      </c>
      <c r="I18" s="169" t="s">
        <v>172</v>
      </c>
      <c r="K18">
        <v>33</v>
      </c>
      <c r="L18">
        <v>105</v>
      </c>
      <c r="M18">
        <v>17880</v>
      </c>
      <c r="N18">
        <v>7416</v>
      </c>
      <c r="O18">
        <v>110</v>
      </c>
      <c r="P18">
        <v>9</v>
      </c>
      <c r="Q18">
        <v>6</v>
      </c>
      <c r="R18">
        <v>20</v>
      </c>
      <c r="S18">
        <v>5</v>
      </c>
      <c r="T18">
        <v>6</v>
      </c>
      <c r="U18" s="168">
        <v>44772</v>
      </c>
      <c r="V18">
        <v>7</v>
      </c>
      <c r="W18" s="169" t="s">
        <v>207</v>
      </c>
      <c r="X18">
        <v>1</v>
      </c>
      <c r="Y18">
        <v>1</v>
      </c>
    </row>
    <row r="19" spans="1:25" x14ac:dyDescent="0.25">
      <c r="A19" s="169" t="s">
        <v>443</v>
      </c>
      <c r="C19" s="169" t="s">
        <v>444</v>
      </c>
      <c r="D19">
        <v>369277515</v>
      </c>
      <c r="E19">
        <v>1</v>
      </c>
      <c r="F19" s="169" t="s">
        <v>172</v>
      </c>
      <c r="H19" s="169" t="s">
        <v>172</v>
      </c>
      <c r="I19" s="169" t="s">
        <v>172</v>
      </c>
      <c r="K19">
        <v>50</v>
      </c>
      <c r="L19">
        <v>35</v>
      </c>
      <c r="M19">
        <v>0</v>
      </c>
      <c r="N19">
        <v>300</v>
      </c>
      <c r="O19">
        <v>245</v>
      </c>
      <c r="P19">
        <v>12</v>
      </c>
      <c r="Q19">
        <v>6</v>
      </c>
      <c r="R19">
        <v>20</v>
      </c>
      <c r="S19">
        <v>2</v>
      </c>
      <c r="T19">
        <v>1</v>
      </c>
      <c r="U19" s="168">
        <v>44174</v>
      </c>
      <c r="V19">
        <v>5</v>
      </c>
      <c r="W19" s="169" t="s">
        <v>173</v>
      </c>
      <c r="X19">
        <v>0</v>
      </c>
      <c r="Y19">
        <v>1</v>
      </c>
    </row>
    <row r="20" spans="1:25" x14ac:dyDescent="0.25">
      <c r="A20" s="169" t="s">
        <v>268</v>
      </c>
      <c r="C20" s="169" t="s">
        <v>445</v>
      </c>
      <c r="D20">
        <v>350683009</v>
      </c>
      <c r="E20">
        <v>1</v>
      </c>
      <c r="F20" s="169" t="s">
        <v>172</v>
      </c>
      <c r="H20" s="169" t="s">
        <v>172</v>
      </c>
      <c r="I20" s="169" t="s">
        <v>172</v>
      </c>
      <c r="K20">
        <v>52</v>
      </c>
      <c r="L20">
        <v>32</v>
      </c>
      <c r="M20">
        <v>0</v>
      </c>
      <c r="N20">
        <v>300</v>
      </c>
      <c r="O20">
        <v>210</v>
      </c>
      <c r="P20">
        <v>13</v>
      </c>
      <c r="Q20">
        <v>3</v>
      </c>
      <c r="R20">
        <v>20</v>
      </c>
      <c r="S20">
        <v>6</v>
      </c>
      <c r="T20">
        <v>2</v>
      </c>
      <c r="U20" s="168">
        <v>44765</v>
      </c>
      <c r="V20">
        <v>5</v>
      </c>
      <c r="W20" s="169" t="s">
        <v>148</v>
      </c>
      <c r="X20">
        <v>0</v>
      </c>
      <c r="Y20">
        <v>1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354C-2065-4499-812B-31AB988AD333}">
  <sheetPr>
    <tabColor theme="9" tint="0.79998168889431442"/>
  </sheetPr>
  <dimension ref="A1:AS74"/>
  <sheetViews>
    <sheetView zoomScale="80" zoomScaleNormal="80" workbookViewId="0"/>
  </sheetViews>
  <sheetFormatPr baseColWidth="10" defaultRowHeight="15" x14ac:dyDescent="0.25"/>
  <cols>
    <col min="1" max="1" width="12" customWidth="1"/>
    <col min="2" max="2" width="5.28515625" customWidth="1"/>
    <col min="3" max="3" width="21.85546875" bestFit="1" customWidth="1"/>
    <col min="4" max="4" width="15.5703125" bestFit="1" customWidth="1"/>
    <col min="5" max="5" width="6.28515625" customWidth="1"/>
    <col min="6" max="6" width="9.85546875" customWidth="1"/>
    <col min="7" max="10" width="6.28515625" customWidth="1"/>
    <col min="11" max="11" width="7.5703125" bestFit="1" customWidth="1"/>
    <col min="12" max="12" width="7" bestFit="1" customWidth="1"/>
    <col min="13" max="13" width="7.7109375" bestFit="1" customWidth="1"/>
    <col min="14" max="14" width="9.28515625" bestFit="1" customWidth="1"/>
    <col min="15" max="15" width="20.28515625" bestFit="1" customWidth="1"/>
    <col min="16" max="20" width="9.140625" customWidth="1"/>
    <col min="21" max="21" width="21.7109375" bestFit="1" customWidth="1"/>
    <col min="22" max="22" width="9.140625" customWidth="1"/>
    <col min="23" max="23" width="28.140625" bestFit="1" customWidth="1"/>
    <col min="29" max="29" width="18.42578125" bestFit="1" customWidth="1"/>
    <col min="30" max="30" width="17.85546875" bestFit="1" customWidth="1"/>
    <col min="31" max="31" width="17.28515625" bestFit="1" customWidth="1"/>
    <col min="32" max="32" width="16.7109375" bestFit="1" customWidth="1"/>
    <col min="33" max="33" width="12.140625" bestFit="1" customWidth="1"/>
    <col min="34" max="34" width="15.5703125" bestFit="1" customWidth="1"/>
    <col min="35" max="35" width="18.7109375" bestFit="1" customWidth="1"/>
    <col min="36" max="36" width="23.42578125" bestFit="1" customWidth="1"/>
    <col min="37" max="37" width="23.140625" bestFit="1" customWidth="1"/>
    <col min="40" max="40" width="24.7109375" bestFit="1" customWidth="1"/>
    <col min="41" max="41" width="15" bestFit="1" customWidth="1"/>
    <col min="42" max="42" width="23.140625" bestFit="1" customWidth="1"/>
    <col min="43" max="43" width="12.140625" bestFit="1" customWidth="1"/>
    <col min="44" max="44" width="15.140625" bestFit="1" customWidth="1"/>
    <col min="45" max="45" width="12.140625" bestFit="1" customWidth="1"/>
    <col min="46" max="46" width="12.85546875" bestFit="1" customWidth="1"/>
    <col min="47" max="47" width="23.140625" bestFit="1" customWidth="1"/>
  </cols>
  <sheetData>
    <row r="1" spans="1:45" x14ac:dyDescent="0.25">
      <c r="A1" t="s">
        <v>149</v>
      </c>
      <c r="B1" t="s">
        <v>150</v>
      </c>
      <c r="C1" t="s">
        <v>151</v>
      </c>
      <c r="D1" t="s">
        <v>152</v>
      </c>
      <c r="E1" t="s">
        <v>133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145</v>
      </c>
      <c r="L1" t="s">
        <v>158</v>
      </c>
      <c r="M1" t="s">
        <v>129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224</v>
      </c>
      <c r="Y1" t="s">
        <v>225</v>
      </c>
      <c r="Z1" t="s">
        <v>240</v>
      </c>
      <c r="AC1" s="171" t="s">
        <v>225</v>
      </c>
      <c r="AD1" s="172">
        <v>2</v>
      </c>
    </row>
    <row r="2" spans="1:45" x14ac:dyDescent="0.25">
      <c r="A2" s="169" t="s">
        <v>174</v>
      </c>
      <c r="B2">
        <v>33</v>
      </c>
      <c r="C2" s="169" t="s">
        <v>409</v>
      </c>
      <c r="D2">
        <v>458489979</v>
      </c>
      <c r="F2" s="169" t="s">
        <v>172</v>
      </c>
      <c r="G2">
        <v>1</v>
      </c>
      <c r="H2" s="169" t="s">
        <v>172</v>
      </c>
      <c r="J2" s="169" t="s">
        <v>172</v>
      </c>
      <c r="K2">
        <v>23</v>
      </c>
      <c r="L2">
        <v>57</v>
      </c>
      <c r="M2">
        <v>200</v>
      </c>
      <c r="N2">
        <v>250</v>
      </c>
      <c r="O2">
        <v>76</v>
      </c>
      <c r="P2">
        <v>2</v>
      </c>
      <c r="Q2">
        <v>5</v>
      </c>
      <c r="R2">
        <v>20</v>
      </c>
      <c r="S2">
        <v>5</v>
      </c>
      <c r="T2">
        <v>8</v>
      </c>
      <c r="U2" s="168">
        <v>44653</v>
      </c>
      <c r="V2">
        <v>25</v>
      </c>
      <c r="W2" s="169" t="s">
        <v>147</v>
      </c>
      <c r="X2">
        <v>0</v>
      </c>
      <c r="Y2">
        <v>2</v>
      </c>
      <c r="AC2" s="171" t="s">
        <v>224</v>
      </c>
      <c r="AD2" s="172">
        <v>1</v>
      </c>
      <c r="AN2" s="171" t="s">
        <v>224</v>
      </c>
      <c r="AO2" s="172">
        <v>1</v>
      </c>
    </row>
    <row r="3" spans="1:45" x14ac:dyDescent="0.25">
      <c r="A3" s="169" t="s">
        <v>174</v>
      </c>
      <c r="B3">
        <v>33</v>
      </c>
      <c r="C3" s="169" t="s">
        <v>409</v>
      </c>
      <c r="D3">
        <v>458489979</v>
      </c>
      <c r="F3" s="169" t="s">
        <v>172</v>
      </c>
      <c r="G3">
        <v>1</v>
      </c>
      <c r="H3" s="169" t="s">
        <v>172</v>
      </c>
      <c r="K3">
        <v>23</v>
      </c>
      <c r="L3">
        <v>53</v>
      </c>
      <c r="M3">
        <v>210</v>
      </c>
      <c r="N3">
        <v>250</v>
      </c>
      <c r="O3">
        <v>76</v>
      </c>
      <c r="P3">
        <v>2</v>
      </c>
      <c r="Q3">
        <v>5</v>
      </c>
      <c r="R3">
        <v>20</v>
      </c>
      <c r="S3">
        <v>5</v>
      </c>
      <c r="T3">
        <v>8</v>
      </c>
      <c r="U3" s="168">
        <v>44653</v>
      </c>
      <c r="V3">
        <v>2.5</v>
      </c>
      <c r="W3" s="169" t="s">
        <v>147</v>
      </c>
      <c r="X3">
        <v>0</v>
      </c>
      <c r="Y3">
        <v>1</v>
      </c>
    </row>
    <row r="4" spans="1:45" x14ac:dyDescent="0.25">
      <c r="A4" s="169" t="s">
        <v>391</v>
      </c>
      <c r="B4">
        <v>8</v>
      </c>
      <c r="C4" s="169" t="s">
        <v>392</v>
      </c>
      <c r="D4">
        <v>435478159</v>
      </c>
      <c r="F4" s="169" t="s">
        <v>180</v>
      </c>
      <c r="H4" s="169" t="s">
        <v>172</v>
      </c>
      <c r="K4">
        <v>31</v>
      </c>
      <c r="L4">
        <v>7</v>
      </c>
      <c r="M4">
        <v>157410</v>
      </c>
      <c r="N4">
        <v>35172</v>
      </c>
      <c r="O4">
        <v>18</v>
      </c>
      <c r="P4">
        <v>13</v>
      </c>
      <c r="Q4">
        <v>1</v>
      </c>
      <c r="R4">
        <v>12</v>
      </c>
      <c r="S4">
        <v>6</v>
      </c>
      <c r="T4">
        <v>8</v>
      </c>
      <c r="U4" s="168">
        <v>44772</v>
      </c>
      <c r="V4">
        <v>9</v>
      </c>
      <c r="W4" s="169" t="s">
        <v>207</v>
      </c>
      <c r="X4">
        <v>1</v>
      </c>
      <c r="Y4">
        <v>1</v>
      </c>
      <c r="Z4" t="s">
        <v>465</v>
      </c>
      <c r="AC4" s="171" t="s">
        <v>228</v>
      </c>
      <c r="AD4" t="s">
        <v>233</v>
      </c>
      <c r="AE4" t="s">
        <v>234</v>
      </c>
      <c r="AF4" t="s">
        <v>235</v>
      </c>
      <c r="AG4" t="s">
        <v>226</v>
      </c>
      <c r="AH4" t="s">
        <v>227</v>
      </c>
      <c r="AI4" t="s">
        <v>230</v>
      </c>
      <c r="AJ4" t="s">
        <v>231</v>
      </c>
      <c r="AK4" t="s">
        <v>232</v>
      </c>
      <c r="AN4" s="183"/>
      <c r="AP4" s="171" t="s">
        <v>239</v>
      </c>
    </row>
    <row r="5" spans="1:45" x14ac:dyDescent="0.25">
      <c r="A5" s="169" t="s">
        <v>391</v>
      </c>
      <c r="B5">
        <v>8</v>
      </c>
      <c r="C5" s="169" t="s">
        <v>392</v>
      </c>
      <c r="D5">
        <v>435478159</v>
      </c>
      <c r="F5" s="169" t="s">
        <v>180</v>
      </c>
      <c r="H5" s="169" t="s">
        <v>172</v>
      </c>
      <c r="J5" s="169" t="s">
        <v>172</v>
      </c>
      <c r="K5">
        <v>31</v>
      </c>
      <c r="L5">
        <v>11</v>
      </c>
      <c r="M5">
        <v>170060</v>
      </c>
      <c r="N5">
        <v>35172</v>
      </c>
      <c r="O5">
        <v>18</v>
      </c>
      <c r="P5">
        <v>13</v>
      </c>
      <c r="Q5">
        <v>1</v>
      </c>
      <c r="R5">
        <v>12</v>
      </c>
      <c r="S5">
        <v>6</v>
      </c>
      <c r="T5">
        <v>8</v>
      </c>
      <c r="U5" s="168">
        <v>44776</v>
      </c>
      <c r="V5">
        <v>8</v>
      </c>
      <c r="W5" s="169" t="s">
        <v>181</v>
      </c>
      <c r="X5">
        <v>1</v>
      </c>
      <c r="Y5">
        <v>2</v>
      </c>
      <c r="Z5" t="s">
        <v>465</v>
      </c>
      <c r="AC5" s="172"/>
      <c r="AD5" s="169">
        <v>1</v>
      </c>
      <c r="AE5" s="173">
        <v>31</v>
      </c>
      <c r="AF5" s="173">
        <v>70</v>
      </c>
      <c r="AG5" s="173">
        <v>56750</v>
      </c>
      <c r="AH5" s="173">
        <v>31128</v>
      </c>
      <c r="AI5" s="173">
        <v>5</v>
      </c>
      <c r="AJ5" s="173">
        <v>11</v>
      </c>
      <c r="AK5" s="173">
        <v>7</v>
      </c>
      <c r="AP5">
        <v>1</v>
      </c>
      <c r="AR5">
        <v>2</v>
      </c>
    </row>
    <row r="6" spans="1:45" x14ac:dyDescent="0.25">
      <c r="A6" s="169" t="s">
        <v>174</v>
      </c>
      <c r="B6">
        <v>13</v>
      </c>
      <c r="C6" s="169" t="s">
        <v>398</v>
      </c>
      <c r="D6">
        <v>440189964</v>
      </c>
      <c r="F6" s="169" t="s">
        <v>172</v>
      </c>
      <c r="G6">
        <v>1</v>
      </c>
      <c r="H6" s="169" t="s">
        <v>172</v>
      </c>
      <c r="J6" s="169" t="s">
        <v>172</v>
      </c>
      <c r="K6">
        <v>29</v>
      </c>
      <c r="L6">
        <v>6</v>
      </c>
      <c r="M6">
        <v>60</v>
      </c>
      <c r="N6">
        <v>660</v>
      </c>
      <c r="O6">
        <v>192</v>
      </c>
      <c r="P6">
        <v>5</v>
      </c>
      <c r="Q6">
        <v>3</v>
      </c>
      <c r="R6">
        <v>20</v>
      </c>
      <c r="S6">
        <v>2</v>
      </c>
      <c r="T6">
        <v>7</v>
      </c>
      <c r="U6" s="168">
        <v>44727</v>
      </c>
      <c r="V6">
        <v>15</v>
      </c>
      <c r="W6" s="169" t="s">
        <v>173</v>
      </c>
      <c r="X6">
        <v>0</v>
      </c>
      <c r="Y6">
        <v>2</v>
      </c>
      <c r="AC6" s="172" t="s">
        <v>183</v>
      </c>
      <c r="AD6" s="169">
        <v>2</v>
      </c>
      <c r="AE6" s="173">
        <v>30.5</v>
      </c>
      <c r="AF6" s="173">
        <v>49</v>
      </c>
      <c r="AG6" s="173">
        <v>551600</v>
      </c>
      <c r="AH6" s="173">
        <v>82152</v>
      </c>
      <c r="AI6" s="173">
        <v>7.5</v>
      </c>
      <c r="AJ6" s="173">
        <v>14</v>
      </c>
      <c r="AK6" s="173">
        <v>7.5</v>
      </c>
      <c r="AN6" s="171" t="s">
        <v>228</v>
      </c>
      <c r="AO6" s="171" t="s">
        <v>153</v>
      </c>
      <c r="AP6" t="s">
        <v>468</v>
      </c>
      <c r="AQ6" t="s">
        <v>226</v>
      </c>
      <c r="AR6" t="s">
        <v>468</v>
      </c>
      <c r="AS6" t="s">
        <v>226</v>
      </c>
    </row>
    <row r="7" spans="1:45" x14ac:dyDescent="0.25">
      <c r="A7" s="169" t="s">
        <v>174</v>
      </c>
      <c r="B7">
        <v>13</v>
      </c>
      <c r="C7" s="169" t="s">
        <v>398</v>
      </c>
      <c r="D7">
        <v>440189964</v>
      </c>
      <c r="F7" s="169" t="s">
        <v>172</v>
      </c>
      <c r="G7">
        <v>1</v>
      </c>
      <c r="H7" s="169" t="s">
        <v>172</v>
      </c>
      <c r="K7">
        <v>29</v>
      </c>
      <c r="L7">
        <v>2</v>
      </c>
      <c r="M7">
        <v>70</v>
      </c>
      <c r="N7">
        <v>660</v>
      </c>
      <c r="O7">
        <v>192</v>
      </c>
      <c r="P7">
        <v>5</v>
      </c>
      <c r="Q7">
        <v>3</v>
      </c>
      <c r="R7">
        <v>20</v>
      </c>
      <c r="S7">
        <v>3</v>
      </c>
      <c r="T7">
        <v>7</v>
      </c>
      <c r="U7" s="168">
        <v>44727</v>
      </c>
      <c r="V7">
        <v>1.5</v>
      </c>
      <c r="W7" s="169" t="s">
        <v>173</v>
      </c>
      <c r="X7">
        <v>0</v>
      </c>
      <c r="Y7">
        <v>1</v>
      </c>
      <c r="AC7" s="172" t="s">
        <v>171</v>
      </c>
      <c r="AD7" s="169">
        <v>6</v>
      </c>
      <c r="AE7" s="173">
        <v>31.333333333333332</v>
      </c>
      <c r="AF7" s="173">
        <v>54.5</v>
      </c>
      <c r="AG7" s="173">
        <v>1263790</v>
      </c>
      <c r="AH7" s="173">
        <v>269976</v>
      </c>
      <c r="AI7" s="173">
        <v>6</v>
      </c>
      <c r="AJ7" s="173">
        <v>14</v>
      </c>
      <c r="AK7" s="173">
        <v>7.333333333333333</v>
      </c>
      <c r="AN7" s="172" t="s">
        <v>173</v>
      </c>
      <c r="AP7" s="169"/>
      <c r="AQ7" s="169"/>
      <c r="AR7" s="169"/>
      <c r="AS7" s="169"/>
    </row>
    <row r="8" spans="1:45" x14ac:dyDescent="0.25">
      <c r="A8" s="169" t="s">
        <v>174</v>
      </c>
      <c r="C8" s="169" t="s">
        <v>411</v>
      </c>
      <c r="D8">
        <v>455234086</v>
      </c>
      <c r="F8" s="169" t="s">
        <v>180</v>
      </c>
      <c r="G8">
        <v>1</v>
      </c>
      <c r="H8" s="169" t="s">
        <v>172</v>
      </c>
      <c r="K8">
        <v>25</v>
      </c>
      <c r="L8">
        <v>4</v>
      </c>
      <c r="M8">
        <v>560</v>
      </c>
      <c r="N8">
        <v>350</v>
      </c>
      <c r="O8">
        <v>98</v>
      </c>
      <c r="P8">
        <v>2</v>
      </c>
      <c r="Q8">
        <v>4</v>
      </c>
      <c r="R8">
        <v>20</v>
      </c>
      <c r="S8">
        <v>2</v>
      </c>
      <c r="T8">
        <v>8</v>
      </c>
      <c r="U8" s="168">
        <v>44755</v>
      </c>
      <c r="V8">
        <v>3</v>
      </c>
      <c r="W8" s="169" t="s">
        <v>146</v>
      </c>
      <c r="X8">
        <v>0</v>
      </c>
      <c r="Y8">
        <v>1</v>
      </c>
      <c r="AC8" s="172" t="s">
        <v>176</v>
      </c>
      <c r="AD8" s="169">
        <v>4</v>
      </c>
      <c r="AE8" s="173">
        <v>30.5</v>
      </c>
      <c r="AF8" s="173">
        <v>68.25</v>
      </c>
      <c r="AG8" s="173">
        <v>692900</v>
      </c>
      <c r="AH8" s="173">
        <v>141360</v>
      </c>
      <c r="AI8" s="173">
        <v>5.75</v>
      </c>
      <c r="AJ8" s="173">
        <v>10</v>
      </c>
      <c r="AK8" s="173">
        <v>7.5</v>
      </c>
      <c r="AN8" s="182" t="s">
        <v>378</v>
      </c>
      <c r="AO8" s="172"/>
      <c r="AP8" s="169">
        <v>5</v>
      </c>
      <c r="AQ8" s="169">
        <v>52730</v>
      </c>
      <c r="AR8" s="169">
        <v>5</v>
      </c>
      <c r="AS8" s="169">
        <v>56750</v>
      </c>
    </row>
    <row r="9" spans="1:45" x14ac:dyDescent="0.25">
      <c r="A9" s="169" t="s">
        <v>174</v>
      </c>
      <c r="C9" s="169" t="s">
        <v>411</v>
      </c>
      <c r="D9">
        <v>455234086</v>
      </c>
      <c r="F9" s="169" t="s">
        <v>180</v>
      </c>
      <c r="G9">
        <v>1</v>
      </c>
      <c r="H9" s="169" t="s">
        <v>172</v>
      </c>
      <c r="J9" s="169" t="s">
        <v>172</v>
      </c>
      <c r="K9">
        <v>25</v>
      </c>
      <c r="L9">
        <v>8</v>
      </c>
      <c r="M9">
        <v>580</v>
      </c>
      <c r="N9">
        <v>350</v>
      </c>
      <c r="O9">
        <v>98</v>
      </c>
      <c r="P9">
        <v>2</v>
      </c>
      <c r="Q9">
        <v>4</v>
      </c>
      <c r="R9">
        <v>20</v>
      </c>
      <c r="S9">
        <v>2</v>
      </c>
      <c r="T9">
        <v>8</v>
      </c>
      <c r="U9" s="168">
        <v>44755</v>
      </c>
      <c r="V9">
        <v>3</v>
      </c>
      <c r="W9" s="169" t="s">
        <v>146</v>
      </c>
      <c r="X9">
        <v>0</v>
      </c>
      <c r="Y9">
        <v>2</v>
      </c>
      <c r="AC9" s="172" t="s">
        <v>180</v>
      </c>
      <c r="AD9" s="169">
        <v>2</v>
      </c>
      <c r="AE9" s="173">
        <v>31.5</v>
      </c>
      <c r="AF9" s="173">
        <v>41.5</v>
      </c>
      <c r="AG9" s="173">
        <v>250330</v>
      </c>
      <c r="AH9" s="173">
        <v>45624</v>
      </c>
      <c r="AI9" s="173">
        <v>6</v>
      </c>
      <c r="AJ9" s="173">
        <v>11.5</v>
      </c>
      <c r="AK9" s="173">
        <v>7.5</v>
      </c>
      <c r="AN9" s="172" t="s">
        <v>148</v>
      </c>
      <c r="AP9" s="169"/>
      <c r="AQ9" s="169"/>
      <c r="AR9" s="169"/>
      <c r="AS9" s="169"/>
    </row>
    <row r="10" spans="1:45" x14ac:dyDescent="0.25">
      <c r="A10" s="169" t="s">
        <v>199</v>
      </c>
      <c r="B10">
        <v>11</v>
      </c>
      <c r="C10" s="169" t="s">
        <v>396</v>
      </c>
      <c r="D10">
        <v>434457086</v>
      </c>
      <c r="F10" s="169" t="s">
        <v>171</v>
      </c>
      <c r="H10" s="169" t="s">
        <v>172</v>
      </c>
      <c r="J10" s="169" t="s">
        <v>172</v>
      </c>
      <c r="K10">
        <v>31</v>
      </c>
      <c r="L10">
        <v>66</v>
      </c>
      <c r="M10">
        <v>197460</v>
      </c>
      <c r="N10">
        <v>45528</v>
      </c>
      <c r="O10">
        <v>25</v>
      </c>
      <c r="P10">
        <v>9</v>
      </c>
      <c r="Q10">
        <v>7</v>
      </c>
      <c r="R10">
        <v>14</v>
      </c>
      <c r="S10">
        <v>5</v>
      </c>
      <c r="T10">
        <v>7</v>
      </c>
      <c r="U10" s="168">
        <v>44772</v>
      </c>
      <c r="V10">
        <v>95</v>
      </c>
      <c r="W10" s="169" t="s">
        <v>148</v>
      </c>
      <c r="X10">
        <v>1</v>
      </c>
      <c r="Y10">
        <v>2</v>
      </c>
      <c r="Z10" t="s">
        <v>467</v>
      </c>
      <c r="AC10" s="172" t="s">
        <v>229</v>
      </c>
      <c r="AD10" s="169">
        <v>15</v>
      </c>
      <c r="AE10" s="173">
        <v>31</v>
      </c>
      <c r="AF10" s="173">
        <v>56.733333333333334</v>
      </c>
      <c r="AG10" s="173">
        <v>2815370</v>
      </c>
      <c r="AH10" s="173">
        <v>570240</v>
      </c>
      <c r="AI10" s="173">
        <v>6.0666666666666664</v>
      </c>
      <c r="AJ10" s="173">
        <v>12.4</v>
      </c>
      <c r="AK10" s="173">
        <v>7.4</v>
      </c>
      <c r="AN10" s="182" t="s">
        <v>404</v>
      </c>
      <c r="AO10" s="172" t="s">
        <v>180</v>
      </c>
      <c r="AP10" s="169">
        <v>5</v>
      </c>
      <c r="AQ10" s="169">
        <v>76000</v>
      </c>
      <c r="AR10" s="169">
        <v>6</v>
      </c>
      <c r="AS10" s="169">
        <v>80270</v>
      </c>
    </row>
    <row r="11" spans="1:45" x14ac:dyDescent="0.25">
      <c r="A11" s="169" t="s">
        <v>199</v>
      </c>
      <c r="B11">
        <v>11</v>
      </c>
      <c r="C11" s="169" t="s">
        <v>396</v>
      </c>
      <c r="D11">
        <v>434457086</v>
      </c>
      <c r="F11" s="169" t="s">
        <v>171</v>
      </c>
      <c r="H11" s="169" t="s">
        <v>172</v>
      </c>
      <c r="K11">
        <v>31</v>
      </c>
      <c r="L11">
        <v>62</v>
      </c>
      <c r="M11">
        <v>208980</v>
      </c>
      <c r="N11">
        <v>45528</v>
      </c>
      <c r="O11">
        <v>24</v>
      </c>
      <c r="P11">
        <v>9</v>
      </c>
      <c r="Q11">
        <v>7</v>
      </c>
      <c r="R11">
        <v>14</v>
      </c>
      <c r="S11">
        <v>5</v>
      </c>
      <c r="T11">
        <v>7</v>
      </c>
      <c r="U11" s="168">
        <v>44772</v>
      </c>
      <c r="V11">
        <v>9.5</v>
      </c>
      <c r="W11" s="169" t="s">
        <v>148</v>
      </c>
      <c r="X11">
        <v>1</v>
      </c>
      <c r="Y11">
        <v>1</v>
      </c>
      <c r="Z11" t="s">
        <v>467</v>
      </c>
      <c r="AN11" s="172" t="s">
        <v>467</v>
      </c>
      <c r="AP11" s="169"/>
      <c r="AQ11" s="169"/>
      <c r="AR11" s="169"/>
      <c r="AS11" s="169"/>
    </row>
    <row r="12" spans="1:45" x14ac:dyDescent="0.25">
      <c r="A12" s="169" t="s">
        <v>174</v>
      </c>
      <c r="C12" s="169" t="s">
        <v>412</v>
      </c>
      <c r="D12">
        <v>468952531</v>
      </c>
      <c r="F12" s="169" t="s">
        <v>172</v>
      </c>
      <c r="G12">
        <v>1</v>
      </c>
      <c r="H12" s="169" t="s">
        <v>172</v>
      </c>
      <c r="K12">
        <v>17</v>
      </c>
      <c r="L12">
        <v>106</v>
      </c>
      <c r="M12">
        <v>720</v>
      </c>
      <c r="N12">
        <v>310</v>
      </c>
      <c r="O12">
        <v>14</v>
      </c>
      <c r="P12">
        <v>1</v>
      </c>
      <c r="Q12">
        <v>3</v>
      </c>
      <c r="R12">
        <v>20</v>
      </c>
      <c r="S12">
        <v>6</v>
      </c>
      <c r="T12">
        <v>7</v>
      </c>
      <c r="U12" s="168">
        <v>44758</v>
      </c>
      <c r="V12">
        <v>3</v>
      </c>
      <c r="W12" s="169" t="s">
        <v>146</v>
      </c>
      <c r="X12">
        <v>0</v>
      </c>
      <c r="Y12">
        <v>1</v>
      </c>
      <c r="AN12" s="182" t="s">
        <v>396</v>
      </c>
      <c r="AO12" s="172" t="s">
        <v>171</v>
      </c>
      <c r="AP12" s="169">
        <v>5</v>
      </c>
      <c r="AQ12" s="169">
        <v>208980</v>
      </c>
      <c r="AR12" s="169">
        <v>5</v>
      </c>
      <c r="AS12" s="169">
        <v>197460</v>
      </c>
    </row>
    <row r="13" spans="1:45" x14ac:dyDescent="0.25">
      <c r="A13" s="169" t="s">
        <v>174</v>
      </c>
      <c r="C13" s="169" t="s">
        <v>412</v>
      </c>
      <c r="D13">
        <v>468952531</v>
      </c>
      <c r="F13" s="169" t="s">
        <v>172</v>
      </c>
      <c r="G13">
        <v>1</v>
      </c>
      <c r="H13" s="169" t="s">
        <v>172</v>
      </c>
      <c r="J13" s="169" t="s">
        <v>172</v>
      </c>
      <c r="K13">
        <v>17</v>
      </c>
      <c r="L13">
        <v>110</v>
      </c>
      <c r="M13">
        <v>740</v>
      </c>
      <c r="N13">
        <v>310</v>
      </c>
      <c r="O13">
        <v>14</v>
      </c>
      <c r="P13">
        <v>1</v>
      </c>
      <c r="Q13">
        <v>3</v>
      </c>
      <c r="R13">
        <v>20</v>
      </c>
      <c r="S13">
        <v>7</v>
      </c>
      <c r="T13">
        <v>7</v>
      </c>
      <c r="U13" s="168">
        <v>44758</v>
      </c>
      <c r="V13">
        <v>3</v>
      </c>
      <c r="W13" s="169" t="s">
        <v>146</v>
      </c>
      <c r="X13">
        <v>0</v>
      </c>
      <c r="Y13">
        <v>2</v>
      </c>
      <c r="AN13" s="172" t="s">
        <v>466</v>
      </c>
      <c r="AP13" s="169"/>
      <c r="AQ13" s="169"/>
      <c r="AR13" s="169"/>
      <c r="AS13" s="169"/>
    </row>
    <row r="14" spans="1:45" x14ac:dyDescent="0.25">
      <c r="A14" s="169" t="s">
        <v>174</v>
      </c>
      <c r="C14" s="169" t="s">
        <v>413</v>
      </c>
      <c r="D14">
        <v>469295839</v>
      </c>
      <c r="F14" s="169" t="s">
        <v>172</v>
      </c>
      <c r="G14">
        <v>1</v>
      </c>
      <c r="H14" s="169" t="s">
        <v>172</v>
      </c>
      <c r="J14" s="169" t="s">
        <v>172</v>
      </c>
      <c r="K14">
        <v>18</v>
      </c>
      <c r="L14">
        <v>29</v>
      </c>
      <c r="M14">
        <v>1460</v>
      </c>
      <c r="N14">
        <v>310</v>
      </c>
      <c r="O14">
        <v>11</v>
      </c>
      <c r="P14">
        <v>2</v>
      </c>
      <c r="Q14">
        <v>3</v>
      </c>
      <c r="R14">
        <v>20</v>
      </c>
      <c r="S14">
        <v>5</v>
      </c>
      <c r="T14">
        <v>7</v>
      </c>
      <c r="U14" s="168">
        <v>44758</v>
      </c>
      <c r="V14">
        <v>4</v>
      </c>
      <c r="W14" s="169" t="s">
        <v>148</v>
      </c>
      <c r="X14">
        <v>0</v>
      </c>
      <c r="Y14">
        <v>2</v>
      </c>
      <c r="AN14" s="182" t="s">
        <v>390</v>
      </c>
      <c r="AO14" s="172" t="s">
        <v>176</v>
      </c>
      <c r="AP14" s="169">
        <v>6</v>
      </c>
      <c r="AQ14" s="169">
        <v>255790</v>
      </c>
      <c r="AR14" s="169">
        <v>6</v>
      </c>
      <c r="AS14" s="169">
        <v>256950</v>
      </c>
    </row>
    <row r="15" spans="1:45" x14ac:dyDescent="0.25">
      <c r="A15" s="169" t="s">
        <v>174</v>
      </c>
      <c r="C15" s="169" t="s">
        <v>413</v>
      </c>
      <c r="D15">
        <v>469295839</v>
      </c>
      <c r="F15" s="169" t="s">
        <v>172</v>
      </c>
      <c r="G15">
        <v>1</v>
      </c>
      <c r="H15" s="169" t="s">
        <v>172</v>
      </c>
      <c r="K15">
        <v>18</v>
      </c>
      <c r="L15">
        <v>25</v>
      </c>
      <c r="M15">
        <v>1740</v>
      </c>
      <c r="N15">
        <v>310</v>
      </c>
      <c r="O15">
        <v>10</v>
      </c>
      <c r="P15">
        <v>2</v>
      </c>
      <c r="Q15">
        <v>3</v>
      </c>
      <c r="R15">
        <v>20</v>
      </c>
      <c r="S15">
        <v>6</v>
      </c>
      <c r="T15">
        <v>7</v>
      </c>
      <c r="U15" s="168">
        <v>44758</v>
      </c>
      <c r="V15">
        <v>4</v>
      </c>
      <c r="W15" s="169" t="s">
        <v>148</v>
      </c>
      <c r="X15">
        <v>0</v>
      </c>
      <c r="Y15">
        <v>1</v>
      </c>
      <c r="AN15" s="172" t="s">
        <v>463</v>
      </c>
      <c r="AP15" s="169"/>
      <c r="AQ15" s="169"/>
      <c r="AR15" s="169"/>
      <c r="AS15" s="169"/>
    </row>
    <row r="16" spans="1:45" x14ac:dyDescent="0.25">
      <c r="A16" s="169" t="s">
        <v>174</v>
      </c>
      <c r="C16" s="169" t="s">
        <v>414</v>
      </c>
      <c r="D16">
        <v>460128913</v>
      </c>
      <c r="F16" s="169" t="s">
        <v>172</v>
      </c>
      <c r="G16">
        <v>1</v>
      </c>
      <c r="H16" s="169" t="s">
        <v>172</v>
      </c>
      <c r="K16">
        <v>23</v>
      </c>
      <c r="L16">
        <v>35</v>
      </c>
      <c r="M16">
        <v>1310</v>
      </c>
      <c r="N16">
        <v>310</v>
      </c>
      <c r="O16">
        <v>65</v>
      </c>
      <c r="P16">
        <v>2</v>
      </c>
      <c r="Q16">
        <v>5</v>
      </c>
      <c r="R16">
        <v>20</v>
      </c>
      <c r="S16">
        <v>6</v>
      </c>
      <c r="T16">
        <v>8</v>
      </c>
      <c r="U16" s="168">
        <v>44720</v>
      </c>
      <c r="V16">
        <v>2.5</v>
      </c>
      <c r="W16" s="169" t="s">
        <v>146</v>
      </c>
      <c r="X16">
        <v>0</v>
      </c>
      <c r="Y16">
        <v>1</v>
      </c>
      <c r="AN16" s="182" t="s">
        <v>382</v>
      </c>
      <c r="AO16" s="172" t="s">
        <v>171</v>
      </c>
      <c r="AP16" s="169">
        <v>6</v>
      </c>
      <c r="AQ16" s="169">
        <v>306640</v>
      </c>
      <c r="AR16" s="169">
        <v>5</v>
      </c>
      <c r="AS16" s="169">
        <v>300420</v>
      </c>
    </row>
    <row r="17" spans="1:45" x14ac:dyDescent="0.25">
      <c r="A17" s="169" t="s">
        <v>174</v>
      </c>
      <c r="C17" s="169" t="s">
        <v>414</v>
      </c>
      <c r="D17">
        <v>460128913</v>
      </c>
      <c r="F17" s="169" t="s">
        <v>172</v>
      </c>
      <c r="G17">
        <v>1</v>
      </c>
      <c r="H17" s="169" t="s">
        <v>172</v>
      </c>
      <c r="J17" s="169" t="s">
        <v>172</v>
      </c>
      <c r="K17">
        <v>23</v>
      </c>
      <c r="L17">
        <v>39</v>
      </c>
      <c r="M17">
        <v>1380</v>
      </c>
      <c r="N17">
        <v>310</v>
      </c>
      <c r="O17">
        <v>66</v>
      </c>
      <c r="P17">
        <v>2</v>
      </c>
      <c r="Q17">
        <v>5</v>
      </c>
      <c r="R17">
        <v>20</v>
      </c>
      <c r="S17">
        <v>6</v>
      </c>
      <c r="T17">
        <v>8</v>
      </c>
      <c r="U17" s="168">
        <v>44720</v>
      </c>
      <c r="V17">
        <v>25</v>
      </c>
      <c r="W17" s="169" t="s">
        <v>146</v>
      </c>
      <c r="X17">
        <v>0</v>
      </c>
      <c r="Y17">
        <v>2</v>
      </c>
      <c r="AN17" s="172" t="s">
        <v>462</v>
      </c>
      <c r="AP17" s="169"/>
      <c r="AQ17" s="169"/>
      <c r="AR17" s="169"/>
      <c r="AS17" s="169"/>
    </row>
    <row r="18" spans="1:45" x14ac:dyDescent="0.25">
      <c r="A18" s="169" t="s">
        <v>174</v>
      </c>
      <c r="C18" s="169" t="s">
        <v>415</v>
      </c>
      <c r="D18">
        <v>470168916</v>
      </c>
      <c r="F18" s="169" t="s">
        <v>172</v>
      </c>
      <c r="G18">
        <v>1</v>
      </c>
      <c r="H18" s="169" t="s">
        <v>172</v>
      </c>
      <c r="K18">
        <v>19</v>
      </c>
      <c r="L18">
        <v>47</v>
      </c>
      <c r="M18">
        <v>590</v>
      </c>
      <c r="N18">
        <v>350</v>
      </c>
      <c r="O18">
        <v>5</v>
      </c>
      <c r="P18">
        <v>1</v>
      </c>
      <c r="Q18">
        <v>4</v>
      </c>
      <c r="R18">
        <v>20</v>
      </c>
      <c r="S18">
        <v>5</v>
      </c>
      <c r="T18">
        <v>7</v>
      </c>
      <c r="U18" s="168">
        <v>44762</v>
      </c>
      <c r="V18">
        <v>3</v>
      </c>
      <c r="W18" s="169" t="s">
        <v>181</v>
      </c>
      <c r="X18">
        <v>0</v>
      </c>
      <c r="Y18">
        <v>1</v>
      </c>
      <c r="AN18" s="182" t="s">
        <v>386</v>
      </c>
      <c r="AO18" s="172" t="s">
        <v>171</v>
      </c>
      <c r="AP18" s="169">
        <v>7</v>
      </c>
      <c r="AQ18" s="169">
        <v>340090</v>
      </c>
      <c r="AR18" s="169">
        <v>7</v>
      </c>
      <c r="AS18" s="169">
        <v>331140</v>
      </c>
    </row>
    <row r="19" spans="1:45" x14ac:dyDescent="0.25">
      <c r="A19" s="169" t="s">
        <v>174</v>
      </c>
      <c r="C19" s="169" t="s">
        <v>415</v>
      </c>
      <c r="D19">
        <v>470168916</v>
      </c>
      <c r="F19" s="169" t="s">
        <v>172</v>
      </c>
      <c r="G19">
        <v>1</v>
      </c>
      <c r="H19" s="169" t="s">
        <v>172</v>
      </c>
      <c r="J19" s="169" t="s">
        <v>172</v>
      </c>
      <c r="K19">
        <v>19</v>
      </c>
      <c r="L19">
        <v>51</v>
      </c>
      <c r="M19">
        <v>650</v>
      </c>
      <c r="N19">
        <v>350</v>
      </c>
      <c r="O19">
        <v>6</v>
      </c>
      <c r="P19">
        <v>1</v>
      </c>
      <c r="Q19">
        <v>4</v>
      </c>
      <c r="R19">
        <v>20</v>
      </c>
      <c r="S19">
        <v>6</v>
      </c>
      <c r="T19">
        <v>7</v>
      </c>
      <c r="U19" s="168">
        <v>44762</v>
      </c>
      <c r="V19">
        <v>3</v>
      </c>
      <c r="W19" s="169" t="s">
        <v>181</v>
      </c>
      <c r="X19">
        <v>0</v>
      </c>
      <c r="Y19">
        <v>2</v>
      </c>
      <c r="AN19" s="172" t="s">
        <v>465</v>
      </c>
      <c r="AP19" s="169"/>
      <c r="AQ19" s="169"/>
      <c r="AR19" s="169"/>
      <c r="AS19" s="169"/>
    </row>
    <row r="20" spans="1:45" x14ac:dyDescent="0.25">
      <c r="A20" s="169" t="s">
        <v>174</v>
      </c>
      <c r="C20" s="169" t="s">
        <v>416</v>
      </c>
      <c r="D20">
        <v>461519189</v>
      </c>
      <c r="F20" s="169" t="s">
        <v>176</v>
      </c>
      <c r="G20">
        <v>1</v>
      </c>
      <c r="H20" s="169" t="s">
        <v>172</v>
      </c>
      <c r="K20">
        <v>22</v>
      </c>
      <c r="L20">
        <v>42</v>
      </c>
      <c r="M20">
        <v>640</v>
      </c>
      <c r="N20">
        <v>290</v>
      </c>
      <c r="O20">
        <v>54</v>
      </c>
      <c r="P20">
        <v>2</v>
      </c>
      <c r="Q20">
        <v>6</v>
      </c>
      <c r="R20">
        <v>20</v>
      </c>
      <c r="S20">
        <v>4</v>
      </c>
      <c r="T20">
        <v>8</v>
      </c>
      <c r="U20" s="168">
        <v>44762</v>
      </c>
      <c r="V20">
        <v>2</v>
      </c>
      <c r="W20" s="169" t="s">
        <v>148</v>
      </c>
      <c r="X20">
        <v>0</v>
      </c>
      <c r="Y20">
        <v>1</v>
      </c>
      <c r="AN20" s="182" t="s">
        <v>392</v>
      </c>
      <c r="AO20" s="172" t="s">
        <v>180</v>
      </c>
      <c r="AP20" s="169">
        <v>6</v>
      </c>
      <c r="AQ20" s="169">
        <v>157410</v>
      </c>
      <c r="AR20" s="169">
        <v>6</v>
      </c>
      <c r="AS20" s="169">
        <v>170060</v>
      </c>
    </row>
    <row r="21" spans="1:45" x14ac:dyDescent="0.25">
      <c r="A21" s="169" t="s">
        <v>174</v>
      </c>
      <c r="C21" s="169" t="s">
        <v>416</v>
      </c>
      <c r="D21">
        <v>461519189</v>
      </c>
      <c r="F21" s="169" t="s">
        <v>176</v>
      </c>
      <c r="G21">
        <v>1</v>
      </c>
      <c r="H21" s="169" t="s">
        <v>172</v>
      </c>
      <c r="J21" s="169" t="s">
        <v>172</v>
      </c>
      <c r="K21">
        <v>22</v>
      </c>
      <c r="L21">
        <v>46</v>
      </c>
      <c r="M21">
        <v>720</v>
      </c>
      <c r="N21">
        <v>290</v>
      </c>
      <c r="O21">
        <v>54</v>
      </c>
      <c r="P21">
        <v>2</v>
      </c>
      <c r="Q21">
        <v>6</v>
      </c>
      <c r="R21">
        <v>20</v>
      </c>
      <c r="S21">
        <v>4</v>
      </c>
      <c r="T21">
        <v>8</v>
      </c>
      <c r="U21" s="168">
        <v>44762</v>
      </c>
      <c r="V21">
        <v>2</v>
      </c>
      <c r="W21" s="169" t="s">
        <v>148</v>
      </c>
      <c r="X21">
        <v>0</v>
      </c>
      <c r="Y21">
        <v>2</v>
      </c>
      <c r="AN21" s="182" t="s">
        <v>400</v>
      </c>
      <c r="AO21" s="172" t="s">
        <v>183</v>
      </c>
      <c r="AP21" s="169">
        <v>8</v>
      </c>
      <c r="AQ21" s="169">
        <v>264900</v>
      </c>
      <c r="AR21" s="169">
        <v>8</v>
      </c>
      <c r="AS21" s="169">
        <v>270320</v>
      </c>
    </row>
    <row r="22" spans="1:45" x14ac:dyDescent="0.25">
      <c r="A22" s="169" t="s">
        <v>190</v>
      </c>
      <c r="B22">
        <v>12</v>
      </c>
      <c r="C22" s="169" t="s">
        <v>397</v>
      </c>
      <c r="D22">
        <v>440240188</v>
      </c>
      <c r="F22" s="169" t="s">
        <v>176</v>
      </c>
      <c r="H22" s="169" t="s">
        <v>172</v>
      </c>
      <c r="J22" s="169" t="s">
        <v>172</v>
      </c>
      <c r="K22">
        <v>29</v>
      </c>
      <c r="L22">
        <v>54</v>
      </c>
      <c r="M22">
        <v>92110</v>
      </c>
      <c r="N22">
        <v>23232</v>
      </c>
      <c r="O22">
        <v>33</v>
      </c>
      <c r="P22">
        <v>7</v>
      </c>
      <c r="Q22">
        <v>1</v>
      </c>
      <c r="R22">
        <v>16</v>
      </c>
      <c r="S22">
        <v>6</v>
      </c>
      <c r="T22">
        <v>8</v>
      </c>
      <c r="U22" s="168">
        <v>44776</v>
      </c>
      <c r="V22">
        <v>75</v>
      </c>
      <c r="W22" s="169" t="s">
        <v>147</v>
      </c>
      <c r="X22">
        <v>1</v>
      </c>
      <c r="Y22">
        <v>2</v>
      </c>
      <c r="Z22" t="s">
        <v>244</v>
      </c>
      <c r="AN22" s="172" t="s">
        <v>242</v>
      </c>
      <c r="AP22" s="169"/>
      <c r="AQ22" s="169"/>
      <c r="AR22" s="169"/>
      <c r="AS22" s="169"/>
    </row>
    <row r="23" spans="1:45" x14ac:dyDescent="0.25">
      <c r="A23" s="169" t="s">
        <v>190</v>
      </c>
      <c r="B23">
        <v>12</v>
      </c>
      <c r="C23" s="169" t="s">
        <v>397</v>
      </c>
      <c r="D23">
        <v>440240188</v>
      </c>
      <c r="F23" s="169" t="s">
        <v>176</v>
      </c>
      <c r="H23" s="169" t="s">
        <v>172</v>
      </c>
      <c r="K23">
        <v>29</v>
      </c>
      <c r="L23">
        <v>50</v>
      </c>
      <c r="M23">
        <v>94160</v>
      </c>
      <c r="N23">
        <v>23232</v>
      </c>
      <c r="O23">
        <v>32</v>
      </c>
      <c r="P23">
        <v>7</v>
      </c>
      <c r="Q23">
        <v>1</v>
      </c>
      <c r="R23">
        <v>16</v>
      </c>
      <c r="S23">
        <v>6</v>
      </c>
      <c r="T23">
        <v>8</v>
      </c>
      <c r="U23" s="168">
        <v>44769</v>
      </c>
      <c r="V23">
        <v>4.5</v>
      </c>
      <c r="W23" s="169" t="s">
        <v>148</v>
      </c>
      <c r="X23">
        <v>1</v>
      </c>
      <c r="Y23">
        <v>1</v>
      </c>
      <c r="Z23" t="s">
        <v>244</v>
      </c>
      <c r="AN23" s="182" t="s">
        <v>380</v>
      </c>
      <c r="AO23" s="172" t="s">
        <v>171</v>
      </c>
      <c r="AP23" s="169">
        <v>6</v>
      </c>
      <c r="AQ23" s="169">
        <v>218640</v>
      </c>
      <c r="AR23" s="169">
        <v>6</v>
      </c>
      <c r="AS23" s="169">
        <v>224500</v>
      </c>
    </row>
    <row r="24" spans="1:45" x14ac:dyDescent="0.25">
      <c r="A24" s="169" t="s">
        <v>174</v>
      </c>
      <c r="B24">
        <v>27</v>
      </c>
      <c r="C24" s="169" t="s">
        <v>406</v>
      </c>
      <c r="D24">
        <v>459575678</v>
      </c>
      <c r="F24" s="169" t="s">
        <v>347</v>
      </c>
      <c r="G24">
        <v>1</v>
      </c>
      <c r="H24" s="169" t="s">
        <v>172</v>
      </c>
      <c r="K24">
        <v>21</v>
      </c>
      <c r="L24">
        <v>65</v>
      </c>
      <c r="M24">
        <v>710</v>
      </c>
      <c r="N24">
        <v>310</v>
      </c>
      <c r="O24">
        <v>69</v>
      </c>
      <c r="P24">
        <v>2</v>
      </c>
      <c r="Q24">
        <v>2</v>
      </c>
      <c r="R24">
        <v>20</v>
      </c>
      <c r="S24">
        <v>5</v>
      </c>
      <c r="T24">
        <v>8</v>
      </c>
      <c r="U24" s="168">
        <v>44727</v>
      </c>
      <c r="V24">
        <v>2.5</v>
      </c>
      <c r="W24" s="169" t="s">
        <v>181</v>
      </c>
      <c r="X24">
        <v>0</v>
      </c>
      <c r="Y24">
        <v>1</v>
      </c>
      <c r="AN24" s="182" t="s">
        <v>388</v>
      </c>
      <c r="AO24" s="172" t="s">
        <v>183</v>
      </c>
      <c r="AP24" s="169">
        <v>7</v>
      </c>
      <c r="AQ24" s="169">
        <v>294830</v>
      </c>
      <c r="AR24" s="169">
        <v>7</v>
      </c>
      <c r="AS24" s="169">
        <v>281280</v>
      </c>
    </row>
    <row r="25" spans="1:45" x14ac:dyDescent="0.25">
      <c r="A25" s="169" t="s">
        <v>174</v>
      </c>
      <c r="B25">
        <v>27</v>
      </c>
      <c r="C25" s="169" t="s">
        <v>406</v>
      </c>
      <c r="D25">
        <v>459575678</v>
      </c>
      <c r="F25" s="169" t="s">
        <v>347</v>
      </c>
      <c r="G25">
        <v>1</v>
      </c>
      <c r="H25" s="169" t="s">
        <v>172</v>
      </c>
      <c r="J25" s="169" t="s">
        <v>172</v>
      </c>
      <c r="K25">
        <v>21</v>
      </c>
      <c r="L25">
        <v>69</v>
      </c>
      <c r="M25">
        <v>770</v>
      </c>
      <c r="N25">
        <v>310</v>
      </c>
      <c r="O25">
        <v>69</v>
      </c>
      <c r="P25">
        <v>2</v>
      </c>
      <c r="Q25">
        <v>2</v>
      </c>
      <c r="R25">
        <v>20</v>
      </c>
      <c r="S25">
        <v>6</v>
      </c>
      <c r="T25">
        <v>8</v>
      </c>
      <c r="U25" s="168">
        <v>44727</v>
      </c>
      <c r="V25">
        <v>25</v>
      </c>
      <c r="W25" s="169" t="s">
        <v>181</v>
      </c>
      <c r="X25">
        <v>0</v>
      </c>
      <c r="Y25">
        <v>2</v>
      </c>
      <c r="AN25" s="182" t="s">
        <v>394</v>
      </c>
      <c r="AO25" s="172" t="s">
        <v>171</v>
      </c>
      <c r="AP25" s="169">
        <v>5</v>
      </c>
      <c r="AQ25" s="169">
        <v>150760</v>
      </c>
      <c r="AR25" s="169">
        <v>6</v>
      </c>
      <c r="AS25" s="169">
        <v>158870</v>
      </c>
    </row>
    <row r="26" spans="1:45" x14ac:dyDescent="0.25">
      <c r="A26" s="169" t="s">
        <v>174</v>
      </c>
      <c r="B26">
        <v>28</v>
      </c>
      <c r="C26" s="169" t="s">
        <v>407</v>
      </c>
      <c r="D26">
        <v>462466686</v>
      </c>
      <c r="F26" s="169" t="s">
        <v>172</v>
      </c>
      <c r="G26">
        <v>1</v>
      </c>
      <c r="H26" s="169" t="s">
        <v>172</v>
      </c>
      <c r="J26" s="169" t="s">
        <v>172</v>
      </c>
      <c r="K26">
        <v>22</v>
      </c>
      <c r="L26">
        <v>4</v>
      </c>
      <c r="M26">
        <v>760</v>
      </c>
      <c r="N26">
        <v>330</v>
      </c>
      <c r="O26">
        <v>48</v>
      </c>
      <c r="P26">
        <v>2</v>
      </c>
      <c r="Q26">
        <v>4</v>
      </c>
      <c r="R26">
        <v>20</v>
      </c>
      <c r="S26">
        <v>4</v>
      </c>
      <c r="T26">
        <v>8</v>
      </c>
      <c r="U26" s="168">
        <v>44755</v>
      </c>
      <c r="V26">
        <v>2</v>
      </c>
      <c r="W26" s="169" t="s">
        <v>173</v>
      </c>
      <c r="X26">
        <v>0</v>
      </c>
      <c r="Y26">
        <v>2</v>
      </c>
      <c r="AN26" s="172" t="s">
        <v>464</v>
      </c>
      <c r="AP26" s="169"/>
      <c r="AQ26" s="169"/>
      <c r="AR26" s="169"/>
      <c r="AS26" s="169"/>
    </row>
    <row r="27" spans="1:45" x14ac:dyDescent="0.25">
      <c r="A27" s="169" t="s">
        <v>174</v>
      </c>
      <c r="B27">
        <v>28</v>
      </c>
      <c r="C27" s="169" t="s">
        <v>407</v>
      </c>
      <c r="D27">
        <v>462466686</v>
      </c>
      <c r="F27" s="169" t="s">
        <v>172</v>
      </c>
      <c r="G27">
        <v>1</v>
      </c>
      <c r="H27" s="169" t="s">
        <v>172</v>
      </c>
      <c r="K27">
        <v>22</v>
      </c>
      <c r="L27">
        <v>0</v>
      </c>
      <c r="M27">
        <v>850</v>
      </c>
      <c r="N27">
        <v>330</v>
      </c>
      <c r="O27">
        <v>48</v>
      </c>
      <c r="P27">
        <v>2</v>
      </c>
      <c r="Q27">
        <v>4</v>
      </c>
      <c r="R27">
        <v>20</v>
      </c>
      <c r="S27">
        <v>5</v>
      </c>
      <c r="T27">
        <v>8</v>
      </c>
      <c r="U27" s="168">
        <v>44755</v>
      </c>
      <c r="V27">
        <v>2</v>
      </c>
      <c r="W27" s="169" t="s">
        <v>173</v>
      </c>
      <c r="X27">
        <v>0</v>
      </c>
      <c r="Y27">
        <v>1</v>
      </c>
      <c r="AN27" s="182" t="s">
        <v>384</v>
      </c>
      <c r="AO27" s="172" t="s">
        <v>176</v>
      </c>
      <c r="AP27" s="169">
        <v>6</v>
      </c>
      <c r="AQ27" s="169">
        <v>283770</v>
      </c>
      <c r="AR27" s="169">
        <v>6</v>
      </c>
      <c r="AS27" s="169">
        <v>281740</v>
      </c>
    </row>
    <row r="28" spans="1:45" x14ac:dyDescent="0.25">
      <c r="A28" s="169" t="s">
        <v>174</v>
      </c>
      <c r="B28">
        <v>29</v>
      </c>
      <c r="C28" s="169" t="s">
        <v>408</v>
      </c>
      <c r="D28">
        <v>452941201</v>
      </c>
      <c r="F28" s="169" t="s">
        <v>172</v>
      </c>
      <c r="G28">
        <v>1</v>
      </c>
      <c r="H28" s="169" t="s">
        <v>172</v>
      </c>
      <c r="J28" s="169" t="s">
        <v>172</v>
      </c>
      <c r="K28">
        <v>24</v>
      </c>
      <c r="L28">
        <v>44</v>
      </c>
      <c r="M28">
        <v>520</v>
      </c>
      <c r="N28">
        <v>290</v>
      </c>
      <c r="O28">
        <v>111</v>
      </c>
      <c r="P28">
        <v>2</v>
      </c>
      <c r="Q28">
        <v>1</v>
      </c>
      <c r="R28">
        <v>20</v>
      </c>
      <c r="S28">
        <v>3</v>
      </c>
      <c r="T28">
        <v>8</v>
      </c>
      <c r="U28" s="168">
        <v>44653</v>
      </c>
      <c r="V28">
        <v>2</v>
      </c>
      <c r="W28" s="169" t="s">
        <v>181</v>
      </c>
      <c r="X28">
        <v>0</v>
      </c>
      <c r="Y28">
        <v>2</v>
      </c>
      <c r="AN28" s="182" t="s">
        <v>395</v>
      </c>
      <c r="AO28" s="172" t="s">
        <v>171</v>
      </c>
      <c r="AP28" s="169">
        <v>7</v>
      </c>
      <c r="AQ28" s="169">
        <v>50970</v>
      </c>
      <c r="AR28" s="169">
        <v>7</v>
      </c>
      <c r="AS28" s="169">
        <v>51400</v>
      </c>
    </row>
    <row r="29" spans="1:45" x14ac:dyDescent="0.25">
      <c r="A29" s="169" t="s">
        <v>174</v>
      </c>
      <c r="B29">
        <v>29</v>
      </c>
      <c r="C29" s="169" t="s">
        <v>408</v>
      </c>
      <c r="D29">
        <v>452941201</v>
      </c>
      <c r="F29" s="169" t="s">
        <v>172</v>
      </c>
      <c r="G29">
        <v>1</v>
      </c>
      <c r="H29" s="169" t="s">
        <v>172</v>
      </c>
      <c r="K29">
        <v>24</v>
      </c>
      <c r="L29">
        <v>40</v>
      </c>
      <c r="M29">
        <v>600</v>
      </c>
      <c r="N29">
        <v>290</v>
      </c>
      <c r="O29">
        <v>111</v>
      </c>
      <c r="P29">
        <v>2</v>
      </c>
      <c r="Q29">
        <v>1</v>
      </c>
      <c r="R29">
        <v>20</v>
      </c>
      <c r="S29">
        <v>4</v>
      </c>
      <c r="T29">
        <v>8</v>
      </c>
      <c r="U29" s="168">
        <v>44653</v>
      </c>
      <c r="V29">
        <v>2</v>
      </c>
      <c r="W29" s="169" t="s">
        <v>181</v>
      </c>
      <c r="X29">
        <v>0</v>
      </c>
      <c r="Y29">
        <v>1</v>
      </c>
      <c r="AN29" s="172" t="s">
        <v>244</v>
      </c>
      <c r="AP29" s="169"/>
      <c r="AQ29" s="169"/>
      <c r="AR29" s="169"/>
      <c r="AS29" s="169"/>
    </row>
    <row r="30" spans="1:45" x14ac:dyDescent="0.25">
      <c r="A30" s="169" t="s">
        <v>268</v>
      </c>
      <c r="B30">
        <v>15</v>
      </c>
      <c r="C30" s="169" t="s">
        <v>401</v>
      </c>
      <c r="D30">
        <v>432095172</v>
      </c>
      <c r="F30" s="169" t="s">
        <v>176</v>
      </c>
      <c r="H30" s="169" t="s">
        <v>172</v>
      </c>
      <c r="K30">
        <v>32</v>
      </c>
      <c r="L30">
        <v>41</v>
      </c>
      <c r="M30">
        <v>53750</v>
      </c>
      <c r="N30">
        <v>18060</v>
      </c>
      <c r="O30">
        <v>56</v>
      </c>
      <c r="P30">
        <v>10</v>
      </c>
      <c r="Q30">
        <v>5</v>
      </c>
      <c r="R30">
        <v>20</v>
      </c>
      <c r="S30">
        <v>4</v>
      </c>
      <c r="T30">
        <v>7</v>
      </c>
      <c r="U30" s="168">
        <v>44769</v>
      </c>
      <c r="V30">
        <v>6</v>
      </c>
      <c r="W30" s="169" t="s">
        <v>146</v>
      </c>
      <c r="X30">
        <v>1</v>
      </c>
      <c r="Y30">
        <v>1</v>
      </c>
      <c r="Z30" t="s">
        <v>244</v>
      </c>
      <c r="AN30" s="182" t="s">
        <v>397</v>
      </c>
      <c r="AO30" s="172" t="s">
        <v>176</v>
      </c>
      <c r="AP30" s="169">
        <v>6</v>
      </c>
      <c r="AQ30" s="169">
        <v>94160</v>
      </c>
      <c r="AR30" s="169">
        <v>6</v>
      </c>
      <c r="AS30" s="169">
        <v>92110</v>
      </c>
    </row>
    <row r="31" spans="1:45" x14ac:dyDescent="0.25">
      <c r="A31" s="169" t="s">
        <v>268</v>
      </c>
      <c r="B31">
        <v>15</v>
      </c>
      <c r="C31" s="169" t="s">
        <v>401</v>
      </c>
      <c r="D31">
        <v>432095172</v>
      </c>
      <c r="F31" s="169" t="s">
        <v>176</v>
      </c>
      <c r="H31" s="169" t="s">
        <v>172</v>
      </c>
      <c r="J31" s="169" t="s">
        <v>172</v>
      </c>
      <c r="K31">
        <v>32</v>
      </c>
      <c r="L31">
        <v>45</v>
      </c>
      <c r="M31">
        <v>62100</v>
      </c>
      <c r="N31">
        <v>18060</v>
      </c>
      <c r="O31">
        <v>57</v>
      </c>
      <c r="P31">
        <v>10</v>
      </c>
      <c r="Q31">
        <v>5</v>
      </c>
      <c r="R31">
        <v>20</v>
      </c>
      <c r="S31">
        <v>5</v>
      </c>
      <c r="T31">
        <v>7</v>
      </c>
      <c r="U31" s="168">
        <v>44776</v>
      </c>
      <c r="V31">
        <v>45</v>
      </c>
      <c r="W31" s="169" t="s">
        <v>147</v>
      </c>
      <c r="X31">
        <v>1</v>
      </c>
      <c r="Y31">
        <v>2</v>
      </c>
      <c r="Z31" t="s">
        <v>244</v>
      </c>
      <c r="AN31" s="182" t="s">
        <v>401</v>
      </c>
      <c r="AO31" s="172" t="s">
        <v>176</v>
      </c>
      <c r="AP31" s="169">
        <v>4</v>
      </c>
      <c r="AQ31" s="169">
        <v>53750</v>
      </c>
      <c r="AR31" s="169">
        <v>5</v>
      </c>
      <c r="AS31" s="169">
        <v>62100</v>
      </c>
    </row>
    <row r="32" spans="1:45" x14ac:dyDescent="0.25">
      <c r="A32" s="169" t="s">
        <v>174</v>
      </c>
      <c r="C32" s="169" t="s">
        <v>417</v>
      </c>
      <c r="D32">
        <v>444552328</v>
      </c>
      <c r="F32" s="169" t="s">
        <v>176</v>
      </c>
      <c r="G32">
        <v>1</v>
      </c>
      <c r="H32" s="169" t="s">
        <v>172</v>
      </c>
      <c r="J32" s="169" t="s">
        <v>172</v>
      </c>
      <c r="K32">
        <v>27</v>
      </c>
      <c r="L32">
        <v>46</v>
      </c>
      <c r="M32">
        <v>790</v>
      </c>
      <c r="N32">
        <v>310</v>
      </c>
      <c r="O32">
        <v>159</v>
      </c>
      <c r="P32">
        <v>2</v>
      </c>
      <c r="Q32">
        <v>5</v>
      </c>
      <c r="R32">
        <v>20</v>
      </c>
      <c r="S32">
        <v>2</v>
      </c>
      <c r="T32">
        <v>7</v>
      </c>
      <c r="U32" s="168">
        <v>44206</v>
      </c>
      <c r="V32">
        <v>35</v>
      </c>
      <c r="W32" s="169" t="s">
        <v>148</v>
      </c>
      <c r="X32">
        <v>0</v>
      </c>
      <c r="Y32">
        <v>2</v>
      </c>
    </row>
    <row r="33" spans="1:26" x14ac:dyDescent="0.25">
      <c r="A33" s="169" t="s">
        <v>174</v>
      </c>
      <c r="C33" s="169" t="s">
        <v>417</v>
      </c>
      <c r="D33">
        <v>444552328</v>
      </c>
      <c r="F33" s="169" t="s">
        <v>176</v>
      </c>
      <c r="G33">
        <v>1</v>
      </c>
      <c r="H33" s="169" t="s">
        <v>172</v>
      </c>
      <c r="K33">
        <v>27</v>
      </c>
      <c r="L33">
        <v>42</v>
      </c>
      <c r="M33">
        <v>880</v>
      </c>
      <c r="N33">
        <v>310</v>
      </c>
      <c r="O33">
        <v>158</v>
      </c>
      <c r="P33">
        <v>2</v>
      </c>
      <c r="Q33">
        <v>5</v>
      </c>
      <c r="R33">
        <v>20</v>
      </c>
      <c r="S33">
        <v>3</v>
      </c>
      <c r="T33">
        <v>7</v>
      </c>
      <c r="U33" s="168">
        <v>44206</v>
      </c>
      <c r="V33">
        <v>3.5</v>
      </c>
      <c r="W33" s="169" t="s">
        <v>148</v>
      </c>
      <c r="X33">
        <v>0</v>
      </c>
      <c r="Y33">
        <v>1</v>
      </c>
    </row>
    <row r="34" spans="1:26" x14ac:dyDescent="0.25">
      <c r="A34" s="169" t="s">
        <v>389</v>
      </c>
      <c r="B34">
        <v>7</v>
      </c>
      <c r="C34" s="169" t="s">
        <v>390</v>
      </c>
      <c r="D34">
        <v>433647180</v>
      </c>
      <c r="F34" s="169" t="s">
        <v>176</v>
      </c>
      <c r="H34" s="169" t="s">
        <v>172</v>
      </c>
      <c r="K34">
        <v>31</v>
      </c>
      <c r="L34">
        <v>102</v>
      </c>
      <c r="M34">
        <v>255790</v>
      </c>
      <c r="N34">
        <v>45036</v>
      </c>
      <c r="O34">
        <v>157</v>
      </c>
      <c r="P34">
        <v>11</v>
      </c>
      <c r="Q34">
        <v>5</v>
      </c>
      <c r="R34">
        <v>20</v>
      </c>
      <c r="S34">
        <v>6</v>
      </c>
      <c r="T34">
        <v>7</v>
      </c>
      <c r="U34" s="168">
        <v>44772</v>
      </c>
      <c r="V34">
        <v>9.5</v>
      </c>
      <c r="W34" s="169" t="s">
        <v>148</v>
      </c>
      <c r="X34">
        <v>1</v>
      </c>
      <c r="Y34">
        <v>1</v>
      </c>
      <c r="Z34" t="s">
        <v>466</v>
      </c>
    </row>
    <row r="35" spans="1:26" x14ac:dyDescent="0.25">
      <c r="A35" s="169" t="s">
        <v>389</v>
      </c>
      <c r="B35">
        <v>7</v>
      </c>
      <c r="C35" s="169" t="s">
        <v>390</v>
      </c>
      <c r="D35">
        <v>433647180</v>
      </c>
      <c r="F35" s="169" t="s">
        <v>176</v>
      </c>
      <c r="H35" s="169" t="s">
        <v>172</v>
      </c>
      <c r="J35" s="169" t="s">
        <v>172</v>
      </c>
      <c r="K35">
        <v>31</v>
      </c>
      <c r="L35">
        <v>106</v>
      </c>
      <c r="M35">
        <v>256950</v>
      </c>
      <c r="N35">
        <v>45036</v>
      </c>
      <c r="O35">
        <v>158</v>
      </c>
      <c r="P35">
        <v>11</v>
      </c>
      <c r="Q35">
        <v>5</v>
      </c>
      <c r="R35">
        <v>20</v>
      </c>
      <c r="S35">
        <v>6</v>
      </c>
      <c r="T35">
        <v>7</v>
      </c>
      <c r="U35" s="168">
        <v>44772</v>
      </c>
      <c r="V35">
        <v>95</v>
      </c>
      <c r="W35" s="169" t="s">
        <v>148</v>
      </c>
      <c r="X35">
        <v>1</v>
      </c>
      <c r="Y35">
        <v>2</v>
      </c>
      <c r="Z35" t="s">
        <v>466</v>
      </c>
    </row>
    <row r="36" spans="1:26" x14ac:dyDescent="0.25">
      <c r="A36" s="169" t="s">
        <v>379</v>
      </c>
      <c r="B36">
        <v>2</v>
      </c>
      <c r="C36" s="169" t="s">
        <v>380</v>
      </c>
      <c r="D36">
        <v>434021655</v>
      </c>
      <c r="E36">
        <v>1</v>
      </c>
      <c r="F36" s="169" t="s">
        <v>171</v>
      </c>
      <c r="H36" s="169" t="s">
        <v>172</v>
      </c>
      <c r="K36">
        <v>31</v>
      </c>
      <c r="L36">
        <v>75</v>
      </c>
      <c r="M36">
        <v>218640</v>
      </c>
      <c r="N36">
        <v>45624</v>
      </c>
      <c r="O36">
        <v>161</v>
      </c>
      <c r="P36">
        <v>13</v>
      </c>
      <c r="Q36">
        <v>6</v>
      </c>
      <c r="R36">
        <v>20</v>
      </c>
      <c r="S36">
        <v>6</v>
      </c>
      <c r="T36">
        <v>7</v>
      </c>
      <c r="U36" s="168">
        <v>44772</v>
      </c>
      <c r="V36">
        <v>9.5</v>
      </c>
      <c r="W36" s="169" t="s">
        <v>147</v>
      </c>
      <c r="X36">
        <v>1</v>
      </c>
      <c r="Y36">
        <v>1</v>
      </c>
      <c r="Z36" t="s">
        <v>242</v>
      </c>
    </row>
    <row r="37" spans="1:26" x14ac:dyDescent="0.25">
      <c r="A37" s="169" t="s">
        <v>379</v>
      </c>
      <c r="B37">
        <v>2</v>
      </c>
      <c r="C37" s="169" t="s">
        <v>380</v>
      </c>
      <c r="D37">
        <v>434021655</v>
      </c>
      <c r="E37">
        <v>1</v>
      </c>
      <c r="F37" s="169" t="s">
        <v>171</v>
      </c>
      <c r="H37" s="169" t="s">
        <v>172</v>
      </c>
      <c r="J37" s="169" t="s">
        <v>172</v>
      </c>
      <c r="K37">
        <v>31</v>
      </c>
      <c r="L37">
        <v>79</v>
      </c>
      <c r="M37">
        <v>224500</v>
      </c>
      <c r="N37">
        <v>45624</v>
      </c>
      <c r="O37">
        <v>161</v>
      </c>
      <c r="P37">
        <v>13</v>
      </c>
      <c r="Q37">
        <v>6</v>
      </c>
      <c r="R37">
        <v>20</v>
      </c>
      <c r="S37">
        <v>6</v>
      </c>
      <c r="T37">
        <v>7</v>
      </c>
      <c r="U37" s="168">
        <v>44772</v>
      </c>
      <c r="V37">
        <v>95</v>
      </c>
      <c r="W37" s="169" t="s">
        <v>147</v>
      </c>
      <c r="X37">
        <v>1</v>
      </c>
      <c r="Y37">
        <v>2</v>
      </c>
      <c r="Z37" t="s">
        <v>242</v>
      </c>
    </row>
    <row r="38" spans="1:26" x14ac:dyDescent="0.25">
      <c r="A38" s="169" t="s">
        <v>381</v>
      </c>
      <c r="B38">
        <v>3</v>
      </c>
      <c r="C38" s="169" t="s">
        <v>382</v>
      </c>
      <c r="D38">
        <v>435673860</v>
      </c>
      <c r="F38" s="169" t="s">
        <v>171</v>
      </c>
      <c r="H38" s="169" t="s">
        <v>172</v>
      </c>
      <c r="I38">
        <v>1</v>
      </c>
      <c r="J38" s="169" t="s">
        <v>172</v>
      </c>
      <c r="K38">
        <v>30</v>
      </c>
      <c r="L38">
        <v>110</v>
      </c>
      <c r="M38">
        <v>300420</v>
      </c>
      <c r="N38">
        <v>52752</v>
      </c>
      <c r="O38">
        <v>223</v>
      </c>
      <c r="P38">
        <v>20</v>
      </c>
      <c r="Q38">
        <v>4</v>
      </c>
      <c r="R38">
        <v>20</v>
      </c>
      <c r="S38">
        <v>5</v>
      </c>
      <c r="T38">
        <v>8</v>
      </c>
      <c r="U38" s="168">
        <v>44772</v>
      </c>
      <c r="V38">
        <v>10</v>
      </c>
      <c r="W38" s="169" t="s">
        <v>201</v>
      </c>
      <c r="X38">
        <v>1</v>
      </c>
      <c r="Y38">
        <v>2</v>
      </c>
      <c r="Z38" t="s">
        <v>463</v>
      </c>
    </row>
    <row r="39" spans="1:26" x14ac:dyDescent="0.25">
      <c r="A39" s="169" t="s">
        <v>381</v>
      </c>
      <c r="B39">
        <v>3</v>
      </c>
      <c r="C39" s="169" t="s">
        <v>382</v>
      </c>
      <c r="D39">
        <v>435673860</v>
      </c>
      <c r="F39" s="169" t="s">
        <v>171</v>
      </c>
      <c r="H39" s="169" t="s">
        <v>172</v>
      </c>
      <c r="I39">
        <v>1</v>
      </c>
      <c r="K39">
        <v>30</v>
      </c>
      <c r="L39">
        <v>106</v>
      </c>
      <c r="M39">
        <v>306640</v>
      </c>
      <c r="N39">
        <v>52752</v>
      </c>
      <c r="O39">
        <v>222</v>
      </c>
      <c r="P39">
        <v>20</v>
      </c>
      <c r="Q39">
        <v>4</v>
      </c>
      <c r="R39">
        <v>20</v>
      </c>
      <c r="S39">
        <v>6</v>
      </c>
      <c r="T39">
        <v>8</v>
      </c>
      <c r="U39" s="168">
        <v>44772</v>
      </c>
      <c r="V39">
        <v>10</v>
      </c>
      <c r="W39" s="169" t="s">
        <v>201</v>
      </c>
      <c r="X39">
        <v>1</v>
      </c>
      <c r="Y39">
        <v>1</v>
      </c>
      <c r="Z39" t="s">
        <v>463</v>
      </c>
    </row>
    <row r="40" spans="1:26" x14ac:dyDescent="0.25">
      <c r="A40" s="169" t="s">
        <v>387</v>
      </c>
      <c r="B40">
        <v>6</v>
      </c>
      <c r="C40" s="169" t="s">
        <v>388</v>
      </c>
      <c r="D40">
        <v>435287357</v>
      </c>
      <c r="F40" s="169" t="s">
        <v>183</v>
      </c>
      <c r="H40" s="169" t="s">
        <v>172</v>
      </c>
      <c r="I40">
        <v>1</v>
      </c>
      <c r="J40" s="169" t="s">
        <v>172</v>
      </c>
      <c r="K40">
        <v>31</v>
      </c>
      <c r="L40">
        <v>20</v>
      </c>
      <c r="M40">
        <v>281280</v>
      </c>
      <c r="N40">
        <v>46260</v>
      </c>
      <c r="O40">
        <v>226</v>
      </c>
      <c r="P40">
        <v>17</v>
      </c>
      <c r="Q40">
        <v>1</v>
      </c>
      <c r="R40">
        <v>20</v>
      </c>
      <c r="S40">
        <v>7</v>
      </c>
      <c r="T40">
        <v>8</v>
      </c>
      <c r="U40" s="168">
        <v>44772</v>
      </c>
      <c r="V40">
        <v>12</v>
      </c>
      <c r="W40" s="169" t="s">
        <v>147</v>
      </c>
      <c r="X40">
        <v>1</v>
      </c>
      <c r="Y40">
        <v>2</v>
      </c>
      <c r="Z40" t="s">
        <v>242</v>
      </c>
    </row>
    <row r="41" spans="1:26" x14ac:dyDescent="0.25">
      <c r="A41" s="169" t="s">
        <v>387</v>
      </c>
      <c r="B41">
        <v>6</v>
      </c>
      <c r="C41" s="169" t="s">
        <v>388</v>
      </c>
      <c r="D41">
        <v>435287357</v>
      </c>
      <c r="F41" s="169" t="s">
        <v>183</v>
      </c>
      <c r="H41" s="169" t="s">
        <v>172</v>
      </c>
      <c r="I41">
        <v>1</v>
      </c>
      <c r="K41">
        <v>31</v>
      </c>
      <c r="L41">
        <v>16</v>
      </c>
      <c r="M41">
        <v>294830</v>
      </c>
      <c r="N41">
        <v>46260</v>
      </c>
      <c r="O41">
        <v>225</v>
      </c>
      <c r="P41">
        <v>17</v>
      </c>
      <c r="Q41">
        <v>1</v>
      </c>
      <c r="R41">
        <v>20</v>
      </c>
      <c r="S41">
        <v>7</v>
      </c>
      <c r="T41">
        <v>8</v>
      </c>
      <c r="U41" s="168">
        <v>44772</v>
      </c>
      <c r="V41">
        <v>12</v>
      </c>
      <c r="W41" s="169" t="s">
        <v>147</v>
      </c>
      <c r="X41">
        <v>1</v>
      </c>
      <c r="Y41">
        <v>1</v>
      </c>
      <c r="Z41" t="s">
        <v>242</v>
      </c>
    </row>
    <row r="42" spans="1:26" x14ac:dyDescent="0.25">
      <c r="A42" s="169" t="s">
        <v>174</v>
      </c>
      <c r="C42" s="169" t="s">
        <v>418</v>
      </c>
      <c r="D42">
        <v>469197459</v>
      </c>
      <c r="F42" s="169" t="s">
        <v>172</v>
      </c>
      <c r="G42">
        <v>1</v>
      </c>
      <c r="H42" s="169" t="s">
        <v>172</v>
      </c>
      <c r="K42">
        <v>20</v>
      </c>
      <c r="L42">
        <v>9</v>
      </c>
      <c r="M42">
        <v>470</v>
      </c>
      <c r="N42">
        <v>330</v>
      </c>
      <c r="O42">
        <v>11</v>
      </c>
      <c r="P42">
        <v>2</v>
      </c>
      <c r="Q42">
        <v>5</v>
      </c>
      <c r="R42">
        <v>20</v>
      </c>
      <c r="S42">
        <v>6</v>
      </c>
      <c r="T42">
        <v>7</v>
      </c>
      <c r="U42" s="168">
        <v>44755</v>
      </c>
      <c r="V42">
        <v>2.5</v>
      </c>
      <c r="W42" s="169" t="s">
        <v>148</v>
      </c>
      <c r="X42">
        <v>0</v>
      </c>
      <c r="Y42">
        <v>1</v>
      </c>
    </row>
    <row r="43" spans="1:26" x14ac:dyDescent="0.25">
      <c r="A43" s="169" t="s">
        <v>174</v>
      </c>
      <c r="C43" s="169" t="s">
        <v>418</v>
      </c>
      <c r="D43">
        <v>469197459</v>
      </c>
      <c r="F43" s="169" t="s">
        <v>172</v>
      </c>
      <c r="G43">
        <v>1</v>
      </c>
      <c r="H43" s="169" t="s">
        <v>172</v>
      </c>
      <c r="J43" s="169" t="s">
        <v>172</v>
      </c>
      <c r="K43">
        <v>20</v>
      </c>
      <c r="L43">
        <v>13</v>
      </c>
      <c r="M43">
        <v>490</v>
      </c>
      <c r="N43">
        <v>330</v>
      </c>
      <c r="O43">
        <v>12</v>
      </c>
      <c r="P43">
        <v>2</v>
      </c>
      <c r="Q43">
        <v>5</v>
      </c>
      <c r="R43">
        <v>20</v>
      </c>
      <c r="S43">
        <v>7</v>
      </c>
      <c r="T43">
        <v>7</v>
      </c>
      <c r="U43" s="168">
        <v>44755</v>
      </c>
      <c r="V43">
        <v>25</v>
      </c>
      <c r="W43" s="169" t="s">
        <v>148</v>
      </c>
      <c r="X43">
        <v>0</v>
      </c>
      <c r="Y43">
        <v>2</v>
      </c>
    </row>
    <row r="44" spans="1:26" x14ac:dyDescent="0.25">
      <c r="A44" s="169" t="s">
        <v>174</v>
      </c>
      <c r="C44" s="169" t="s">
        <v>419</v>
      </c>
      <c r="D44">
        <v>455749117</v>
      </c>
      <c r="F44" s="169" t="s">
        <v>172</v>
      </c>
      <c r="G44">
        <v>1</v>
      </c>
      <c r="H44" s="169" t="s">
        <v>172</v>
      </c>
      <c r="J44" s="169" t="s">
        <v>172</v>
      </c>
      <c r="K44">
        <v>26</v>
      </c>
      <c r="L44">
        <v>42</v>
      </c>
      <c r="M44">
        <v>750</v>
      </c>
      <c r="N44">
        <v>390</v>
      </c>
      <c r="O44">
        <v>94</v>
      </c>
      <c r="P44">
        <v>2</v>
      </c>
      <c r="Q44">
        <v>7</v>
      </c>
      <c r="R44">
        <v>20</v>
      </c>
      <c r="S44">
        <v>2</v>
      </c>
      <c r="T44">
        <v>7</v>
      </c>
      <c r="U44" s="168">
        <v>44206</v>
      </c>
      <c r="V44">
        <v>2</v>
      </c>
      <c r="W44" s="169" t="s">
        <v>147</v>
      </c>
      <c r="X44">
        <v>0</v>
      </c>
      <c r="Y44">
        <v>2</v>
      </c>
    </row>
    <row r="45" spans="1:26" x14ac:dyDescent="0.25">
      <c r="A45" s="169" t="s">
        <v>174</v>
      </c>
      <c r="C45" s="169" t="s">
        <v>419</v>
      </c>
      <c r="D45">
        <v>455749117</v>
      </c>
      <c r="F45" s="169" t="s">
        <v>172</v>
      </c>
      <c r="G45">
        <v>1</v>
      </c>
      <c r="H45" s="169" t="s">
        <v>172</v>
      </c>
      <c r="K45">
        <v>26</v>
      </c>
      <c r="L45">
        <v>38</v>
      </c>
      <c r="M45">
        <v>820</v>
      </c>
      <c r="N45">
        <v>390</v>
      </c>
      <c r="O45">
        <v>94</v>
      </c>
      <c r="P45">
        <v>2</v>
      </c>
      <c r="Q45">
        <v>7</v>
      </c>
      <c r="R45">
        <v>20</v>
      </c>
      <c r="S45">
        <v>3</v>
      </c>
      <c r="T45">
        <v>7</v>
      </c>
      <c r="U45" s="168">
        <v>44206</v>
      </c>
      <c r="V45">
        <v>2</v>
      </c>
      <c r="W45" s="169" t="s">
        <v>147</v>
      </c>
      <c r="X45">
        <v>0</v>
      </c>
      <c r="Y45">
        <v>1</v>
      </c>
    </row>
    <row r="46" spans="1:26" x14ac:dyDescent="0.25">
      <c r="A46" s="169" t="s">
        <v>174</v>
      </c>
      <c r="C46" s="169" t="s">
        <v>420</v>
      </c>
      <c r="D46">
        <v>470002012</v>
      </c>
      <c r="F46" s="169" t="s">
        <v>172</v>
      </c>
      <c r="G46">
        <v>1</v>
      </c>
      <c r="H46" s="169" t="s">
        <v>172</v>
      </c>
      <c r="J46" s="169" t="s">
        <v>172</v>
      </c>
      <c r="K46">
        <v>18</v>
      </c>
      <c r="L46">
        <v>42</v>
      </c>
      <c r="M46">
        <v>1230</v>
      </c>
      <c r="N46">
        <v>310</v>
      </c>
      <c r="O46">
        <v>8</v>
      </c>
      <c r="P46">
        <v>1</v>
      </c>
      <c r="Q46">
        <v>5</v>
      </c>
      <c r="R46">
        <v>20</v>
      </c>
      <c r="S46">
        <v>6</v>
      </c>
      <c r="T46">
        <v>7</v>
      </c>
      <c r="U46" s="168">
        <v>44758</v>
      </c>
      <c r="V46">
        <v>35</v>
      </c>
      <c r="W46" s="169" t="s">
        <v>147</v>
      </c>
      <c r="X46">
        <v>0</v>
      </c>
      <c r="Y46">
        <v>2</v>
      </c>
    </row>
    <row r="47" spans="1:26" x14ac:dyDescent="0.25">
      <c r="A47" s="169" t="s">
        <v>174</v>
      </c>
      <c r="C47" s="169" t="s">
        <v>420</v>
      </c>
      <c r="D47">
        <v>470002012</v>
      </c>
      <c r="F47" s="169" t="s">
        <v>172</v>
      </c>
      <c r="G47">
        <v>1</v>
      </c>
      <c r="H47" s="169" t="s">
        <v>172</v>
      </c>
      <c r="K47">
        <v>18</v>
      </c>
      <c r="L47">
        <v>38</v>
      </c>
      <c r="M47">
        <v>1280</v>
      </c>
      <c r="N47">
        <v>310</v>
      </c>
      <c r="O47">
        <v>7</v>
      </c>
      <c r="P47">
        <v>1</v>
      </c>
      <c r="Q47">
        <v>5</v>
      </c>
      <c r="R47">
        <v>20</v>
      </c>
      <c r="S47">
        <v>6</v>
      </c>
      <c r="T47">
        <v>7</v>
      </c>
      <c r="U47" s="168">
        <v>44758</v>
      </c>
      <c r="V47">
        <v>3.5</v>
      </c>
      <c r="W47" s="169" t="s">
        <v>147</v>
      </c>
      <c r="X47">
        <v>0</v>
      </c>
      <c r="Y47">
        <v>1</v>
      </c>
    </row>
    <row r="48" spans="1:26" x14ac:dyDescent="0.25">
      <c r="A48" s="169" t="s">
        <v>174</v>
      </c>
      <c r="C48" s="169" t="s">
        <v>421</v>
      </c>
      <c r="D48">
        <v>450071872</v>
      </c>
      <c r="F48" s="169" t="s">
        <v>176</v>
      </c>
      <c r="G48">
        <v>1</v>
      </c>
      <c r="H48" s="169" t="s">
        <v>172</v>
      </c>
      <c r="J48" s="169" t="s">
        <v>172</v>
      </c>
      <c r="K48">
        <v>26</v>
      </c>
      <c r="L48">
        <v>67</v>
      </c>
      <c r="M48">
        <v>540</v>
      </c>
      <c r="N48">
        <v>350</v>
      </c>
      <c r="O48">
        <v>125</v>
      </c>
      <c r="P48">
        <v>2</v>
      </c>
      <c r="Q48">
        <v>2</v>
      </c>
      <c r="R48">
        <v>20</v>
      </c>
      <c r="S48">
        <v>1</v>
      </c>
      <c r="T48">
        <v>7</v>
      </c>
      <c r="U48" s="168">
        <v>44650</v>
      </c>
      <c r="V48">
        <v>2</v>
      </c>
      <c r="W48" s="169" t="s">
        <v>147</v>
      </c>
      <c r="X48">
        <v>0</v>
      </c>
      <c r="Y48">
        <v>2</v>
      </c>
    </row>
    <row r="49" spans="1:26" x14ac:dyDescent="0.25">
      <c r="A49" s="169" t="s">
        <v>174</v>
      </c>
      <c r="C49" s="169" t="s">
        <v>421</v>
      </c>
      <c r="D49">
        <v>450071872</v>
      </c>
      <c r="F49" s="169" t="s">
        <v>176</v>
      </c>
      <c r="G49">
        <v>1</v>
      </c>
      <c r="H49" s="169" t="s">
        <v>172</v>
      </c>
      <c r="K49">
        <v>26</v>
      </c>
      <c r="L49">
        <v>63</v>
      </c>
      <c r="M49">
        <v>560</v>
      </c>
      <c r="N49">
        <v>350</v>
      </c>
      <c r="O49">
        <v>124</v>
      </c>
      <c r="P49">
        <v>2</v>
      </c>
      <c r="Q49">
        <v>2</v>
      </c>
      <c r="R49">
        <v>20</v>
      </c>
      <c r="S49">
        <v>1</v>
      </c>
      <c r="T49">
        <v>7</v>
      </c>
      <c r="U49" s="168">
        <v>44650</v>
      </c>
      <c r="V49">
        <v>2</v>
      </c>
      <c r="W49" s="169" t="s">
        <v>147</v>
      </c>
      <c r="X49">
        <v>0</v>
      </c>
      <c r="Y49">
        <v>1</v>
      </c>
    </row>
    <row r="50" spans="1:26" x14ac:dyDescent="0.25">
      <c r="A50" s="169" t="s">
        <v>174</v>
      </c>
      <c r="C50" s="169" t="s">
        <v>422</v>
      </c>
      <c r="D50">
        <v>440480860</v>
      </c>
      <c r="F50" s="169" t="s">
        <v>172</v>
      </c>
      <c r="G50">
        <v>1</v>
      </c>
      <c r="H50" s="169" t="s">
        <v>172</v>
      </c>
      <c r="J50" s="169" t="s">
        <v>172</v>
      </c>
      <c r="K50">
        <v>29</v>
      </c>
      <c r="L50">
        <v>25</v>
      </c>
      <c r="M50">
        <v>370</v>
      </c>
      <c r="N50">
        <v>290</v>
      </c>
      <c r="O50">
        <v>190</v>
      </c>
      <c r="P50">
        <v>2</v>
      </c>
      <c r="Q50">
        <v>3</v>
      </c>
      <c r="R50">
        <v>20</v>
      </c>
      <c r="S50">
        <v>4</v>
      </c>
      <c r="T50">
        <v>7</v>
      </c>
      <c r="U50" s="168">
        <v>44517</v>
      </c>
      <c r="V50">
        <v>3</v>
      </c>
      <c r="W50" s="169" t="s">
        <v>148</v>
      </c>
      <c r="X50">
        <v>0</v>
      </c>
      <c r="Y50">
        <v>2</v>
      </c>
    </row>
    <row r="51" spans="1:26" x14ac:dyDescent="0.25">
      <c r="A51" s="169" t="s">
        <v>174</v>
      </c>
      <c r="C51" s="169" t="s">
        <v>422</v>
      </c>
      <c r="D51">
        <v>440480860</v>
      </c>
      <c r="F51" s="169" t="s">
        <v>172</v>
      </c>
      <c r="G51">
        <v>1</v>
      </c>
      <c r="H51" s="169" t="s">
        <v>172</v>
      </c>
      <c r="K51">
        <v>29</v>
      </c>
      <c r="L51">
        <v>21</v>
      </c>
      <c r="M51">
        <v>390</v>
      </c>
      <c r="N51">
        <v>290</v>
      </c>
      <c r="O51">
        <v>189</v>
      </c>
      <c r="P51">
        <v>2</v>
      </c>
      <c r="Q51">
        <v>3</v>
      </c>
      <c r="R51">
        <v>20</v>
      </c>
      <c r="S51">
        <v>4</v>
      </c>
      <c r="T51">
        <v>7</v>
      </c>
      <c r="U51" s="168">
        <v>44517</v>
      </c>
      <c r="V51">
        <v>3</v>
      </c>
      <c r="W51" s="169" t="s">
        <v>148</v>
      </c>
      <c r="X51">
        <v>0</v>
      </c>
      <c r="Y51">
        <v>1</v>
      </c>
    </row>
    <row r="52" spans="1:26" x14ac:dyDescent="0.25">
      <c r="A52" s="169" t="s">
        <v>383</v>
      </c>
      <c r="B52">
        <v>4</v>
      </c>
      <c r="C52" s="169" t="s">
        <v>384</v>
      </c>
      <c r="D52">
        <v>436494782</v>
      </c>
      <c r="F52" s="169" t="s">
        <v>176</v>
      </c>
      <c r="H52" s="169" t="s">
        <v>172</v>
      </c>
      <c r="J52" s="169" t="s">
        <v>172</v>
      </c>
      <c r="K52">
        <v>30</v>
      </c>
      <c r="L52">
        <v>68</v>
      </c>
      <c r="M52">
        <v>281740</v>
      </c>
      <c r="N52">
        <v>55032</v>
      </c>
      <c r="O52">
        <v>155</v>
      </c>
      <c r="P52">
        <v>12</v>
      </c>
      <c r="Q52">
        <v>4</v>
      </c>
      <c r="R52">
        <v>20</v>
      </c>
      <c r="S52">
        <v>6</v>
      </c>
      <c r="T52">
        <v>8</v>
      </c>
      <c r="U52" s="168">
        <v>44772</v>
      </c>
      <c r="V52">
        <v>105</v>
      </c>
      <c r="W52" s="169" t="s">
        <v>147</v>
      </c>
      <c r="X52">
        <v>1</v>
      </c>
      <c r="Y52">
        <v>2</v>
      </c>
      <c r="Z52" t="s">
        <v>464</v>
      </c>
    </row>
    <row r="53" spans="1:26" x14ac:dyDescent="0.25">
      <c r="A53" s="169" t="s">
        <v>383</v>
      </c>
      <c r="B53">
        <v>4</v>
      </c>
      <c r="C53" s="169" t="s">
        <v>384</v>
      </c>
      <c r="D53">
        <v>436494782</v>
      </c>
      <c r="F53" s="169" t="s">
        <v>176</v>
      </c>
      <c r="H53" s="169" t="s">
        <v>172</v>
      </c>
      <c r="K53">
        <v>30</v>
      </c>
      <c r="L53">
        <v>64</v>
      </c>
      <c r="M53">
        <v>283770</v>
      </c>
      <c r="N53">
        <v>55032</v>
      </c>
      <c r="O53">
        <v>154</v>
      </c>
      <c r="P53">
        <v>12</v>
      </c>
      <c r="Q53">
        <v>4</v>
      </c>
      <c r="R53">
        <v>20</v>
      </c>
      <c r="S53">
        <v>6</v>
      </c>
      <c r="T53">
        <v>8</v>
      </c>
      <c r="U53" s="168">
        <v>44772</v>
      </c>
      <c r="V53">
        <v>10.5</v>
      </c>
      <c r="W53" s="169" t="s">
        <v>147</v>
      </c>
      <c r="X53">
        <v>1</v>
      </c>
      <c r="Y53">
        <v>1</v>
      </c>
      <c r="Z53" t="s">
        <v>464</v>
      </c>
    </row>
    <row r="54" spans="1:26" x14ac:dyDescent="0.25">
      <c r="A54" s="169" t="s">
        <v>174</v>
      </c>
      <c r="B54">
        <v>80</v>
      </c>
      <c r="C54" s="169" t="s">
        <v>410</v>
      </c>
      <c r="D54">
        <v>427395500</v>
      </c>
      <c r="F54" s="169" t="s">
        <v>180</v>
      </c>
      <c r="G54">
        <v>1</v>
      </c>
      <c r="H54" s="169" t="s">
        <v>172</v>
      </c>
      <c r="J54" s="169" t="s">
        <v>172</v>
      </c>
      <c r="K54">
        <v>35</v>
      </c>
      <c r="L54">
        <v>2</v>
      </c>
      <c r="M54">
        <v>130</v>
      </c>
      <c r="N54">
        <v>280</v>
      </c>
      <c r="O54">
        <v>275</v>
      </c>
      <c r="P54">
        <v>3</v>
      </c>
      <c r="Q54">
        <v>3</v>
      </c>
      <c r="R54">
        <v>20</v>
      </c>
      <c r="S54">
        <v>4</v>
      </c>
      <c r="T54">
        <v>5</v>
      </c>
      <c r="U54" s="168">
        <v>44695</v>
      </c>
      <c r="V54">
        <v>5</v>
      </c>
      <c r="W54" s="169" t="s">
        <v>201</v>
      </c>
      <c r="X54">
        <v>0</v>
      </c>
      <c r="Y54">
        <v>2</v>
      </c>
    </row>
    <row r="55" spans="1:26" x14ac:dyDescent="0.25">
      <c r="A55" s="169" t="s">
        <v>174</v>
      </c>
      <c r="B55">
        <v>80</v>
      </c>
      <c r="C55" s="169" t="s">
        <v>410</v>
      </c>
      <c r="D55">
        <v>427395500</v>
      </c>
      <c r="F55" s="169" t="s">
        <v>180</v>
      </c>
      <c r="G55">
        <v>1</v>
      </c>
      <c r="H55" s="169" t="s">
        <v>172</v>
      </c>
      <c r="K55">
        <v>34</v>
      </c>
      <c r="L55">
        <v>110</v>
      </c>
      <c r="M55">
        <v>140</v>
      </c>
      <c r="N55">
        <v>310</v>
      </c>
      <c r="O55">
        <v>274</v>
      </c>
      <c r="P55">
        <v>3</v>
      </c>
      <c r="Q55">
        <v>3</v>
      </c>
      <c r="R55">
        <v>20</v>
      </c>
      <c r="S55">
        <v>4</v>
      </c>
      <c r="T55">
        <v>5</v>
      </c>
      <c r="U55" s="168">
        <v>44695</v>
      </c>
      <c r="V55">
        <v>5</v>
      </c>
      <c r="W55" s="169" t="s">
        <v>201</v>
      </c>
      <c r="X55">
        <v>0</v>
      </c>
      <c r="Y55">
        <v>1</v>
      </c>
    </row>
    <row r="56" spans="1:26" x14ac:dyDescent="0.25">
      <c r="A56" s="169" t="s">
        <v>270</v>
      </c>
      <c r="B56">
        <v>21</v>
      </c>
      <c r="C56" s="169" t="s">
        <v>403</v>
      </c>
      <c r="D56">
        <v>416724524</v>
      </c>
      <c r="F56" s="169" t="s">
        <v>183</v>
      </c>
      <c r="H56" s="169" t="s">
        <v>172</v>
      </c>
      <c r="J56" s="169" t="s">
        <v>172</v>
      </c>
      <c r="K56">
        <v>37</v>
      </c>
      <c r="L56">
        <v>94</v>
      </c>
      <c r="M56">
        <v>2620</v>
      </c>
      <c r="N56">
        <v>648</v>
      </c>
      <c r="O56">
        <v>116</v>
      </c>
      <c r="P56">
        <v>13</v>
      </c>
      <c r="Q56">
        <v>1</v>
      </c>
      <c r="R56">
        <v>20</v>
      </c>
      <c r="S56">
        <v>7</v>
      </c>
      <c r="T56">
        <v>5</v>
      </c>
      <c r="U56" s="168">
        <v>44776</v>
      </c>
      <c r="V56">
        <v>65</v>
      </c>
      <c r="W56" s="169" t="s">
        <v>148</v>
      </c>
      <c r="X56">
        <v>0</v>
      </c>
      <c r="Y56">
        <v>2</v>
      </c>
    </row>
    <row r="57" spans="1:26" x14ac:dyDescent="0.25">
      <c r="A57" s="169" t="s">
        <v>270</v>
      </c>
      <c r="B57">
        <v>21</v>
      </c>
      <c r="C57" s="169" t="s">
        <v>403</v>
      </c>
      <c r="D57">
        <v>416724524</v>
      </c>
      <c r="F57" s="169" t="s">
        <v>183</v>
      </c>
      <c r="H57" s="169" t="s">
        <v>172</v>
      </c>
      <c r="K57">
        <v>37</v>
      </c>
      <c r="L57">
        <v>90</v>
      </c>
      <c r="M57">
        <v>2720</v>
      </c>
      <c r="N57">
        <v>648</v>
      </c>
      <c r="O57">
        <v>115</v>
      </c>
      <c r="P57">
        <v>13</v>
      </c>
      <c r="Q57">
        <v>1</v>
      </c>
      <c r="R57">
        <v>20</v>
      </c>
      <c r="S57">
        <v>7</v>
      </c>
      <c r="T57">
        <v>5</v>
      </c>
      <c r="U57" s="168">
        <v>44769</v>
      </c>
      <c r="V57">
        <v>3</v>
      </c>
      <c r="W57" s="169" t="s">
        <v>146</v>
      </c>
      <c r="X57">
        <v>0</v>
      </c>
      <c r="Y57">
        <v>1</v>
      </c>
    </row>
    <row r="58" spans="1:26" x14ac:dyDescent="0.25">
      <c r="A58" s="169" t="s">
        <v>202</v>
      </c>
      <c r="B58">
        <v>10</v>
      </c>
      <c r="C58" s="169" t="s">
        <v>395</v>
      </c>
      <c r="D58">
        <v>427125745</v>
      </c>
      <c r="F58" s="169" t="s">
        <v>171</v>
      </c>
      <c r="H58" s="169" t="s">
        <v>172</v>
      </c>
      <c r="K58">
        <v>34</v>
      </c>
      <c r="L58">
        <v>22</v>
      </c>
      <c r="M58">
        <v>50970</v>
      </c>
      <c r="N58">
        <v>22656</v>
      </c>
      <c r="O58">
        <v>40</v>
      </c>
      <c r="P58">
        <v>15</v>
      </c>
      <c r="Q58">
        <v>3</v>
      </c>
      <c r="R58">
        <v>18</v>
      </c>
      <c r="S58">
        <v>7</v>
      </c>
      <c r="T58">
        <v>7</v>
      </c>
      <c r="U58" s="168">
        <v>44772</v>
      </c>
      <c r="V58">
        <v>9.5</v>
      </c>
      <c r="W58" s="169" t="s">
        <v>146</v>
      </c>
      <c r="X58">
        <v>1</v>
      </c>
      <c r="Y58">
        <v>1</v>
      </c>
      <c r="Z58" t="s">
        <v>464</v>
      </c>
    </row>
    <row r="59" spans="1:26" x14ac:dyDescent="0.25">
      <c r="A59" s="169" t="s">
        <v>202</v>
      </c>
      <c r="B59">
        <v>10</v>
      </c>
      <c r="C59" s="169" t="s">
        <v>395</v>
      </c>
      <c r="D59">
        <v>427125745</v>
      </c>
      <c r="F59" s="169" t="s">
        <v>171</v>
      </c>
      <c r="H59" s="169" t="s">
        <v>172</v>
      </c>
      <c r="J59" s="169" t="s">
        <v>172</v>
      </c>
      <c r="K59">
        <v>34</v>
      </c>
      <c r="L59">
        <v>26</v>
      </c>
      <c r="M59">
        <v>51400</v>
      </c>
      <c r="N59">
        <v>22656</v>
      </c>
      <c r="O59">
        <v>41</v>
      </c>
      <c r="P59">
        <v>15</v>
      </c>
      <c r="Q59">
        <v>3</v>
      </c>
      <c r="R59">
        <v>18</v>
      </c>
      <c r="S59">
        <v>7</v>
      </c>
      <c r="T59">
        <v>7</v>
      </c>
      <c r="U59" s="168">
        <v>44776</v>
      </c>
      <c r="V59">
        <v>95</v>
      </c>
      <c r="W59" s="169" t="s">
        <v>147</v>
      </c>
      <c r="X59">
        <v>1</v>
      </c>
      <c r="Y59">
        <v>2</v>
      </c>
      <c r="Z59" t="s">
        <v>464</v>
      </c>
    </row>
    <row r="60" spans="1:26" x14ac:dyDescent="0.25">
      <c r="A60" s="169" t="s">
        <v>186</v>
      </c>
      <c r="B60">
        <v>23</v>
      </c>
      <c r="C60" s="169" t="s">
        <v>404</v>
      </c>
      <c r="D60">
        <v>432131108</v>
      </c>
      <c r="F60" s="169" t="s">
        <v>180</v>
      </c>
      <c r="H60" s="169" t="s">
        <v>172</v>
      </c>
      <c r="K60">
        <v>32</v>
      </c>
      <c r="L60">
        <v>68</v>
      </c>
      <c r="M60">
        <v>76000</v>
      </c>
      <c r="N60">
        <v>10452</v>
      </c>
      <c r="O60">
        <v>81</v>
      </c>
      <c r="P60">
        <v>10</v>
      </c>
      <c r="Q60">
        <v>6</v>
      </c>
      <c r="R60">
        <v>20</v>
      </c>
      <c r="S60">
        <v>5</v>
      </c>
      <c r="T60">
        <v>7</v>
      </c>
      <c r="U60" s="168">
        <v>44769</v>
      </c>
      <c r="V60">
        <v>9</v>
      </c>
      <c r="W60" s="169" t="s">
        <v>148</v>
      </c>
      <c r="X60">
        <v>1</v>
      </c>
      <c r="Y60">
        <v>1</v>
      </c>
      <c r="Z60" t="s">
        <v>148</v>
      </c>
    </row>
    <row r="61" spans="1:26" x14ac:dyDescent="0.25">
      <c r="A61" s="169" t="s">
        <v>186</v>
      </c>
      <c r="B61">
        <v>23</v>
      </c>
      <c r="C61" s="169" t="s">
        <v>404</v>
      </c>
      <c r="D61">
        <v>432131108</v>
      </c>
      <c r="F61" s="169" t="s">
        <v>180</v>
      </c>
      <c r="H61" s="169" t="s">
        <v>172</v>
      </c>
      <c r="J61" s="169" t="s">
        <v>172</v>
      </c>
      <c r="K61">
        <v>32</v>
      </c>
      <c r="L61">
        <v>72</v>
      </c>
      <c r="M61">
        <v>80270</v>
      </c>
      <c r="N61">
        <v>10452</v>
      </c>
      <c r="O61">
        <v>82</v>
      </c>
      <c r="P61">
        <v>10</v>
      </c>
      <c r="Q61">
        <v>6</v>
      </c>
      <c r="R61">
        <v>20</v>
      </c>
      <c r="S61">
        <v>6</v>
      </c>
      <c r="T61">
        <v>7</v>
      </c>
      <c r="U61" s="168">
        <v>44776</v>
      </c>
      <c r="V61">
        <v>9</v>
      </c>
      <c r="W61" s="169" t="s">
        <v>148</v>
      </c>
      <c r="X61">
        <v>1</v>
      </c>
      <c r="Y61">
        <v>2</v>
      </c>
      <c r="Z61" t="s">
        <v>148</v>
      </c>
    </row>
    <row r="62" spans="1:26" x14ac:dyDescent="0.25">
      <c r="A62" s="169" t="s">
        <v>174</v>
      </c>
      <c r="B62">
        <v>26</v>
      </c>
      <c r="C62" s="169" t="s">
        <v>405</v>
      </c>
      <c r="D62">
        <v>460847842</v>
      </c>
      <c r="F62" s="169" t="s">
        <v>180</v>
      </c>
      <c r="G62">
        <v>1</v>
      </c>
      <c r="H62" s="169" t="s">
        <v>172</v>
      </c>
      <c r="J62" s="169" t="s">
        <v>172</v>
      </c>
      <c r="K62">
        <v>21</v>
      </c>
      <c r="L62">
        <v>21</v>
      </c>
      <c r="M62">
        <v>250</v>
      </c>
      <c r="N62">
        <v>270</v>
      </c>
      <c r="O62">
        <v>59</v>
      </c>
      <c r="P62">
        <v>2</v>
      </c>
      <c r="Q62">
        <v>4</v>
      </c>
      <c r="R62">
        <v>20</v>
      </c>
      <c r="S62">
        <v>2</v>
      </c>
      <c r="T62">
        <v>8</v>
      </c>
      <c r="U62" s="168">
        <v>44727</v>
      </c>
      <c r="V62">
        <v>15</v>
      </c>
      <c r="W62" s="169" t="s">
        <v>147</v>
      </c>
      <c r="X62">
        <v>0</v>
      </c>
      <c r="Y62">
        <v>2</v>
      </c>
    </row>
    <row r="63" spans="1:26" x14ac:dyDescent="0.25">
      <c r="A63" s="169" t="s">
        <v>174</v>
      </c>
      <c r="B63">
        <v>26</v>
      </c>
      <c r="C63" s="169" t="s">
        <v>405</v>
      </c>
      <c r="D63">
        <v>460847842</v>
      </c>
      <c r="F63" s="169" t="s">
        <v>180</v>
      </c>
      <c r="G63">
        <v>1</v>
      </c>
      <c r="H63" s="169" t="s">
        <v>172</v>
      </c>
      <c r="K63">
        <v>21</v>
      </c>
      <c r="L63">
        <v>17</v>
      </c>
      <c r="M63">
        <v>300</v>
      </c>
      <c r="N63">
        <v>270</v>
      </c>
      <c r="O63">
        <v>58</v>
      </c>
      <c r="P63">
        <v>2</v>
      </c>
      <c r="Q63">
        <v>4</v>
      </c>
      <c r="R63">
        <v>20</v>
      </c>
      <c r="S63">
        <v>3</v>
      </c>
      <c r="T63">
        <v>8</v>
      </c>
      <c r="U63" s="168">
        <v>44727</v>
      </c>
      <c r="V63">
        <v>1.5</v>
      </c>
      <c r="W63" s="169" t="s">
        <v>147</v>
      </c>
      <c r="X63">
        <v>0</v>
      </c>
      <c r="Y63">
        <v>1</v>
      </c>
    </row>
    <row r="64" spans="1:26" x14ac:dyDescent="0.25">
      <c r="A64" s="169" t="s">
        <v>190</v>
      </c>
      <c r="B64">
        <v>20</v>
      </c>
      <c r="C64" s="169" t="s">
        <v>402</v>
      </c>
      <c r="D64">
        <v>414268403</v>
      </c>
      <c r="F64" s="169" t="s">
        <v>180</v>
      </c>
      <c r="H64" s="169" t="s">
        <v>172</v>
      </c>
      <c r="J64" s="169" t="s">
        <v>172</v>
      </c>
      <c r="K64">
        <v>39</v>
      </c>
      <c r="L64">
        <v>0</v>
      </c>
      <c r="M64">
        <v>2190</v>
      </c>
      <c r="N64">
        <v>468</v>
      </c>
      <c r="O64">
        <v>98</v>
      </c>
      <c r="P64">
        <v>12</v>
      </c>
      <c r="Q64">
        <v>4</v>
      </c>
      <c r="R64">
        <v>20</v>
      </c>
      <c r="S64">
        <v>5</v>
      </c>
      <c r="T64">
        <v>4</v>
      </c>
      <c r="U64" s="168">
        <v>44776</v>
      </c>
      <c r="V64">
        <v>45</v>
      </c>
      <c r="W64" s="169" t="s">
        <v>146</v>
      </c>
      <c r="X64">
        <v>0</v>
      </c>
      <c r="Y64">
        <v>2</v>
      </c>
    </row>
    <row r="65" spans="1:26" x14ac:dyDescent="0.25">
      <c r="A65" s="169" t="s">
        <v>190</v>
      </c>
      <c r="B65">
        <v>20</v>
      </c>
      <c r="C65" s="169" t="s">
        <v>402</v>
      </c>
      <c r="D65">
        <v>414268403</v>
      </c>
      <c r="F65" s="169" t="s">
        <v>180</v>
      </c>
      <c r="H65" s="169" t="s">
        <v>172</v>
      </c>
      <c r="K65">
        <v>38</v>
      </c>
      <c r="L65">
        <v>108</v>
      </c>
      <c r="M65">
        <v>2660</v>
      </c>
      <c r="N65">
        <v>696</v>
      </c>
      <c r="O65">
        <v>98</v>
      </c>
      <c r="P65">
        <v>12</v>
      </c>
      <c r="Q65">
        <v>4</v>
      </c>
      <c r="R65">
        <v>20</v>
      </c>
      <c r="S65">
        <v>6</v>
      </c>
      <c r="T65">
        <v>4</v>
      </c>
      <c r="U65" s="168">
        <v>44762</v>
      </c>
      <c r="V65">
        <v>2</v>
      </c>
      <c r="W65" s="169" t="s">
        <v>173</v>
      </c>
      <c r="X65">
        <v>0</v>
      </c>
      <c r="Y65">
        <v>1</v>
      </c>
    </row>
    <row r="66" spans="1:26" x14ac:dyDescent="0.25">
      <c r="A66" s="169" t="s">
        <v>385</v>
      </c>
      <c r="B66">
        <v>5</v>
      </c>
      <c r="C66" s="169" t="s">
        <v>386</v>
      </c>
      <c r="D66">
        <v>435437953</v>
      </c>
      <c r="F66" s="169" t="s">
        <v>171</v>
      </c>
      <c r="H66" s="169" t="s">
        <v>172</v>
      </c>
      <c r="J66" s="169" t="s">
        <v>172</v>
      </c>
      <c r="K66">
        <v>31</v>
      </c>
      <c r="L66">
        <v>37</v>
      </c>
      <c r="M66">
        <v>331140</v>
      </c>
      <c r="N66">
        <v>46848</v>
      </c>
      <c r="O66">
        <v>225</v>
      </c>
      <c r="P66">
        <v>17</v>
      </c>
      <c r="Q66">
        <v>1</v>
      </c>
      <c r="R66">
        <v>20</v>
      </c>
      <c r="S66">
        <v>7</v>
      </c>
      <c r="T66">
        <v>8</v>
      </c>
      <c r="U66" s="168">
        <v>44776</v>
      </c>
      <c r="V66">
        <v>85</v>
      </c>
      <c r="W66" s="169" t="s">
        <v>146</v>
      </c>
      <c r="X66">
        <v>1</v>
      </c>
      <c r="Y66">
        <v>2</v>
      </c>
      <c r="Z66" t="s">
        <v>462</v>
      </c>
    </row>
    <row r="67" spans="1:26" x14ac:dyDescent="0.25">
      <c r="A67" s="169" t="s">
        <v>385</v>
      </c>
      <c r="B67">
        <v>5</v>
      </c>
      <c r="C67" s="169" t="s">
        <v>386</v>
      </c>
      <c r="D67">
        <v>435437953</v>
      </c>
      <c r="F67" s="169" t="s">
        <v>171</v>
      </c>
      <c r="H67" s="169" t="s">
        <v>172</v>
      </c>
      <c r="K67">
        <v>31</v>
      </c>
      <c r="L67">
        <v>33</v>
      </c>
      <c r="M67">
        <v>340090</v>
      </c>
      <c r="N67">
        <v>46848</v>
      </c>
      <c r="O67">
        <v>224</v>
      </c>
      <c r="P67">
        <v>17</v>
      </c>
      <c r="Q67">
        <v>1</v>
      </c>
      <c r="R67">
        <v>20</v>
      </c>
      <c r="S67">
        <v>7</v>
      </c>
      <c r="T67">
        <v>8</v>
      </c>
      <c r="U67" s="168">
        <v>44772</v>
      </c>
      <c r="V67">
        <v>11.5</v>
      </c>
      <c r="W67" s="169" t="s">
        <v>181</v>
      </c>
      <c r="X67">
        <v>1</v>
      </c>
      <c r="Y67">
        <v>1</v>
      </c>
      <c r="Z67" t="s">
        <v>462</v>
      </c>
    </row>
    <row r="68" spans="1:26" x14ac:dyDescent="0.25">
      <c r="A68" s="169" t="s">
        <v>174</v>
      </c>
      <c r="C68" s="169" t="s">
        <v>423</v>
      </c>
      <c r="D68">
        <v>471121858</v>
      </c>
      <c r="F68" s="169" t="s">
        <v>347</v>
      </c>
      <c r="G68">
        <v>1</v>
      </c>
      <c r="H68" s="169" t="s">
        <v>172</v>
      </c>
      <c r="J68">
        <v>1</v>
      </c>
      <c r="K68">
        <v>17</v>
      </c>
      <c r="L68">
        <v>97</v>
      </c>
      <c r="M68">
        <v>1000</v>
      </c>
      <c r="N68">
        <v>290</v>
      </c>
      <c r="O68">
        <v>0</v>
      </c>
      <c r="P68">
        <v>2</v>
      </c>
      <c r="Q68">
        <v>6</v>
      </c>
      <c r="R68">
        <v>20</v>
      </c>
      <c r="S68">
        <v>6</v>
      </c>
      <c r="T68">
        <v>4</v>
      </c>
      <c r="U68" s="168"/>
      <c r="W68" s="169" t="s">
        <v>172</v>
      </c>
      <c r="X68">
        <v>0</v>
      </c>
      <c r="Y68">
        <v>1</v>
      </c>
      <c r="Z68" t="s">
        <v>462</v>
      </c>
    </row>
    <row r="69" spans="1:26" x14ac:dyDescent="0.25">
      <c r="A69" s="169" t="s">
        <v>292</v>
      </c>
      <c r="B69">
        <v>1</v>
      </c>
      <c r="C69" s="169" t="s">
        <v>378</v>
      </c>
      <c r="D69">
        <v>435755456</v>
      </c>
      <c r="F69" s="169" t="s">
        <v>172</v>
      </c>
      <c r="H69" s="169" t="s">
        <v>172</v>
      </c>
      <c r="K69">
        <v>31</v>
      </c>
      <c r="L69">
        <v>66</v>
      </c>
      <c r="M69">
        <v>52730</v>
      </c>
      <c r="N69">
        <v>31128</v>
      </c>
      <c r="O69">
        <v>18</v>
      </c>
      <c r="P69">
        <v>11</v>
      </c>
      <c r="Q69">
        <v>4</v>
      </c>
      <c r="R69">
        <v>12</v>
      </c>
      <c r="S69">
        <v>5</v>
      </c>
      <c r="T69">
        <v>7</v>
      </c>
      <c r="U69" s="168">
        <v>44772</v>
      </c>
      <c r="V69">
        <v>8</v>
      </c>
      <c r="W69" s="169" t="s">
        <v>173</v>
      </c>
      <c r="X69">
        <v>1</v>
      </c>
      <c r="Y69">
        <v>1</v>
      </c>
      <c r="Z69" t="s">
        <v>173</v>
      </c>
    </row>
    <row r="70" spans="1:26" x14ac:dyDescent="0.25">
      <c r="A70" s="169" t="s">
        <v>292</v>
      </c>
      <c r="B70">
        <v>1</v>
      </c>
      <c r="C70" s="169" t="s">
        <v>378</v>
      </c>
      <c r="D70">
        <v>435755456</v>
      </c>
      <c r="F70" s="169" t="s">
        <v>172</v>
      </c>
      <c r="H70" s="169" t="s">
        <v>172</v>
      </c>
      <c r="J70" s="169" t="s">
        <v>172</v>
      </c>
      <c r="K70">
        <v>31</v>
      </c>
      <c r="L70">
        <v>70</v>
      </c>
      <c r="M70">
        <v>56750</v>
      </c>
      <c r="N70">
        <v>31128</v>
      </c>
      <c r="O70">
        <v>19</v>
      </c>
      <c r="P70">
        <v>11</v>
      </c>
      <c r="Q70">
        <v>4</v>
      </c>
      <c r="R70">
        <v>13</v>
      </c>
      <c r="S70">
        <v>5</v>
      </c>
      <c r="T70">
        <v>7</v>
      </c>
      <c r="U70" s="168">
        <v>44776</v>
      </c>
      <c r="V70">
        <v>8</v>
      </c>
      <c r="W70" s="169" t="s">
        <v>173</v>
      </c>
      <c r="X70">
        <v>1</v>
      </c>
      <c r="Y70">
        <v>2</v>
      </c>
      <c r="Z70" t="s">
        <v>173</v>
      </c>
    </row>
    <row r="71" spans="1:26" x14ac:dyDescent="0.25">
      <c r="A71" s="169" t="s">
        <v>399</v>
      </c>
      <c r="B71">
        <v>14</v>
      </c>
      <c r="C71" s="169" t="s">
        <v>400</v>
      </c>
      <c r="D71">
        <v>436420259</v>
      </c>
      <c r="F71" s="169" t="s">
        <v>183</v>
      </c>
      <c r="H71" s="169" t="s">
        <v>172</v>
      </c>
      <c r="K71">
        <v>30</v>
      </c>
      <c r="L71">
        <v>74</v>
      </c>
      <c r="M71">
        <v>264900</v>
      </c>
      <c r="N71">
        <v>35892</v>
      </c>
      <c r="O71">
        <v>2</v>
      </c>
      <c r="P71">
        <v>11</v>
      </c>
      <c r="Q71">
        <v>2</v>
      </c>
      <c r="R71">
        <v>4</v>
      </c>
      <c r="S71">
        <v>8</v>
      </c>
      <c r="T71">
        <v>7</v>
      </c>
      <c r="U71" s="168">
        <v>44772</v>
      </c>
      <c r="V71">
        <v>9.5</v>
      </c>
      <c r="W71" s="169" t="s">
        <v>177</v>
      </c>
      <c r="X71">
        <v>1</v>
      </c>
      <c r="Y71">
        <v>1</v>
      </c>
      <c r="Z71" t="s">
        <v>465</v>
      </c>
    </row>
    <row r="72" spans="1:26" x14ac:dyDescent="0.25">
      <c r="A72" s="169" t="s">
        <v>399</v>
      </c>
      <c r="B72">
        <v>14</v>
      </c>
      <c r="C72" s="169" t="s">
        <v>400</v>
      </c>
      <c r="D72">
        <v>436420259</v>
      </c>
      <c r="F72" s="169" t="s">
        <v>183</v>
      </c>
      <c r="H72" s="169" t="s">
        <v>172</v>
      </c>
      <c r="J72" s="169" t="s">
        <v>172</v>
      </c>
      <c r="K72">
        <v>30</v>
      </c>
      <c r="L72">
        <v>78</v>
      </c>
      <c r="M72">
        <v>270320</v>
      </c>
      <c r="N72">
        <v>35892</v>
      </c>
      <c r="O72">
        <v>2</v>
      </c>
      <c r="P72">
        <v>11</v>
      </c>
      <c r="Q72">
        <v>2</v>
      </c>
      <c r="R72">
        <v>5</v>
      </c>
      <c r="S72">
        <v>8</v>
      </c>
      <c r="T72">
        <v>7</v>
      </c>
      <c r="U72" s="168">
        <v>44776</v>
      </c>
      <c r="V72">
        <v>9</v>
      </c>
      <c r="W72" s="169" t="s">
        <v>201</v>
      </c>
      <c r="X72">
        <v>1</v>
      </c>
      <c r="Y72">
        <v>2</v>
      </c>
      <c r="Z72" t="s">
        <v>465</v>
      </c>
    </row>
    <row r="73" spans="1:26" x14ac:dyDescent="0.25">
      <c r="A73" s="169" t="s">
        <v>393</v>
      </c>
      <c r="B73">
        <v>9</v>
      </c>
      <c r="C73" s="169" t="s">
        <v>394</v>
      </c>
      <c r="D73">
        <v>435557103</v>
      </c>
      <c r="F73" s="169" t="s">
        <v>171</v>
      </c>
      <c r="H73" s="169" t="s">
        <v>172</v>
      </c>
      <c r="K73">
        <v>31</v>
      </c>
      <c r="L73">
        <v>5</v>
      </c>
      <c r="M73">
        <v>150760</v>
      </c>
      <c r="N73">
        <v>56568</v>
      </c>
      <c r="O73">
        <v>2</v>
      </c>
      <c r="P73">
        <v>10</v>
      </c>
      <c r="Q73">
        <v>2</v>
      </c>
      <c r="R73">
        <v>5</v>
      </c>
      <c r="S73">
        <v>5</v>
      </c>
      <c r="T73">
        <v>7</v>
      </c>
      <c r="U73" s="168">
        <v>44765</v>
      </c>
      <c r="V73">
        <v>6.5</v>
      </c>
      <c r="W73" s="169" t="s">
        <v>181</v>
      </c>
      <c r="X73">
        <v>1</v>
      </c>
      <c r="Y73">
        <v>1</v>
      </c>
      <c r="Z73" t="s">
        <v>242</v>
      </c>
    </row>
    <row r="74" spans="1:26" x14ac:dyDescent="0.25">
      <c r="A74" s="169" t="s">
        <v>393</v>
      </c>
      <c r="B74">
        <v>9</v>
      </c>
      <c r="C74" s="169" t="s">
        <v>394</v>
      </c>
      <c r="D74">
        <v>435557103</v>
      </c>
      <c r="F74" s="169" t="s">
        <v>171</v>
      </c>
      <c r="H74" s="169" t="s">
        <v>172</v>
      </c>
      <c r="J74" s="169" t="s">
        <v>172</v>
      </c>
      <c r="K74">
        <v>31</v>
      </c>
      <c r="L74">
        <v>9</v>
      </c>
      <c r="M74">
        <v>158870</v>
      </c>
      <c r="N74">
        <v>56568</v>
      </c>
      <c r="O74">
        <v>2</v>
      </c>
      <c r="P74">
        <v>10</v>
      </c>
      <c r="Q74">
        <v>2</v>
      </c>
      <c r="R74">
        <v>5</v>
      </c>
      <c r="S74">
        <v>6</v>
      </c>
      <c r="T74">
        <v>7</v>
      </c>
      <c r="U74" s="168">
        <v>44776</v>
      </c>
      <c r="V74">
        <v>45</v>
      </c>
      <c r="W74" s="169" t="s">
        <v>148</v>
      </c>
      <c r="X74">
        <v>1</v>
      </c>
      <c r="Y74">
        <v>2</v>
      </c>
      <c r="Z74" t="s">
        <v>242</v>
      </c>
    </row>
  </sheetData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F A A B Q S w M E F A A C A A g A S l 4 I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S l 4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e C F U c 4 9 H K 2 Q I A A J E n A A A T A B w A R m 9 y b X V s Y X M v U 2 V j d G l v b j E u b S C i G A A o o B Q A A A A A A A A A A A A A A A A A A A A A A A A A A A D t m c 1 u 2 k A Q x + 9 I v M P I u R D J Q s a G Q F p x S K F R k a o k D f Q U K r T Y G 7 L V e t f a X d J 8 K I / U U 2 + 9 5 s U 6 N k F J s E l b K R y C l w v 2 7 H j + M 7 O 7 P / l D 0 9 A w K W C 4 + G + 8 r 1 a q F X 1 B F I 1 g x 0 k 4 u a Z K T / z 9 S X v i e 7 7 v Q m M P g i Y 0 m w 5 0 g V N T r Q D + j h W b U Y G W n r 6 s 9 2 U 4 j 6 k w t U P G a b 0 n h c E T X X N 6 7 8 Z f N U Y b D 0 6 O T 8 d 9 + U N w S S I 9 f k G k H u p L Z 9 c 9 6 1 P O Y m a o 6 j q u 4 0 J P 8 n k s d N c P X P g o Q h k x M e v u t T y v 4 c K X u T R 0 a K 4 5 7 T 4 e 1 o + k o N 9 2 3 U W 2 O w 5 e R K b 0 h k R S Q 6 J k L C 8 Z H q Y l j c g U 3 U 9 S m 6 G f K I k w s 9 q i P B f O H u w H n A 9 D w o n S X a P m T w O P W C I h J P G U Y e z H e C N F h D 6 X K l 5 k P r p O q K 6 t T c O 9 v X W O S I j T Q T i L S I Q V G 7 w C D L 0 y d y 7 c O n 2 p N O F o H g i z 1 6 y n 4 T L 7 k Y y n i u b c B 3 2 I K I f v 8 x k q q f x l H 4 V R V K w Z 0 w k N 2 Z o 8 P k j B z l m I q d 7 / E p B I B S G f T 1 E M Z N a x f L j P V G N Z V O d C H c S p 2 W R V Z 8 O 5 H I E T 4 A x d 0 v g m a y j F t D G 5 I v d F u i v W / v 3 P I u f R c J A 3 D t P 5 Z b J g g M Z E E A 2 4 3 r G p a c E F 8 l c J V S x L r q A H D B c V u Z k V x D 7 E o W W r V 4 d w 9 R Q E O 8 W G a r N G 6 Z C G F w T u f 3 P D Y g k J U Q b X 1 7 L 1 E T H L E C L C 3 Y W b V B b 4 r r Y Q q 1 f L G V 8 T O Z v U u 9 1 q h Y n i f f F 3 y L Q h 6 E D g b x Y y D y I W M t s L m Z W R H G W e S 1 n I l A w y z X 1 o N T Y N m U z E Q s Z C 5 t 8 g s + J t G f P G G d N q Q b O 9 a c Z k I p Y x 5 W X M f z 4 u W c h s E 2 Q 6 4 P k Q b P h G 5 k H E Q u Z l y D w 3 W 8 Z Y x r x d x j Q m n e X u 9 8 D z I A h e H z F 5 D U u Y 7 b 2 N s S 9 9 L W J e Q A z e Y 2 z g w 1 J e w y K m t I i x b 3 x L R p j W 0 9 3 v t / E p 5 v U J k 9 e w h C k t Y e x j U s k I 0 3 n c / Y 3 0 a 0 + w g d e 9 e Q 1 L m O 0 l j P 2 i V F r C / A F Q S w E C L Q A U A A I A C A B K X g h V 0 I l H 1 q Q A A A D 2 A A A A E g A A A A A A A A A A A A A A A A A A A A A A Q 2 9 u Z m l n L 1 B h Y 2 t h Z 2 U u e G 1 s U E s B A i 0 A F A A C A A g A S l 4 I V Q / K 6 a u k A A A A 6 Q A A A B M A A A A A A A A A A A A A A A A A 8 A A A A F t D b 2 5 0 Z W 5 0 X 1 R 5 c G V z X S 5 4 b W x Q S w E C L Q A U A A I A C A B K X g h V H O P R y t k C A A C R J w A A E w A A A A A A A A A A A A A A A A D h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4 g A A A A A A A C H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i U y M D M 0 J T I w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e W V y c 1 8 y O V 8 3 X z I w M j J f X z E 2 X z M 0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E 0 O j M 1 O j U 5 L j A w N j Y 5 O D Z a I i A v P j x F b n R y e S B U e X B l P S J G a W x s Q 2 9 s d W 1 u V H l w Z X M i I F Z h b H V l P S J z Q m d N R 0 F 3 T U d B d 1 l E Q X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y O V 8 3 X z I w M j I s I D E 2 I D M 0 I D Q 0 L 0 F 1 d G 9 S Z W 1 v d m V k Q 2 9 s d W 1 u c z E u e 0 5 h Y 2 l v b m F s a W R h Z C w w f S Z x d W 9 0 O y w m c X V v d D t T Z W N 0 a W 9 u M S 9 w b G F 5 Z X J z X z I 5 X z d f M j A y M i w g M T Y g M z Q g N D Q v Q X V 0 b 1 J l b W 9 2 Z W R D b 2 x 1 b W 5 z M S 5 7 R G 9 y c 2 F s L D F 9 J n F 1 b 3 Q 7 L C Z x d W 9 0 O 1 N l Y 3 R p b 2 4 x L 3 B s Y X l l c n N f M j l f N 1 8 y M D I y L C A x N i A z N C A 0 N C 9 B d X R v U m V t b 3 Z l Z E N v b H V t b n M x L n t O b 2 1 i c m U s M n 0 m c X V v d D s s J n F 1 b 3 Q 7 U 2 V j d G l v b j E v c G x h e W V y c 1 8 y O V 8 3 X z I w M j I s I D E 2 I D M 0 I D Q 0 L 0 F 1 d G 9 S Z W 1 v d m V k Q 2 9 s d W 1 u c z E u e 0 l E I G R l b C B q d W d h Z G 9 y L D N 9 J n F 1 b 3 Q 7 L C Z x d W 9 0 O 1 N l Y 3 R p b 2 4 x L 3 B s Y X l l c n N f M j l f N 1 8 y M D I y L C A x N i A z N C A 0 N C 9 B d X R v U m V t b 3 Z l Z E N v b H V t b n M x L n t F b n R y Z W 5 h Z G 9 y L D R 9 J n F 1 b 3 Q 7 L C Z x d W 9 0 O 1 N l Y 3 R p b 2 4 x L 3 B s Y X l l c n N f M j l f N 1 8 y M D I y L C A x N i A z N C A 0 N C 9 B d X R v U m V t b 3 Z l Z E N v b H V t b n M x L n t F c 3 B l Y 2 l h b G l k Y W Q s N X 0 m c X V v d D s s J n F 1 b 3 Q 7 U 2 V j d G l v b j E v c G x h e W V y c 1 8 y O V 8 3 X z I w M j I s I D E 2 I D M 0 I D Q 0 L 0 F 1 d G 9 S Z W 1 v d m V k Q 2 9 s d W 1 u c z E u e 0 J v b m l m a W N h Y 2 n D s 2 4 g c G 9 y I G N s d W I g Z G U g b 3 J p Z 2 V u L D Z 9 J n F 1 b 3 Q 7 L C Z x d W 9 0 O 1 N l Y 3 R p b 2 4 x L 3 B s Y X l l c n N f M j l f N 1 8 y M D I y L C A x N i A z N C A 0 N C 9 B d X R v U m V t b 3 Z l Z E N v b H V t b n M x L n t M Z X N p b 2 5 l c y w 3 f S Z x d W 9 0 O y w m c X V v d D t T Z W N 0 a W 9 u M S 9 w b G F 5 Z X J z X z I 5 X z d f M j A y M i w g M T Y g M z Q g N D Q v Q X V 0 b 1 J l b W 9 2 Z W R D b 2 x 1 b W 5 z M S 5 7 Q W 1 v b m V z d G F j a W 9 u Z X M s O H 0 m c X V v d D s s J n F 1 b 3 Q 7 U 2 V j d G l v b j E v c G x h e W V y c 1 8 y O V 8 3 X z I w M j I s I D E 2 I D M 0 I D Q 0 L 0 F 1 d G 9 S Z W 1 v d m V k Q 2 9 s d W 1 u c z E u e 0 V u I G x h I G x p c 3 R h I G R l I H R y Y W 5 z Z m V y Z W 5 j a W F z L D l 9 J n F 1 b 3 Q 7 L C Z x d W 9 0 O 1 N l Y 3 R p b 2 4 x L 3 B s Y X l l c n N f M j l f N 1 8 y M D I y L C A x N i A z N C A 0 N C 9 B d X R v U m V t b 3 Z l Z E N v b H V t b n M x L n t F Z G F k L D E w f S Z x d W 9 0 O y w m c X V v d D t T Z W N 0 a W 9 u M S 9 w b G F 5 Z X J z X z I 5 X z d f M j A y M i w g M T Y g M z Q g N D Q v Q X V 0 b 1 J l b W 9 2 Z W R D b 2 x 1 b W 5 z M S 5 7 R M O t Y X M s M T F 9 J n F 1 b 3 Q 7 L C Z x d W 9 0 O 1 N l Y 3 R p b 2 4 x L 3 B s Y X l l c n N f M j l f N 1 8 y M D I y L C A x N i A z N C A 0 N C 9 B d X R v U m V t b 3 Z l Z E N v b H V t b n M x L n t U U 0 k s M T J 9 J n F 1 b 3 Q 7 L C Z x d W 9 0 O 1 N l Y 3 R p b 2 4 x L 3 B s Y X l l c n N f M j l f N 1 8 y M D I y L C A x N i A z N C A 0 N C 9 B d X R v U m V t b 3 Z l Z E N v b H V t b n M x L n t T Y W x h c m l v L D E z f S Z x d W 9 0 O y w m c X V v d D t T Z W N 0 a W 9 u M S 9 w b G F 5 Z X J z X z I 5 X z d f M j A y M i w g M T Y g M z Q g N D Q v Q X V 0 b 1 J l b W 9 2 Z W R D b 2 x 1 b W 5 z M S 5 7 U 2 V t Y W 5 h c y B l b i B l b C B j b H V i L D E 0 f S Z x d W 9 0 O y w m c X V v d D t T Z W N 0 a W 9 u M S 9 w b G F 5 Z X J z X z I 5 X z d f M j A y M i w g M T Y g M z Q g N D Q v Q X V 0 b 1 J l b W 9 2 Z W R D b 2 x 1 b W 5 z M S 5 7 R X h w Z X J p Z W 5 j a W E s M T V 9 J n F 1 b 3 Q 7 L C Z x d W 9 0 O 1 N l Y 3 R p b 2 4 x L 3 B s Y X l l c n N f M j l f N 1 8 y M D I y L C A x N i A z N C A 0 N C 9 B d X R v U m V t b 3 Z l Z E N v b H V t b n M x L n t M a W R l c m F 6 Z 2 8 s M T Z 9 J n F 1 b 3 Q 7 L C Z x d W 9 0 O 1 N l Y 3 R p b 2 4 x L 3 B s Y X l l c n N f M j l f N 1 8 y M D I y L C A x N i A z N C A 0 N C 9 B d X R v U m V t b 3 Z l Z E N v b H V t b n M x L n t G a W R l b G l k Y W Q s M T d 9 J n F 1 b 3 Q 7 L C Z x d W 9 0 O 1 N l Y 3 R p b 2 4 x L 3 B s Y X l l c n N f M j l f N 1 8 y M D I y L C A x N i A z N C A 0 N C 9 B d X R v U m V t b 3 Z l Z E N v b H V t b n M x L n t G b 3 J t Y S w x O H 0 m c X V v d D s s J n F 1 b 3 Q 7 U 2 V j d G l v b j E v c G x h e W V y c 1 8 y O V 8 3 X z I w M j I s I D E 2 I D M 0 I D Q 0 L 0 F 1 d G 9 S Z W 1 v d m V k Q 2 9 s d W 1 u c z E u e 1 J l c 2 l z d G V u Y 2 l h L D E 5 f S Z x d W 9 0 O y w m c X V v d D t T Z W N 0 a W 9 u M S 9 w b G F 5 Z X J z X z I 5 X z d f M j A y M i w g M T Y g M z Q g N D Q v Q X V 0 b 1 J l b W 9 2 Z W R D b 2 x 1 b W 5 z M S 5 7 R m V j a G E g w 7 p s d G l t b y B w Y X J 0 a W R v L D I w f S Z x d W 9 0 O y w m c X V v d D t T Z W N 0 a W 9 u M S 9 w b G F 5 Z X J z X z I 5 X z d f M j A y M i w g M T Y g M z Q g N D Q v Q X V 0 b 1 J l b W 9 2 Z W R D b 2 x 1 b W 5 z M S 5 7 U m V u Z G l t a W V u d G 8 g w 7 p s d G l t b y B w Y X J 0 a W R v L D I x f S Z x d W 9 0 O y w m c X V v d D t T Z W N 0 a W 9 u M S 9 w b G F 5 Z X J z X z I 5 X z d f M j A y M i w g M T Y g M z Q g N D Q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j l f N 1 8 y M D I y L C A x N i A z N C A 0 N C 9 B d X R v U m V t b 3 Z l Z E N v b H V t b n M x L n t O Y W N p b 2 5 h b G l k Y W Q s M H 0 m c X V v d D s s J n F 1 b 3 Q 7 U 2 V j d G l v b j E v c G x h e W V y c 1 8 y O V 8 3 X z I w M j I s I D E 2 I D M 0 I D Q 0 L 0 F 1 d G 9 S Z W 1 v d m V k Q 2 9 s d W 1 u c z E u e 0 R v c n N h b C w x f S Z x d W 9 0 O y w m c X V v d D t T Z W N 0 a W 9 u M S 9 w b G F 5 Z X J z X z I 5 X z d f M j A y M i w g M T Y g M z Q g N D Q v Q X V 0 b 1 J l b W 9 2 Z W R D b 2 x 1 b W 5 z M S 5 7 T m 9 t Y n J l L D J 9 J n F 1 b 3 Q 7 L C Z x d W 9 0 O 1 N l Y 3 R p b 2 4 x L 3 B s Y X l l c n N f M j l f N 1 8 y M D I y L C A x N i A z N C A 0 N C 9 B d X R v U m V t b 3 Z l Z E N v b H V t b n M x L n t J R C B k Z W w g a n V n Y W R v c i w z f S Z x d W 9 0 O y w m c X V v d D t T Z W N 0 a W 9 u M S 9 w b G F 5 Z X J z X z I 5 X z d f M j A y M i w g M T Y g M z Q g N D Q v Q X V 0 b 1 J l b W 9 2 Z W R D b 2 x 1 b W 5 z M S 5 7 R W 5 0 c m V u Y W R v c i w 0 f S Z x d W 9 0 O y w m c X V v d D t T Z W N 0 a W 9 u M S 9 w b G F 5 Z X J z X z I 5 X z d f M j A y M i w g M T Y g M z Q g N D Q v Q X V 0 b 1 J l b W 9 2 Z W R D b 2 x 1 b W 5 z M S 5 7 R X N w Z W N p Y W x p Z G F k L D V 9 J n F 1 b 3 Q 7 L C Z x d W 9 0 O 1 N l Y 3 R p b 2 4 x L 3 B s Y X l l c n N f M j l f N 1 8 y M D I y L C A x N i A z N C A 0 N C 9 B d X R v U m V t b 3 Z l Z E N v b H V t b n M x L n t C b 2 5 p Z m l j Y W N p w 7 N u I H B v c i B j b H V i I G R l I G 9 y a W d l b i w 2 f S Z x d W 9 0 O y w m c X V v d D t T Z W N 0 a W 9 u M S 9 w b G F 5 Z X J z X z I 5 X z d f M j A y M i w g M T Y g M z Q g N D Q v Q X V 0 b 1 J l b W 9 2 Z W R D b 2 x 1 b W 5 z M S 5 7 T G V z a W 9 u Z X M s N 3 0 m c X V v d D s s J n F 1 b 3 Q 7 U 2 V j d G l v b j E v c G x h e W V y c 1 8 y O V 8 3 X z I w M j I s I D E 2 I D M 0 I D Q 0 L 0 F 1 d G 9 S Z W 1 v d m V k Q 2 9 s d W 1 u c z E u e 0 F t b 2 5 l c 3 R h Y 2 l v b m V z L D h 9 J n F 1 b 3 Q 7 L C Z x d W 9 0 O 1 N l Y 3 R p b 2 4 x L 3 B s Y X l l c n N f M j l f N 1 8 y M D I y L C A x N i A z N C A 0 N C 9 B d X R v U m V t b 3 Z l Z E N v b H V t b n M x L n t F b i B s Y S B s a X N 0 Y S B k Z S B 0 c m F u c 2 Z l c m V u Y 2 l h c y w 5 f S Z x d W 9 0 O y w m c X V v d D t T Z W N 0 a W 9 u M S 9 w b G F 5 Z X J z X z I 5 X z d f M j A y M i w g M T Y g M z Q g N D Q v Q X V 0 b 1 J l b W 9 2 Z W R D b 2 x 1 b W 5 z M S 5 7 R W R h Z C w x M H 0 m c X V v d D s s J n F 1 b 3 Q 7 U 2 V j d G l v b j E v c G x h e W V y c 1 8 y O V 8 3 X z I w M j I s I D E 2 I D M 0 I D Q 0 L 0 F 1 d G 9 S Z W 1 v d m V k Q 2 9 s d W 1 u c z E u e 0 T D r W F z L D E x f S Z x d W 9 0 O y w m c X V v d D t T Z W N 0 a W 9 u M S 9 w b G F 5 Z X J z X z I 5 X z d f M j A y M i w g M T Y g M z Q g N D Q v Q X V 0 b 1 J l b W 9 2 Z W R D b 2 x 1 b W 5 z M S 5 7 V F N J L D E y f S Z x d W 9 0 O y w m c X V v d D t T Z W N 0 a W 9 u M S 9 w b G F 5 Z X J z X z I 5 X z d f M j A y M i w g M T Y g M z Q g N D Q v Q X V 0 b 1 J l b W 9 2 Z W R D b 2 x 1 b W 5 z M S 5 7 U 2 F s Y X J p b y w x M 3 0 m c X V v d D s s J n F 1 b 3 Q 7 U 2 V j d G l v b j E v c G x h e W V y c 1 8 y O V 8 3 X z I w M j I s I D E 2 I D M 0 I D Q 0 L 0 F 1 d G 9 S Z W 1 v d m V k Q 2 9 s d W 1 u c z E u e 1 N l b W F u Y X M g Z W 4 g Z W w g Y 2 x 1 Y i w x N H 0 m c X V v d D s s J n F 1 b 3 Q 7 U 2 V j d G l v b j E v c G x h e W V y c 1 8 y O V 8 3 X z I w M j I s I D E 2 I D M 0 I D Q 0 L 0 F 1 d G 9 S Z W 1 v d m V k Q 2 9 s d W 1 u c z E u e 0 V 4 c G V y a W V u Y 2 l h L D E 1 f S Z x d W 9 0 O y w m c X V v d D t T Z W N 0 a W 9 u M S 9 w b G F 5 Z X J z X z I 5 X z d f M j A y M i w g M T Y g M z Q g N D Q v Q X V 0 b 1 J l b W 9 2 Z W R D b 2 x 1 b W 5 z M S 5 7 T G l k Z X J h e m d v L D E 2 f S Z x d W 9 0 O y w m c X V v d D t T Z W N 0 a W 9 u M S 9 w b G F 5 Z X J z X z I 5 X z d f M j A y M i w g M T Y g M z Q g N D Q v Q X V 0 b 1 J l b W 9 2 Z W R D b 2 x 1 b W 5 z M S 5 7 R m l k Z W x p Z G F k L D E 3 f S Z x d W 9 0 O y w m c X V v d D t T Z W N 0 a W 9 u M S 9 w b G F 5 Z X J z X z I 5 X z d f M j A y M i w g M T Y g M z Q g N D Q v Q X V 0 b 1 J l b W 9 2 Z W R D b 2 x 1 b W 5 z M S 5 7 R m 9 y b W E s M T h 9 J n F 1 b 3 Q 7 L C Z x d W 9 0 O 1 N l Y 3 R p b 2 4 x L 3 B s Y X l l c n N f M j l f N 1 8 y M D I y L C A x N i A z N C A 0 N C 9 B d X R v U m V t b 3 Z l Z E N v b H V t b n M x L n t S Z X N p c 3 R l b m N p Y S w x O X 0 m c X V v d D s s J n F 1 b 3 Q 7 U 2 V j d G l v b j E v c G x h e W V y c 1 8 y O V 8 3 X z I w M j I s I D E 2 I D M 0 I D Q 0 L 0 F 1 d G 9 S Z W 1 v d m V k Q 2 9 s d W 1 u c z E u e 0 Z l Y 2 h h I M O 6 b H R p b W 8 g c G F y d G l k b y w y M H 0 m c X V v d D s s J n F 1 b 3 Q 7 U 2 V j d G l v b j E v c G x h e W V y c 1 8 y O V 8 3 X z I w M j I s I D E 2 I D M 0 I D Q 0 L 0 F 1 d G 9 S Z W 1 v d m V k Q 2 9 s d W 1 u c z E u e 1 J l b m R p b W l l b n R v I M O 6 b H R p b W 8 g c G F y d G l k b y w y M X 0 m c X V v d D s s J n F 1 b 3 Q 7 U 2 V j d G l v b j E v c G x h e W V y c 1 8 y O V 8 3 X z I w M j I s I D E 2 I D M 0 I D Q 0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I 5 X z d f M j A y M i U y Q y U y M D E 2 J T I w M z Q l M j A 0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2 J T I w M z Q l M j A 0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2 J T I w M z Q l M j A 0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3 J T I w M z g l M j A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b G F 5 Z X J z X z I 5 X z d f M j A y M l 9 f M T d f M z h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l U M T U 6 M z k 6 M D M u M T Q 5 O T Y 5 O F o i I C 8 + P E V u d H J 5 I F R 5 c G U 9 I k Z p b G x D b 2 x 1 b W 5 U e X B l c y I g V m F s d W U 9 I n N C Z 0 1 H Q X d N R 0 F 3 T U d B d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I 5 X z d f M j A y M i w g M T c g M z g g M z I v Q X V 0 b 1 J l b W 9 2 Z W R D b 2 x 1 b W 5 z M S 5 7 T m F j a W 9 u Y W x p Z G F k L D B 9 J n F 1 b 3 Q 7 L C Z x d W 9 0 O 1 N l Y 3 R p b 2 4 x L 3 B s Y X l l c n N f M j l f N 1 8 y M D I y L C A x N y A z O C A z M i 9 B d X R v U m V t b 3 Z l Z E N v b H V t b n M x L n t E b 3 J z Y W w s M X 0 m c X V v d D s s J n F 1 b 3 Q 7 U 2 V j d G l v b j E v c G x h e W V y c 1 8 y O V 8 3 X z I w M j I s I D E 3 I D M 4 I D M y L 0 F 1 d G 9 S Z W 1 v d m V k Q 2 9 s d W 1 u c z E u e 0 5 v b W J y Z S w y f S Z x d W 9 0 O y w m c X V v d D t T Z W N 0 a W 9 u M S 9 w b G F 5 Z X J z X z I 5 X z d f M j A y M i w g M T c g M z g g M z I v Q X V 0 b 1 J l b W 9 2 Z W R D b 2 x 1 b W 5 z M S 5 7 S U Q g Z G V s I G p 1 Z 2 F k b 3 I s M 3 0 m c X V v d D s s J n F 1 b 3 Q 7 U 2 V j d G l v b j E v c G x h e W V y c 1 8 y O V 8 3 X z I w M j I s I D E 3 I D M 4 I D M y L 0 F 1 d G 9 S Z W 1 v d m V k Q 2 9 s d W 1 u c z E u e 0 V u d H J l b m F k b 3 I s N H 0 m c X V v d D s s J n F 1 b 3 Q 7 U 2 V j d G l v b j E v c G x h e W V y c 1 8 y O V 8 3 X z I w M j I s I D E 3 I D M 4 I D M y L 0 F 1 d G 9 S Z W 1 v d m V k Q 2 9 s d W 1 u c z E u e 0 V z c G V j a W F s a W R h Z C w 1 f S Z x d W 9 0 O y w m c X V v d D t T Z W N 0 a W 9 u M S 9 w b G F 5 Z X J z X z I 5 X z d f M j A y M i w g M T c g M z g g M z I v Q X V 0 b 1 J l b W 9 2 Z W R D b 2 x 1 b W 5 z M S 5 7 Q m 9 u a W Z p Y 2 F j a c O z b i B w b 3 I g Y 2 x 1 Y i B k Z S B v c m l n Z W 4 s N n 0 m c X V v d D s s J n F 1 b 3 Q 7 U 2 V j d G l v b j E v c G x h e W V y c 1 8 y O V 8 3 X z I w M j I s I D E 3 I D M 4 I D M y L 0 F 1 d G 9 S Z W 1 v d m V k Q 2 9 s d W 1 u c z E u e 0 x l c 2 l v b m V z L D d 9 J n F 1 b 3 Q 7 L C Z x d W 9 0 O 1 N l Y 3 R p b 2 4 x L 3 B s Y X l l c n N f M j l f N 1 8 y M D I y L C A x N y A z O C A z M i 9 B d X R v U m V t b 3 Z l Z E N v b H V t b n M x L n t B b W 9 u Z X N 0 Y W N p b 2 5 l c y w 4 f S Z x d W 9 0 O y w m c X V v d D t T Z W N 0 a W 9 u M S 9 w b G F 5 Z X J z X z I 5 X z d f M j A y M i w g M T c g M z g g M z I v Q X V 0 b 1 J l b W 9 2 Z W R D b 2 x 1 b W 5 z M S 5 7 R W 4 g b G E g b G l z d G E g Z G U g d H J h b n N m Z X J l b m N p Y X M s O X 0 m c X V v d D s s J n F 1 b 3 Q 7 U 2 V j d G l v b j E v c G x h e W V y c 1 8 y O V 8 3 X z I w M j I s I D E 3 I D M 4 I D M y L 0 F 1 d G 9 S Z W 1 v d m V k Q 2 9 s d W 1 u c z E u e 0 V k Y W Q s M T B 9 J n F 1 b 3 Q 7 L C Z x d W 9 0 O 1 N l Y 3 R p b 2 4 x L 3 B s Y X l l c n N f M j l f N 1 8 y M D I y L C A x N y A z O C A z M i 9 B d X R v U m V t b 3 Z l Z E N v b H V t b n M x L n t E w 6 1 h c y w x M X 0 m c X V v d D s s J n F 1 b 3 Q 7 U 2 V j d G l v b j E v c G x h e W V y c 1 8 y O V 8 3 X z I w M j I s I D E 3 I D M 4 I D M y L 0 F 1 d G 9 S Z W 1 v d m V k Q 2 9 s d W 1 u c z E u e 1 R T S S w x M n 0 m c X V v d D s s J n F 1 b 3 Q 7 U 2 V j d G l v b j E v c G x h e W V y c 1 8 y O V 8 3 X z I w M j I s I D E 3 I D M 4 I D M y L 0 F 1 d G 9 S Z W 1 v d m V k Q 2 9 s d W 1 u c z E u e 1 N h b G F y a W 8 s M T N 9 J n F 1 b 3 Q 7 L C Z x d W 9 0 O 1 N l Y 3 R p b 2 4 x L 3 B s Y X l l c n N f M j l f N 1 8 y M D I y L C A x N y A z O C A z M i 9 B d X R v U m V t b 3 Z l Z E N v b H V t b n M x L n t T Z W 1 h b m F z I G V u I G V s I G N s d W I s M T R 9 J n F 1 b 3 Q 7 L C Z x d W 9 0 O 1 N l Y 3 R p b 2 4 x L 3 B s Y X l l c n N f M j l f N 1 8 y M D I y L C A x N y A z O C A z M i 9 B d X R v U m V t b 3 Z l Z E N v b H V t b n M x L n t F e H B l c m l l b m N p Y S w x N X 0 m c X V v d D s s J n F 1 b 3 Q 7 U 2 V j d G l v b j E v c G x h e W V y c 1 8 y O V 8 3 X z I w M j I s I D E 3 I D M 4 I D M y L 0 F 1 d G 9 S Z W 1 v d m V k Q 2 9 s d W 1 u c z E u e 0 x p Z G V y Y X p n b y w x N n 0 m c X V v d D s s J n F 1 b 3 Q 7 U 2 V j d G l v b j E v c G x h e W V y c 1 8 y O V 8 3 X z I w M j I s I D E 3 I D M 4 I D M y L 0 F 1 d G 9 S Z W 1 v d m V k Q 2 9 s d W 1 u c z E u e 0 Z p Z G V s a W R h Z C w x N 3 0 m c X V v d D s s J n F 1 b 3 Q 7 U 2 V j d G l v b j E v c G x h e W V y c 1 8 y O V 8 3 X z I w M j I s I D E 3 I D M 4 I D M y L 0 F 1 d G 9 S Z W 1 v d m V k Q 2 9 s d W 1 u c z E u e 0 Z v c m 1 h L D E 4 f S Z x d W 9 0 O y w m c X V v d D t T Z W N 0 a W 9 u M S 9 w b G F 5 Z X J z X z I 5 X z d f M j A y M i w g M T c g M z g g M z I v Q X V 0 b 1 J l b W 9 2 Z W R D b 2 x 1 b W 5 z M S 5 7 U m V z a X N 0 Z W 5 j a W E s M T l 9 J n F 1 b 3 Q 7 L C Z x d W 9 0 O 1 N l Y 3 R p b 2 4 x L 3 B s Y X l l c n N f M j l f N 1 8 y M D I y L C A x N y A z O C A z M i 9 B d X R v U m V t b 3 Z l Z E N v b H V t b n M x L n t G Z W N o Y S D D u m x 0 a W 1 v I H B h c n R p Z G 8 s M j B 9 J n F 1 b 3 Q 7 L C Z x d W 9 0 O 1 N l Y 3 R p b 2 4 x L 3 B s Y X l l c n N f M j l f N 1 8 y M D I y L C A x N y A z O C A z M i 9 B d X R v U m V t b 3 Z l Z E N v b H V t b n M x L n t S Z W 5 k a W 1 p Z W 5 0 b y D D u m x 0 a W 1 v I H B h c n R p Z G 8 s M j F 9 J n F 1 b 3 Q 7 L C Z x d W 9 0 O 1 N l Y 3 R p b 2 4 x L 3 B s Y X l l c n N f M j l f N 1 8 y M D I y L C A x N y A z O C A z M i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y O V 8 3 X z I w M j I s I D E 3 I D M 4 I D M y L 0 F 1 d G 9 S Z W 1 v d m V k Q 2 9 s d W 1 u c z E u e 0 5 h Y 2 l v b m F s a W R h Z C w w f S Z x d W 9 0 O y w m c X V v d D t T Z W N 0 a W 9 u M S 9 w b G F 5 Z X J z X z I 5 X z d f M j A y M i w g M T c g M z g g M z I v Q X V 0 b 1 J l b W 9 2 Z W R D b 2 x 1 b W 5 z M S 5 7 R G 9 y c 2 F s L D F 9 J n F 1 b 3 Q 7 L C Z x d W 9 0 O 1 N l Y 3 R p b 2 4 x L 3 B s Y X l l c n N f M j l f N 1 8 y M D I y L C A x N y A z O C A z M i 9 B d X R v U m V t b 3 Z l Z E N v b H V t b n M x L n t O b 2 1 i c m U s M n 0 m c X V v d D s s J n F 1 b 3 Q 7 U 2 V j d G l v b j E v c G x h e W V y c 1 8 y O V 8 3 X z I w M j I s I D E 3 I D M 4 I D M y L 0 F 1 d G 9 S Z W 1 v d m V k Q 2 9 s d W 1 u c z E u e 0 l E I G R l b C B q d W d h Z G 9 y L D N 9 J n F 1 b 3 Q 7 L C Z x d W 9 0 O 1 N l Y 3 R p b 2 4 x L 3 B s Y X l l c n N f M j l f N 1 8 y M D I y L C A x N y A z O C A z M i 9 B d X R v U m V t b 3 Z l Z E N v b H V t b n M x L n t F b n R y Z W 5 h Z G 9 y L D R 9 J n F 1 b 3 Q 7 L C Z x d W 9 0 O 1 N l Y 3 R p b 2 4 x L 3 B s Y X l l c n N f M j l f N 1 8 y M D I y L C A x N y A z O C A z M i 9 B d X R v U m V t b 3 Z l Z E N v b H V t b n M x L n t F c 3 B l Y 2 l h b G l k Y W Q s N X 0 m c X V v d D s s J n F 1 b 3 Q 7 U 2 V j d G l v b j E v c G x h e W V y c 1 8 y O V 8 3 X z I w M j I s I D E 3 I D M 4 I D M y L 0 F 1 d G 9 S Z W 1 v d m V k Q 2 9 s d W 1 u c z E u e 0 J v b m l m a W N h Y 2 n D s 2 4 g c G 9 y I G N s d W I g Z G U g b 3 J p Z 2 V u L D Z 9 J n F 1 b 3 Q 7 L C Z x d W 9 0 O 1 N l Y 3 R p b 2 4 x L 3 B s Y X l l c n N f M j l f N 1 8 y M D I y L C A x N y A z O C A z M i 9 B d X R v U m V t b 3 Z l Z E N v b H V t b n M x L n t M Z X N p b 2 5 l c y w 3 f S Z x d W 9 0 O y w m c X V v d D t T Z W N 0 a W 9 u M S 9 w b G F 5 Z X J z X z I 5 X z d f M j A y M i w g M T c g M z g g M z I v Q X V 0 b 1 J l b W 9 2 Z W R D b 2 x 1 b W 5 z M S 5 7 Q W 1 v b m V z d G F j a W 9 u Z X M s O H 0 m c X V v d D s s J n F 1 b 3 Q 7 U 2 V j d G l v b j E v c G x h e W V y c 1 8 y O V 8 3 X z I w M j I s I D E 3 I D M 4 I D M y L 0 F 1 d G 9 S Z W 1 v d m V k Q 2 9 s d W 1 u c z E u e 0 V u I G x h I G x p c 3 R h I G R l I H R y Y W 5 z Z m V y Z W 5 j a W F z L D l 9 J n F 1 b 3 Q 7 L C Z x d W 9 0 O 1 N l Y 3 R p b 2 4 x L 3 B s Y X l l c n N f M j l f N 1 8 y M D I y L C A x N y A z O C A z M i 9 B d X R v U m V t b 3 Z l Z E N v b H V t b n M x L n t F Z G F k L D E w f S Z x d W 9 0 O y w m c X V v d D t T Z W N 0 a W 9 u M S 9 w b G F 5 Z X J z X z I 5 X z d f M j A y M i w g M T c g M z g g M z I v Q X V 0 b 1 J l b W 9 2 Z W R D b 2 x 1 b W 5 z M S 5 7 R M O t Y X M s M T F 9 J n F 1 b 3 Q 7 L C Z x d W 9 0 O 1 N l Y 3 R p b 2 4 x L 3 B s Y X l l c n N f M j l f N 1 8 y M D I y L C A x N y A z O C A z M i 9 B d X R v U m V t b 3 Z l Z E N v b H V t b n M x L n t U U 0 k s M T J 9 J n F 1 b 3 Q 7 L C Z x d W 9 0 O 1 N l Y 3 R p b 2 4 x L 3 B s Y X l l c n N f M j l f N 1 8 y M D I y L C A x N y A z O C A z M i 9 B d X R v U m V t b 3 Z l Z E N v b H V t b n M x L n t T Y W x h c m l v L D E z f S Z x d W 9 0 O y w m c X V v d D t T Z W N 0 a W 9 u M S 9 w b G F 5 Z X J z X z I 5 X z d f M j A y M i w g M T c g M z g g M z I v Q X V 0 b 1 J l b W 9 2 Z W R D b 2 x 1 b W 5 z M S 5 7 U 2 V t Y W 5 h c y B l b i B l b C B j b H V i L D E 0 f S Z x d W 9 0 O y w m c X V v d D t T Z W N 0 a W 9 u M S 9 w b G F 5 Z X J z X z I 5 X z d f M j A y M i w g M T c g M z g g M z I v Q X V 0 b 1 J l b W 9 2 Z W R D b 2 x 1 b W 5 z M S 5 7 R X h w Z X J p Z W 5 j a W E s M T V 9 J n F 1 b 3 Q 7 L C Z x d W 9 0 O 1 N l Y 3 R p b 2 4 x L 3 B s Y X l l c n N f M j l f N 1 8 y M D I y L C A x N y A z O C A z M i 9 B d X R v U m V t b 3 Z l Z E N v b H V t b n M x L n t M a W R l c m F 6 Z 2 8 s M T Z 9 J n F 1 b 3 Q 7 L C Z x d W 9 0 O 1 N l Y 3 R p b 2 4 x L 3 B s Y X l l c n N f M j l f N 1 8 y M D I y L C A x N y A z O C A z M i 9 B d X R v U m V t b 3 Z l Z E N v b H V t b n M x L n t G a W R l b G l k Y W Q s M T d 9 J n F 1 b 3 Q 7 L C Z x d W 9 0 O 1 N l Y 3 R p b 2 4 x L 3 B s Y X l l c n N f M j l f N 1 8 y M D I y L C A x N y A z O C A z M i 9 B d X R v U m V t b 3 Z l Z E N v b H V t b n M x L n t G b 3 J t Y S w x O H 0 m c X V v d D s s J n F 1 b 3 Q 7 U 2 V j d G l v b j E v c G x h e W V y c 1 8 y O V 8 3 X z I w M j I s I D E 3 I D M 4 I D M y L 0 F 1 d G 9 S Z W 1 v d m V k Q 2 9 s d W 1 u c z E u e 1 J l c 2 l z d G V u Y 2 l h L D E 5 f S Z x d W 9 0 O y w m c X V v d D t T Z W N 0 a W 9 u M S 9 w b G F 5 Z X J z X z I 5 X z d f M j A y M i w g M T c g M z g g M z I v Q X V 0 b 1 J l b W 9 2 Z W R D b 2 x 1 b W 5 z M S 5 7 R m V j a G E g w 7 p s d G l t b y B w Y X J 0 a W R v L D I w f S Z x d W 9 0 O y w m c X V v d D t T Z W N 0 a W 9 u M S 9 w b G F 5 Z X J z X z I 5 X z d f M j A y M i w g M T c g M z g g M z I v Q X V 0 b 1 J l b W 9 2 Z W R D b 2 x 1 b W 5 z M S 5 7 U m V u Z G l t a W V u d G 8 g w 7 p s d G l t b y B w Y X J 0 a W R v L D I x f S Z x d W 9 0 O y w m c X V v d D t T Z W N 0 a W 9 u M S 9 w b G F 5 Z X J z X z I 5 X z d f M j A y M i w g M T c g M z g g M z I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M j l f N 1 8 y M D I y J T J D J T I w M T c l M j A z O C U y M D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c l M j A z O C U y M D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c l M j A z O C U y M D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c l M j A 0 O S U y M D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s Y X l l c n N f M j l f N 1 8 y M D I y X 1 8 x N 1 8 0 O V 8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x N T o 1 M D o y M C 4 1 M D c 1 M z c 4 W i I g L z 4 8 R W 5 0 c n k g V H l w Z T 0 i R m l s b E N v b H V t b l R 5 c G V z I i B W Y W x 1 Z T 0 i c 0 J n T U d B d 0 1 H Q X d N R 0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j l f N 1 8 y M D I y L C A x N y A 0 O S A 1 M S 9 B d X R v U m V t b 3 Z l Z E N v b H V t b n M x L n t O Y W N p b 2 5 h b G l k Y W Q s M H 0 m c X V v d D s s J n F 1 b 3 Q 7 U 2 V j d G l v b j E v c G x h e W V y c 1 8 y O V 8 3 X z I w M j I s I D E 3 I D Q 5 I D U x L 0 F 1 d G 9 S Z W 1 v d m V k Q 2 9 s d W 1 u c z E u e 0 R v c n N h b C w x f S Z x d W 9 0 O y w m c X V v d D t T Z W N 0 a W 9 u M S 9 w b G F 5 Z X J z X z I 5 X z d f M j A y M i w g M T c g N D k g N T E v Q X V 0 b 1 J l b W 9 2 Z W R D b 2 x 1 b W 5 z M S 5 7 T m 9 t Y n J l L D J 9 J n F 1 b 3 Q 7 L C Z x d W 9 0 O 1 N l Y 3 R p b 2 4 x L 3 B s Y X l l c n N f M j l f N 1 8 y M D I y L C A x N y A 0 O S A 1 M S 9 B d X R v U m V t b 3 Z l Z E N v b H V t b n M x L n t J R C B k Z W w g a n V n Y W R v c i w z f S Z x d W 9 0 O y w m c X V v d D t T Z W N 0 a W 9 u M S 9 w b G F 5 Z X J z X z I 5 X z d f M j A y M i w g M T c g N D k g N T E v Q X V 0 b 1 J l b W 9 2 Z W R D b 2 x 1 b W 5 z M S 5 7 R W 5 0 c m V u Y W R v c i w 0 f S Z x d W 9 0 O y w m c X V v d D t T Z W N 0 a W 9 u M S 9 w b G F 5 Z X J z X z I 5 X z d f M j A y M i w g M T c g N D k g N T E v Q X V 0 b 1 J l b W 9 2 Z W R D b 2 x 1 b W 5 z M S 5 7 R X N w Z W N p Y W x p Z G F k L D V 9 J n F 1 b 3 Q 7 L C Z x d W 9 0 O 1 N l Y 3 R p b 2 4 x L 3 B s Y X l l c n N f M j l f N 1 8 y M D I y L C A x N y A 0 O S A 1 M S 9 B d X R v U m V t b 3 Z l Z E N v b H V t b n M x L n t C b 2 5 p Z m l j Y W N p w 7 N u I H B v c i B j b H V i I G R l I G 9 y a W d l b i w 2 f S Z x d W 9 0 O y w m c X V v d D t T Z W N 0 a W 9 u M S 9 w b G F 5 Z X J z X z I 5 X z d f M j A y M i w g M T c g N D k g N T E v Q X V 0 b 1 J l b W 9 2 Z W R D b 2 x 1 b W 5 z M S 5 7 T G V z a W 9 u Z X M s N 3 0 m c X V v d D s s J n F 1 b 3 Q 7 U 2 V j d G l v b j E v c G x h e W V y c 1 8 y O V 8 3 X z I w M j I s I D E 3 I D Q 5 I D U x L 0 F 1 d G 9 S Z W 1 v d m V k Q 2 9 s d W 1 u c z E u e 0 F t b 2 5 l c 3 R h Y 2 l v b m V z L D h 9 J n F 1 b 3 Q 7 L C Z x d W 9 0 O 1 N l Y 3 R p b 2 4 x L 3 B s Y X l l c n N f M j l f N 1 8 y M D I y L C A x N y A 0 O S A 1 M S 9 B d X R v U m V t b 3 Z l Z E N v b H V t b n M x L n t F b i B s Y S B s a X N 0 Y S B k Z S B 0 c m F u c 2 Z l c m V u Y 2 l h c y w 5 f S Z x d W 9 0 O y w m c X V v d D t T Z W N 0 a W 9 u M S 9 w b G F 5 Z X J z X z I 5 X z d f M j A y M i w g M T c g N D k g N T E v Q X V 0 b 1 J l b W 9 2 Z W R D b 2 x 1 b W 5 z M S 5 7 R W R h Z C w x M H 0 m c X V v d D s s J n F 1 b 3 Q 7 U 2 V j d G l v b j E v c G x h e W V y c 1 8 y O V 8 3 X z I w M j I s I D E 3 I D Q 5 I D U x L 0 F 1 d G 9 S Z W 1 v d m V k Q 2 9 s d W 1 u c z E u e 0 T D r W F z L D E x f S Z x d W 9 0 O y w m c X V v d D t T Z W N 0 a W 9 u M S 9 w b G F 5 Z X J z X z I 5 X z d f M j A y M i w g M T c g N D k g N T E v Q X V 0 b 1 J l b W 9 2 Z W R D b 2 x 1 b W 5 z M S 5 7 V F N J L D E y f S Z x d W 9 0 O y w m c X V v d D t T Z W N 0 a W 9 u M S 9 w b G F 5 Z X J z X z I 5 X z d f M j A y M i w g M T c g N D k g N T E v Q X V 0 b 1 J l b W 9 2 Z W R D b 2 x 1 b W 5 z M S 5 7 U 2 F s Y X J p b y w x M 3 0 m c X V v d D s s J n F 1 b 3 Q 7 U 2 V j d G l v b j E v c G x h e W V y c 1 8 y O V 8 3 X z I w M j I s I D E 3 I D Q 5 I D U x L 0 F 1 d G 9 S Z W 1 v d m V k Q 2 9 s d W 1 u c z E u e 1 N l b W F u Y X M g Z W 4 g Z W w g Y 2 x 1 Y i w x N H 0 m c X V v d D s s J n F 1 b 3 Q 7 U 2 V j d G l v b j E v c G x h e W V y c 1 8 y O V 8 3 X z I w M j I s I D E 3 I D Q 5 I D U x L 0 F 1 d G 9 S Z W 1 v d m V k Q 2 9 s d W 1 u c z E u e 0 V 4 c G V y a W V u Y 2 l h L D E 1 f S Z x d W 9 0 O y w m c X V v d D t T Z W N 0 a W 9 u M S 9 w b G F 5 Z X J z X z I 5 X z d f M j A y M i w g M T c g N D k g N T E v Q X V 0 b 1 J l b W 9 2 Z W R D b 2 x 1 b W 5 z M S 5 7 T G l k Z X J h e m d v L D E 2 f S Z x d W 9 0 O y w m c X V v d D t T Z W N 0 a W 9 u M S 9 w b G F 5 Z X J z X z I 5 X z d f M j A y M i w g M T c g N D k g N T E v Q X V 0 b 1 J l b W 9 2 Z W R D b 2 x 1 b W 5 z M S 5 7 R m l k Z W x p Z G F k L D E 3 f S Z x d W 9 0 O y w m c X V v d D t T Z W N 0 a W 9 u M S 9 w b G F 5 Z X J z X z I 5 X z d f M j A y M i w g M T c g N D k g N T E v Q X V 0 b 1 J l b W 9 2 Z W R D b 2 x 1 b W 5 z M S 5 7 R m 9 y b W E s M T h 9 J n F 1 b 3 Q 7 L C Z x d W 9 0 O 1 N l Y 3 R p b 2 4 x L 3 B s Y X l l c n N f M j l f N 1 8 y M D I y L C A x N y A 0 O S A 1 M S 9 B d X R v U m V t b 3 Z l Z E N v b H V t b n M x L n t S Z X N p c 3 R l b m N p Y S w x O X 0 m c X V v d D s s J n F 1 b 3 Q 7 U 2 V j d G l v b j E v c G x h e W V y c 1 8 y O V 8 3 X z I w M j I s I D E 3 I D Q 5 I D U x L 0 F 1 d G 9 S Z W 1 v d m V k Q 2 9 s d W 1 u c z E u e 0 Z l Y 2 h h I M O 6 b H R p b W 8 g c G F y d G l k b y w y M H 0 m c X V v d D s s J n F 1 b 3 Q 7 U 2 V j d G l v b j E v c G x h e W V y c 1 8 y O V 8 3 X z I w M j I s I D E 3 I D Q 5 I D U x L 0 F 1 d G 9 S Z W 1 v d m V k Q 2 9 s d W 1 u c z E u e 1 J l b m R p b W l l b n R v I M O 6 b H R p b W 8 g c G F y d G l k b y w y M X 0 m c X V v d D s s J n F 1 b 3 Q 7 U 2 V j d G l v b j E v c G x h e W V y c 1 8 y O V 8 3 X z I w M j I s I D E 3 I D Q 5 I D U x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I 5 X z d f M j A y M i w g M T c g N D k g N T E v Q X V 0 b 1 J l b W 9 2 Z W R D b 2 x 1 b W 5 z M S 5 7 T m F j a W 9 u Y W x p Z G F k L D B 9 J n F 1 b 3 Q 7 L C Z x d W 9 0 O 1 N l Y 3 R p b 2 4 x L 3 B s Y X l l c n N f M j l f N 1 8 y M D I y L C A x N y A 0 O S A 1 M S 9 B d X R v U m V t b 3 Z l Z E N v b H V t b n M x L n t E b 3 J z Y W w s M X 0 m c X V v d D s s J n F 1 b 3 Q 7 U 2 V j d G l v b j E v c G x h e W V y c 1 8 y O V 8 3 X z I w M j I s I D E 3 I D Q 5 I D U x L 0 F 1 d G 9 S Z W 1 v d m V k Q 2 9 s d W 1 u c z E u e 0 5 v b W J y Z S w y f S Z x d W 9 0 O y w m c X V v d D t T Z W N 0 a W 9 u M S 9 w b G F 5 Z X J z X z I 5 X z d f M j A y M i w g M T c g N D k g N T E v Q X V 0 b 1 J l b W 9 2 Z W R D b 2 x 1 b W 5 z M S 5 7 S U Q g Z G V s I G p 1 Z 2 F k b 3 I s M 3 0 m c X V v d D s s J n F 1 b 3 Q 7 U 2 V j d G l v b j E v c G x h e W V y c 1 8 y O V 8 3 X z I w M j I s I D E 3 I D Q 5 I D U x L 0 F 1 d G 9 S Z W 1 v d m V k Q 2 9 s d W 1 u c z E u e 0 V u d H J l b m F k b 3 I s N H 0 m c X V v d D s s J n F 1 b 3 Q 7 U 2 V j d G l v b j E v c G x h e W V y c 1 8 y O V 8 3 X z I w M j I s I D E 3 I D Q 5 I D U x L 0 F 1 d G 9 S Z W 1 v d m V k Q 2 9 s d W 1 u c z E u e 0 V z c G V j a W F s a W R h Z C w 1 f S Z x d W 9 0 O y w m c X V v d D t T Z W N 0 a W 9 u M S 9 w b G F 5 Z X J z X z I 5 X z d f M j A y M i w g M T c g N D k g N T E v Q X V 0 b 1 J l b W 9 2 Z W R D b 2 x 1 b W 5 z M S 5 7 Q m 9 u a W Z p Y 2 F j a c O z b i B w b 3 I g Y 2 x 1 Y i B k Z S B v c m l n Z W 4 s N n 0 m c X V v d D s s J n F 1 b 3 Q 7 U 2 V j d G l v b j E v c G x h e W V y c 1 8 y O V 8 3 X z I w M j I s I D E 3 I D Q 5 I D U x L 0 F 1 d G 9 S Z W 1 v d m V k Q 2 9 s d W 1 u c z E u e 0 x l c 2 l v b m V z L D d 9 J n F 1 b 3 Q 7 L C Z x d W 9 0 O 1 N l Y 3 R p b 2 4 x L 3 B s Y X l l c n N f M j l f N 1 8 y M D I y L C A x N y A 0 O S A 1 M S 9 B d X R v U m V t b 3 Z l Z E N v b H V t b n M x L n t B b W 9 u Z X N 0 Y W N p b 2 5 l c y w 4 f S Z x d W 9 0 O y w m c X V v d D t T Z W N 0 a W 9 u M S 9 w b G F 5 Z X J z X z I 5 X z d f M j A y M i w g M T c g N D k g N T E v Q X V 0 b 1 J l b W 9 2 Z W R D b 2 x 1 b W 5 z M S 5 7 R W 4 g b G E g b G l z d G E g Z G U g d H J h b n N m Z X J l b m N p Y X M s O X 0 m c X V v d D s s J n F 1 b 3 Q 7 U 2 V j d G l v b j E v c G x h e W V y c 1 8 y O V 8 3 X z I w M j I s I D E 3 I D Q 5 I D U x L 0 F 1 d G 9 S Z W 1 v d m V k Q 2 9 s d W 1 u c z E u e 0 V k Y W Q s M T B 9 J n F 1 b 3 Q 7 L C Z x d W 9 0 O 1 N l Y 3 R p b 2 4 x L 3 B s Y X l l c n N f M j l f N 1 8 y M D I y L C A x N y A 0 O S A 1 M S 9 B d X R v U m V t b 3 Z l Z E N v b H V t b n M x L n t E w 6 1 h c y w x M X 0 m c X V v d D s s J n F 1 b 3 Q 7 U 2 V j d G l v b j E v c G x h e W V y c 1 8 y O V 8 3 X z I w M j I s I D E 3 I D Q 5 I D U x L 0 F 1 d G 9 S Z W 1 v d m V k Q 2 9 s d W 1 u c z E u e 1 R T S S w x M n 0 m c X V v d D s s J n F 1 b 3 Q 7 U 2 V j d G l v b j E v c G x h e W V y c 1 8 y O V 8 3 X z I w M j I s I D E 3 I D Q 5 I D U x L 0 F 1 d G 9 S Z W 1 v d m V k Q 2 9 s d W 1 u c z E u e 1 N h b G F y a W 8 s M T N 9 J n F 1 b 3 Q 7 L C Z x d W 9 0 O 1 N l Y 3 R p b 2 4 x L 3 B s Y X l l c n N f M j l f N 1 8 y M D I y L C A x N y A 0 O S A 1 M S 9 B d X R v U m V t b 3 Z l Z E N v b H V t b n M x L n t T Z W 1 h b m F z I G V u I G V s I G N s d W I s M T R 9 J n F 1 b 3 Q 7 L C Z x d W 9 0 O 1 N l Y 3 R p b 2 4 x L 3 B s Y X l l c n N f M j l f N 1 8 y M D I y L C A x N y A 0 O S A 1 M S 9 B d X R v U m V t b 3 Z l Z E N v b H V t b n M x L n t F e H B l c m l l b m N p Y S w x N X 0 m c X V v d D s s J n F 1 b 3 Q 7 U 2 V j d G l v b j E v c G x h e W V y c 1 8 y O V 8 3 X z I w M j I s I D E 3 I D Q 5 I D U x L 0 F 1 d G 9 S Z W 1 v d m V k Q 2 9 s d W 1 u c z E u e 0 x p Z G V y Y X p n b y w x N n 0 m c X V v d D s s J n F 1 b 3 Q 7 U 2 V j d G l v b j E v c G x h e W V y c 1 8 y O V 8 3 X z I w M j I s I D E 3 I D Q 5 I D U x L 0 F 1 d G 9 S Z W 1 v d m V k Q 2 9 s d W 1 u c z E u e 0 Z p Z G V s a W R h Z C w x N 3 0 m c X V v d D s s J n F 1 b 3 Q 7 U 2 V j d G l v b j E v c G x h e W V y c 1 8 y O V 8 3 X z I w M j I s I D E 3 I D Q 5 I D U x L 0 F 1 d G 9 S Z W 1 v d m V k Q 2 9 s d W 1 u c z E u e 0 Z v c m 1 h L D E 4 f S Z x d W 9 0 O y w m c X V v d D t T Z W N 0 a W 9 u M S 9 w b G F 5 Z X J z X z I 5 X z d f M j A y M i w g M T c g N D k g N T E v Q X V 0 b 1 J l b W 9 2 Z W R D b 2 x 1 b W 5 z M S 5 7 U m V z a X N 0 Z W 5 j a W E s M T l 9 J n F 1 b 3 Q 7 L C Z x d W 9 0 O 1 N l Y 3 R p b 2 4 x L 3 B s Y X l l c n N f M j l f N 1 8 y M D I y L C A x N y A 0 O S A 1 M S 9 B d X R v U m V t b 3 Z l Z E N v b H V t b n M x L n t G Z W N o Y S D D u m x 0 a W 1 v I H B h c n R p Z G 8 s M j B 9 J n F 1 b 3 Q 7 L C Z x d W 9 0 O 1 N l Y 3 R p b 2 4 x L 3 B s Y X l l c n N f M j l f N 1 8 y M D I y L C A x N y A 0 O S A 1 M S 9 B d X R v U m V t b 3 Z l Z E N v b H V t b n M x L n t S Z W 5 k a W 1 p Z W 5 0 b y D D u m x 0 a W 1 v I H B h c n R p Z G 8 s M j F 9 J n F 1 b 3 Q 7 L C Z x d W 9 0 O 1 N l Y 3 R p b 2 4 x L 3 B s Y X l l c n N f M j l f N 1 8 y M D I y L C A x N y A 0 O S A 1 M S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y O V 8 3 X z I w M j I l M k M l M j A x N y U y M D Q 5 J T I w N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y U y M D Q 5 J T I w N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y U y M D Q 5 J T I w N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y O V 8 3 X z I w M j I l M k M l M j A x N y U y M D U 1 J T I w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e W V y c 1 8 y O V 8 3 X z I w M j J f X z E 3 X z U 1 X z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E 1 O j U 2 O j A 1 L j M y M z A 0 O D R a I i A v P j x F b n R y e S B U e X B l P S J G a W x s Q 2 9 s d W 1 u V H l w Z X M i I F Z h b H V l P S J z Q m d N R 0 F 3 T U d B d 0 1 E Q m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y O V 8 3 X z I w M j I s I D E 3 I D U 1 I D Q 3 L 0 F 1 d G 9 S Z W 1 v d m V k Q 2 9 s d W 1 u c z E u e 0 5 h Y 2 l v b m F s a W R h Z C w w f S Z x d W 9 0 O y w m c X V v d D t T Z W N 0 a W 9 u M S 9 w b G F 5 Z X J z X z I 5 X z d f M j A y M i w g M T c g N T U g N D c v Q X V 0 b 1 J l b W 9 2 Z W R D b 2 x 1 b W 5 z M S 5 7 R G 9 y c 2 F s L D F 9 J n F 1 b 3 Q 7 L C Z x d W 9 0 O 1 N l Y 3 R p b 2 4 x L 3 B s Y X l l c n N f M j l f N 1 8 y M D I y L C A x N y A 1 N S A 0 N y 9 B d X R v U m V t b 3 Z l Z E N v b H V t b n M x L n t O b 2 1 i c m U s M n 0 m c X V v d D s s J n F 1 b 3 Q 7 U 2 V j d G l v b j E v c G x h e W V y c 1 8 y O V 8 3 X z I w M j I s I D E 3 I D U 1 I D Q 3 L 0 F 1 d G 9 S Z W 1 v d m V k Q 2 9 s d W 1 u c z E u e 0 l E I G R l b C B q d W d h Z G 9 y L D N 9 J n F 1 b 3 Q 7 L C Z x d W 9 0 O 1 N l Y 3 R p b 2 4 x L 3 B s Y X l l c n N f M j l f N 1 8 y M D I y L C A x N y A 1 N S A 0 N y 9 B d X R v U m V t b 3 Z l Z E N v b H V t b n M x L n t F b n R y Z W 5 h Z G 9 y L D R 9 J n F 1 b 3 Q 7 L C Z x d W 9 0 O 1 N l Y 3 R p b 2 4 x L 3 B s Y X l l c n N f M j l f N 1 8 y M D I y L C A x N y A 1 N S A 0 N y 9 B d X R v U m V t b 3 Z l Z E N v b H V t b n M x L n t F c 3 B l Y 2 l h b G l k Y W Q s N X 0 m c X V v d D s s J n F 1 b 3 Q 7 U 2 V j d G l v b j E v c G x h e W V y c 1 8 y O V 8 3 X z I w M j I s I D E 3 I D U 1 I D Q 3 L 0 F 1 d G 9 S Z W 1 v d m V k Q 2 9 s d W 1 u c z E u e 0 J v b m l m a W N h Y 2 n D s 2 4 g c G 9 y I G N s d W I g Z G U g b 3 J p Z 2 V u L D Z 9 J n F 1 b 3 Q 7 L C Z x d W 9 0 O 1 N l Y 3 R p b 2 4 x L 3 B s Y X l l c n N f M j l f N 1 8 y M D I y L C A x N y A 1 N S A 0 N y 9 B d X R v U m V t b 3 Z l Z E N v b H V t b n M x L n t M Z X N p b 2 5 l c y w 3 f S Z x d W 9 0 O y w m c X V v d D t T Z W N 0 a W 9 u M S 9 w b G F 5 Z X J z X z I 5 X z d f M j A y M i w g M T c g N T U g N D c v Q X V 0 b 1 J l b W 9 2 Z W R D b 2 x 1 b W 5 z M S 5 7 Q W 1 v b m V z d G F j a W 9 u Z X M s O H 0 m c X V v d D s s J n F 1 b 3 Q 7 U 2 V j d G l v b j E v c G x h e W V y c 1 8 y O V 8 3 X z I w M j I s I D E 3 I D U 1 I D Q 3 L 0 F 1 d G 9 S Z W 1 v d m V k Q 2 9 s d W 1 u c z E u e 0 V u I G x h I G x p c 3 R h I G R l I H R y Y W 5 z Z m V y Z W 5 j a W F z L D l 9 J n F 1 b 3 Q 7 L C Z x d W 9 0 O 1 N l Y 3 R p b 2 4 x L 3 B s Y X l l c n N f M j l f N 1 8 y M D I y L C A x N y A 1 N S A 0 N y 9 B d X R v U m V t b 3 Z l Z E N v b H V t b n M x L n t F Z G F k L D E w f S Z x d W 9 0 O y w m c X V v d D t T Z W N 0 a W 9 u M S 9 w b G F 5 Z X J z X z I 5 X z d f M j A y M i w g M T c g N T U g N D c v Q X V 0 b 1 J l b W 9 2 Z W R D b 2 x 1 b W 5 z M S 5 7 R M O t Y X M s M T F 9 J n F 1 b 3 Q 7 L C Z x d W 9 0 O 1 N l Y 3 R p b 2 4 x L 3 B s Y X l l c n N f M j l f N 1 8 y M D I y L C A x N y A 1 N S A 0 N y 9 B d X R v U m V t b 3 Z l Z E N v b H V t b n M x L n t U U 0 k s M T J 9 J n F 1 b 3 Q 7 L C Z x d W 9 0 O 1 N l Y 3 R p b 2 4 x L 3 B s Y X l l c n N f M j l f N 1 8 y M D I y L C A x N y A 1 N S A 0 N y 9 B d X R v U m V t b 3 Z l Z E N v b H V t b n M x L n t T Y W x h c m l v L D E z f S Z x d W 9 0 O y w m c X V v d D t T Z W N 0 a W 9 u M S 9 w b G F 5 Z X J z X z I 5 X z d f M j A y M i w g M T c g N T U g N D c v Q X V 0 b 1 J l b W 9 2 Z W R D b 2 x 1 b W 5 z M S 5 7 U 2 V t Y W 5 h c y B l b i B l b C B j b H V i L D E 0 f S Z x d W 9 0 O y w m c X V v d D t T Z W N 0 a W 9 u M S 9 w b G F 5 Z X J z X z I 5 X z d f M j A y M i w g M T c g N T U g N D c v Q X V 0 b 1 J l b W 9 2 Z W R D b 2 x 1 b W 5 z M S 5 7 R X h w Z X J p Z W 5 j a W E s M T V 9 J n F 1 b 3 Q 7 L C Z x d W 9 0 O 1 N l Y 3 R p b 2 4 x L 3 B s Y X l l c n N f M j l f N 1 8 y M D I y L C A x N y A 1 N S A 0 N y 9 B d X R v U m V t b 3 Z l Z E N v b H V t b n M x L n t M a W R l c m F 6 Z 2 8 s M T Z 9 J n F 1 b 3 Q 7 L C Z x d W 9 0 O 1 N l Y 3 R p b 2 4 x L 3 B s Y X l l c n N f M j l f N 1 8 y M D I y L C A x N y A 1 N S A 0 N y 9 B d X R v U m V t b 3 Z l Z E N v b H V t b n M x L n t G a W R l b G l k Y W Q s M T d 9 J n F 1 b 3 Q 7 L C Z x d W 9 0 O 1 N l Y 3 R p b 2 4 x L 3 B s Y X l l c n N f M j l f N 1 8 y M D I y L C A x N y A 1 N S A 0 N y 9 B d X R v U m V t b 3 Z l Z E N v b H V t b n M x L n t G b 3 J t Y S w x O H 0 m c X V v d D s s J n F 1 b 3 Q 7 U 2 V j d G l v b j E v c G x h e W V y c 1 8 y O V 8 3 X z I w M j I s I D E 3 I D U 1 I D Q 3 L 0 F 1 d G 9 S Z W 1 v d m V k Q 2 9 s d W 1 u c z E u e 1 J l c 2 l z d G V u Y 2 l h L D E 5 f S Z x d W 9 0 O y w m c X V v d D t T Z W N 0 a W 9 u M S 9 w b G F 5 Z X J z X z I 5 X z d f M j A y M i w g M T c g N T U g N D c v Q X V 0 b 1 J l b W 9 2 Z W R D b 2 x 1 b W 5 z M S 5 7 R m V j a G E g w 7 p s d G l t b y B w Y X J 0 a W R v L D I w f S Z x d W 9 0 O y w m c X V v d D t T Z W N 0 a W 9 u M S 9 w b G F 5 Z X J z X z I 5 X z d f M j A y M i w g M T c g N T U g N D c v Q X V 0 b 1 J l b W 9 2 Z W R D b 2 x 1 b W 5 z M S 5 7 U m V u Z G l t a W V u d G 8 g w 7 p s d G l t b y B w Y X J 0 a W R v L D I x f S Z x d W 9 0 O y w m c X V v d D t T Z W N 0 a W 9 u M S 9 w b G F 5 Z X J z X z I 5 X z d f M j A y M i w g M T c g N T U g N D c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j l f N 1 8 y M D I y L C A x N y A 1 N S A 0 N y 9 B d X R v U m V t b 3 Z l Z E N v b H V t b n M x L n t O Y W N p b 2 5 h b G l k Y W Q s M H 0 m c X V v d D s s J n F 1 b 3 Q 7 U 2 V j d G l v b j E v c G x h e W V y c 1 8 y O V 8 3 X z I w M j I s I D E 3 I D U 1 I D Q 3 L 0 F 1 d G 9 S Z W 1 v d m V k Q 2 9 s d W 1 u c z E u e 0 R v c n N h b C w x f S Z x d W 9 0 O y w m c X V v d D t T Z W N 0 a W 9 u M S 9 w b G F 5 Z X J z X z I 5 X z d f M j A y M i w g M T c g N T U g N D c v Q X V 0 b 1 J l b W 9 2 Z W R D b 2 x 1 b W 5 z M S 5 7 T m 9 t Y n J l L D J 9 J n F 1 b 3 Q 7 L C Z x d W 9 0 O 1 N l Y 3 R p b 2 4 x L 3 B s Y X l l c n N f M j l f N 1 8 y M D I y L C A x N y A 1 N S A 0 N y 9 B d X R v U m V t b 3 Z l Z E N v b H V t b n M x L n t J R C B k Z W w g a n V n Y W R v c i w z f S Z x d W 9 0 O y w m c X V v d D t T Z W N 0 a W 9 u M S 9 w b G F 5 Z X J z X z I 5 X z d f M j A y M i w g M T c g N T U g N D c v Q X V 0 b 1 J l b W 9 2 Z W R D b 2 x 1 b W 5 z M S 5 7 R W 5 0 c m V u Y W R v c i w 0 f S Z x d W 9 0 O y w m c X V v d D t T Z W N 0 a W 9 u M S 9 w b G F 5 Z X J z X z I 5 X z d f M j A y M i w g M T c g N T U g N D c v Q X V 0 b 1 J l b W 9 2 Z W R D b 2 x 1 b W 5 z M S 5 7 R X N w Z W N p Y W x p Z G F k L D V 9 J n F 1 b 3 Q 7 L C Z x d W 9 0 O 1 N l Y 3 R p b 2 4 x L 3 B s Y X l l c n N f M j l f N 1 8 y M D I y L C A x N y A 1 N S A 0 N y 9 B d X R v U m V t b 3 Z l Z E N v b H V t b n M x L n t C b 2 5 p Z m l j Y W N p w 7 N u I H B v c i B j b H V i I G R l I G 9 y a W d l b i w 2 f S Z x d W 9 0 O y w m c X V v d D t T Z W N 0 a W 9 u M S 9 w b G F 5 Z X J z X z I 5 X z d f M j A y M i w g M T c g N T U g N D c v Q X V 0 b 1 J l b W 9 2 Z W R D b 2 x 1 b W 5 z M S 5 7 T G V z a W 9 u Z X M s N 3 0 m c X V v d D s s J n F 1 b 3 Q 7 U 2 V j d G l v b j E v c G x h e W V y c 1 8 y O V 8 3 X z I w M j I s I D E 3 I D U 1 I D Q 3 L 0 F 1 d G 9 S Z W 1 v d m V k Q 2 9 s d W 1 u c z E u e 0 F t b 2 5 l c 3 R h Y 2 l v b m V z L D h 9 J n F 1 b 3 Q 7 L C Z x d W 9 0 O 1 N l Y 3 R p b 2 4 x L 3 B s Y X l l c n N f M j l f N 1 8 y M D I y L C A x N y A 1 N S A 0 N y 9 B d X R v U m V t b 3 Z l Z E N v b H V t b n M x L n t F b i B s Y S B s a X N 0 Y S B k Z S B 0 c m F u c 2 Z l c m V u Y 2 l h c y w 5 f S Z x d W 9 0 O y w m c X V v d D t T Z W N 0 a W 9 u M S 9 w b G F 5 Z X J z X z I 5 X z d f M j A y M i w g M T c g N T U g N D c v Q X V 0 b 1 J l b W 9 2 Z W R D b 2 x 1 b W 5 z M S 5 7 R W R h Z C w x M H 0 m c X V v d D s s J n F 1 b 3 Q 7 U 2 V j d G l v b j E v c G x h e W V y c 1 8 y O V 8 3 X z I w M j I s I D E 3 I D U 1 I D Q 3 L 0 F 1 d G 9 S Z W 1 v d m V k Q 2 9 s d W 1 u c z E u e 0 T D r W F z L D E x f S Z x d W 9 0 O y w m c X V v d D t T Z W N 0 a W 9 u M S 9 w b G F 5 Z X J z X z I 5 X z d f M j A y M i w g M T c g N T U g N D c v Q X V 0 b 1 J l b W 9 2 Z W R D b 2 x 1 b W 5 z M S 5 7 V F N J L D E y f S Z x d W 9 0 O y w m c X V v d D t T Z W N 0 a W 9 u M S 9 w b G F 5 Z X J z X z I 5 X z d f M j A y M i w g M T c g N T U g N D c v Q X V 0 b 1 J l b W 9 2 Z W R D b 2 x 1 b W 5 z M S 5 7 U 2 F s Y X J p b y w x M 3 0 m c X V v d D s s J n F 1 b 3 Q 7 U 2 V j d G l v b j E v c G x h e W V y c 1 8 y O V 8 3 X z I w M j I s I D E 3 I D U 1 I D Q 3 L 0 F 1 d G 9 S Z W 1 v d m V k Q 2 9 s d W 1 u c z E u e 1 N l b W F u Y X M g Z W 4 g Z W w g Y 2 x 1 Y i w x N H 0 m c X V v d D s s J n F 1 b 3 Q 7 U 2 V j d G l v b j E v c G x h e W V y c 1 8 y O V 8 3 X z I w M j I s I D E 3 I D U 1 I D Q 3 L 0 F 1 d G 9 S Z W 1 v d m V k Q 2 9 s d W 1 u c z E u e 0 V 4 c G V y a W V u Y 2 l h L D E 1 f S Z x d W 9 0 O y w m c X V v d D t T Z W N 0 a W 9 u M S 9 w b G F 5 Z X J z X z I 5 X z d f M j A y M i w g M T c g N T U g N D c v Q X V 0 b 1 J l b W 9 2 Z W R D b 2 x 1 b W 5 z M S 5 7 T G l k Z X J h e m d v L D E 2 f S Z x d W 9 0 O y w m c X V v d D t T Z W N 0 a W 9 u M S 9 w b G F 5 Z X J z X z I 5 X z d f M j A y M i w g M T c g N T U g N D c v Q X V 0 b 1 J l b W 9 2 Z W R D b 2 x 1 b W 5 z M S 5 7 R m l k Z W x p Z G F k L D E 3 f S Z x d W 9 0 O y w m c X V v d D t T Z W N 0 a W 9 u M S 9 w b G F 5 Z X J z X z I 5 X z d f M j A y M i w g M T c g N T U g N D c v Q X V 0 b 1 J l b W 9 2 Z W R D b 2 x 1 b W 5 z M S 5 7 R m 9 y b W E s M T h 9 J n F 1 b 3 Q 7 L C Z x d W 9 0 O 1 N l Y 3 R p b 2 4 x L 3 B s Y X l l c n N f M j l f N 1 8 y M D I y L C A x N y A 1 N S A 0 N y 9 B d X R v U m V t b 3 Z l Z E N v b H V t b n M x L n t S Z X N p c 3 R l b m N p Y S w x O X 0 m c X V v d D s s J n F 1 b 3 Q 7 U 2 V j d G l v b j E v c G x h e W V y c 1 8 y O V 8 3 X z I w M j I s I D E 3 I D U 1 I D Q 3 L 0 F 1 d G 9 S Z W 1 v d m V k Q 2 9 s d W 1 u c z E u e 0 Z l Y 2 h h I M O 6 b H R p b W 8 g c G F y d G l k b y w y M H 0 m c X V v d D s s J n F 1 b 3 Q 7 U 2 V j d G l v b j E v c G x h e W V y c 1 8 y O V 8 3 X z I w M j I s I D E 3 I D U 1 I D Q 3 L 0 F 1 d G 9 S Z W 1 v d m V k Q 2 9 s d W 1 u c z E u e 1 J l b m R p b W l l b n R v I M O 6 b H R p b W 8 g c G F y d G l k b y w y M X 0 m c X V v d D s s J n F 1 b 3 Q 7 U 2 V j d G l v b j E v c G x h e W V y c 1 8 y O V 8 3 X z I w M j I s I D E 3 I D U 1 I D Q 3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I 5 X z d f M j A y M i U y Q y U y M D E 3 J T I w N T U l M j A 0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3 J T I w N T U l M j A 0 N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3 J T I w N T U l M j A 0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I 5 X z d f M j A y M i U y Q y U y M D E 4 J T I w M D I l M j A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b G F 5 Z X J z X z I 5 X z d f M j A y M l 9 f M T h f M D J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l U M T Y 6 M D I 6 N D Y u M j M 1 M z Y 2 N V o i I C 8 + P E V u d H J 5 I F R 5 c G U 9 I k Z p b G x D b 2 x 1 b W 5 U e X B l c y I g V m F s d W U 9 I n N C Z 1 l H Q X d N R 0 F 3 T U R C Z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I 5 X z d f M j A y M i w g M T g g M D I g M z E v Q X V 0 b 1 J l b W 9 2 Z W R D b 2 x 1 b W 5 z M S 5 7 T m F j a W 9 u Y W x p Z G F k L D B 9 J n F 1 b 3 Q 7 L C Z x d W 9 0 O 1 N l Y 3 R p b 2 4 x L 3 B s Y X l l c n N f M j l f N 1 8 y M D I y L C A x O C A w M i A z M S 9 B d X R v U m V t b 3 Z l Z E N v b H V t b n M x L n t E b 3 J z Y W w s M X 0 m c X V v d D s s J n F 1 b 3 Q 7 U 2 V j d G l v b j E v c G x h e W V y c 1 8 y O V 8 3 X z I w M j I s I D E 4 I D A y I D M x L 0 F 1 d G 9 S Z W 1 v d m V k Q 2 9 s d W 1 u c z E u e 0 5 v b W J y Z S w y f S Z x d W 9 0 O y w m c X V v d D t T Z W N 0 a W 9 u M S 9 w b G F 5 Z X J z X z I 5 X z d f M j A y M i w g M T g g M D I g M z E v Q X V 0 b 1 J l b W 9 2 Z W R D b 2 x 1 b W 5 z M S 5 7 S U Q g Z G V s I G p 1 Z 2 F k b 3 I s M 3 0 m c X V v d D s s J n F 1 b 3 Q 7 U 2 V j d G l v b j E v c G x h e W V y c 1 8 y O V 8 3 X z I w M j I s I D E 4 I D A y I D M x L 0 F 1 d G 9 S Z W 1 v d m V k Q 2 9 s d W 1 u c z E u e 0 V u d H J l b m F k b 3 I s N H 0 m c X V v d D s s J n F 1 b 3 Q 7 U 2 V j d G l v b j E v c G x h e W V y c 1 8 y O V 8 3 X z I w M j I s I D E 4 I D A y I D M x L 0 F 1 d G 9 S Z W 1 v d m V k Q 2 9 s d W 1 u c z E u e 0 V z c G V j a W F s a W R h Z C w 1 f S Z x d W 9 0 O y w m c X V v d D t T Z W N 0 a W 9 u M S 9 w b G F 5 Z X J z X z I 5 X z d f M j A y M i w g M T g g M D I g M z E v Q X V 0 b 1 J l b W 9 2 Z W R D b 2 x 1 b W 5 z M S 5 7 Q m 9 u a W Z p Y 2 F j a c O z b i B w b 3 I g Y 2 x 1 Y i B k Z S B v c m l n Z W 4 s N n 0 m c X V v d D s s J n F 1 b 3 Q 7 U 2 V j d G l v b j E v c G x h e W V y c 1 8 y O V 8 3 X z I w M j I s I D E 4 I D A y I D M x L 0 F 1 d G 9 S Z W 1 v d m V k Q 2 9 s d W 1 u c z E u e 0 x l c 2 l v b m V z L D d 9 J n F 1 b 3 Q 7 L C Z x d W 9 0 O 1 N l Y 3 R p b 2 4 x L 3 B s Y X l l c n N f M j l f N 1 8 y M D I y L C A x O C A w M i A z M S 9 B d X R v U m V t b 3 Z l Z E N v b H V t b n M x L n t B b W 9 u Z X N 0 Y W N p b 2 5 l c y w 4 f S Z x d W 9 0 O y w m c X V v d D t T Z W N 0 a W 9 u M S 9 w b G F 5 Z X J z X z I 5 X z d f M j A y M i w g M T g g M D I g M z E v Q X V 0 b 1 J l b W 9 2 Z W R D b 2 x 1 b W 5 z M S 5 7 R W 4 g b G E g b G l z d G E g Z G U g d H J h b n N m Z X J l b m N p Y X M s O X 0 m c X V v d D s s J n F 1 b 3 Q 7 U 2 V j d G l v b j E v c G x h e W V y c 1 8 y O V 8 3 X z I w M j I s I D E 4 I D A y I D M x L 0 F 1 d G 9 S Z W 1 v d m V k Q 2 9 s d W 1 u c z E u e 0 V k Y W Q s M T B 9 J n F 1 b 3 Q 7 L C Z x d W 9 0 O 1 N l Y 3 R p b 2 4 x L 3 B s Y X l l c n N f M j l f N 1 8 y M D I y L C A x O C A w M i A z M S 9 B d X R v U m V t b 3 Z l Z E N v b H V t b n M x L n t E w 6 1 h c y w x M X 0 m c X V v d D s s J n F 1 b 3 Q 7 U 2 V j d G l v b j E v c G x h e W V y c 1 8 y O V 8 3 X z I w M j I s I D E 4 I D A y I D M x L 0 F 1 d G 9 S Z W 1 v d m V k Q 2 9 s d W 1 u c z E u e 1 R T S S w x M n 0 m c X V v d D s s J n F 1 b 3 Q 7 U 2 V j d G l v b j E v c G x h e W V y c 1 8 y O V 8 3 X z I w M j I s I D E 4 I D A y I D M x L 0 F 1 d G 9 S Z W 1 v d m V k Q 2 9 s d W 1 u c z E u e 1 N h b G F y a W 8 s M T N 9 J n F 1 b 3 Q 7 L C Z x d W 9 0 O 1 N l Y 3 R p b 2 4 x L 3 B s Y X l l c n N f M j l f N 1 8 y M D I y L C A x O C A w M i A z M S 9 B d X R v U m V t b 3 Z l Z E N v b H V t b n M x L n t T Z W 1 h b m F z I G V u I G V s I G N s d W I s M T R 9 J n F 1 b 3 Q 7 L C Z x d W 9 0 O 1 N l Y 3 R p b 2 4 x L 3 B s Y X l l c n N f M j l f N 1 8 y M D I y L C A x O C A w M i A z M S 9 B d X R v U m V t b 3 Z l Z E N v b H V t b n M x L n t F e H B l c m l l b m N p Y S w x N X 0 m c X V v d D s s J n F 1 b 3 Q 7 U 2 V j d G l v b j E v c G x h e W V y c 1 8 y O V 8 3 X z I w M j I s I D E 4 I D A y I D M x L 0 F 1 d G 9 S Z W 1 v d m V k Q 2 9 s d W 1 u c z E u e 0 x p Z G V y Y X p n b y w x N n 0 m c X V v d D s s J n F 1 b 3 Q 7 U 2 V j d G l v b j E v c G x h e W V y c 1 8 y O V 8 3 X z I w M j I s I D E 4 I D A y I D M x L 0 F 1 d G 9 S Z W 1 v d m V k Q 2 9 s d W 1 u c z E u e 0 Z p Z G V s a W R h Z C w x N 3 0 m c X V v d D s s J n F 1 b 3 Q 7 U 2 V j d G l v b j E v c G x h e W V y c 1 8 y O V 8 3 X z I w M j I s I D E 4 I D A y I D M x L 0 F 1 d G 9 S Z W 1 v d m V k Q 2 9 s d W 1 u c z E u e 0 Z v c m 1 h L D E 4 f S Z x d W 9 0 O y w m c X V v d D t T Z W N 0 a W 9 u M S 9 w b G F 5 Z X J z X z I 5 X z d f M j A y M i w g M T g g M D I g M z E v Q X V 0 b 1 J l b W 9 2 Z W R D b 2 x 1 b W 5 z M S 5 7 U m V z a X N 0 Z W 5 j a W E s M T l 9 J n F 1 b 3 Q 7 L C Z x d W 9 0 O 1 N l Y 3 R p b 2 4 x L 3 B s Y X l l c n N f M j l f N 1 8 y M D I y L C A x O C A w M i A z M S 9 B d X R v U m V t b 3 Z l Z E N v b H V t b n M x L n t G Z W N o Y S D D u m x 0 a W 1 v I H B h c n R p Z G 8 s M j B 9 J n F 1 b 3 Q 7 L C Z x d W 9 0 O 1 N l Y 3 R p b 2 4 x L 3 B s Y X l l c n N f M j l f N 1 8 y M D I y L C A x O C A w M i A z M S 9 B d X R v U m V t b 3 Z l Z E N v b H V t b n M x L n t S Z W 5 k a W 1 p Z W 5 0 b y D D u m x 0 a W 1 v I H B h c n R p Z G 8 s M j F 9 J n F 1 b 3 Q 7 L C Z x d W 9 0 O 1 N l Y 3 R p b 2 4 x L 3 B s Y X l l c n N f M j l f N 1 8 y M D I y L C A x O C A w M i A z M S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y O V 8 3 X z I w M j I s I D E 4 I D A y I D M x L 0 F 1 d G 9 S Z W 1 v d m V k Q 2 9 s d W 1 u c z E u e 0 5 h Y 2 l v b m F s a W R h Z C w w f S Z x d W 9 0 O y w m c X V v d D t T Z W N 0 a W 9 u M S 9 w b G F 5 Z X J z X z I 5 X z d f M j A y M i w g M T g g M D I g M z E v Q X V 0 b 1 J l b W 9 2 Z W R D b 2 x 1 b W 5 z M S 5 7 R G 9 y c 2 F s L D F 9 J n F 1 b 3 Q 7 L C Z x d W 9 0 O 1 N l Y 3 R p b 2 4 x L 3 B s Y X l l c n N f M j l f N 1 8 y M D I y L C A x O C A w M i A z M S 9 B d X R v U m V t b 3 Z l Z E N v b H V t b n M x L n t O b 2 1 i c m U s M n 0 m c X V v d D s s J n F 1 b 3 Q 7 U 2 V j d G l v b j E v c G x h e W V y c 1 8 y O V 8 3 X z I w M j I s I D E 4 I D A y I D M x L 0 F 1 d G 9 S Z W 1 v d m V k Q 2 9 s d W 1 u c z E u e 0 l E I G R l b C B q d W d h Z G 9 y L D N 9 J n F 1 b 3 Q 7 L C Z x d W 9 0 O 1 N l Y 3 R p b 2 4 x L 3 B s Y X l l c n N f M j l f N 1 8 y M D I y L C A x O C A w M i A z M S 9 B d X R v U m V t b 3 Z l Z E N v b H V t b n M x L n t F b n R y Z W 5 h Z G 9 y L D R 9 J n F 1 b 3 Q 7 L C Z x d W 9 0 O 1 N l Y 3 R p b 2 4 x L 3 B s Y X l l c n N f M j l f N 1 8 y M D I y L C A x O C A w M i A z M S 9 B d X R v U m V t b 3 Z l Z E N v b H V t b n M x L n t F c 3 B l Y 2 l h b G l k Y W Q s N X 0 m c X V v d D s s J n F 1 b 3 Q 7 U 2 V j d G l v b j E v c G x h e W V y c 1 8 y O V 8 3 X z I w M j I s I D E 4 I D A y I D M x L 0 F 1 d G 9 S Z W 1 v d m V k Q 2 9 s d W 1 u c z E u e 0 J v b m l m a W N h Y 2 n D s 2 4 g c G 9 y I G N s d W I g Z G U g b 3 J p Z 2 V u L D Z 9 J n F 1 b 3 Q 7 L C Z x d W 9 0 O 1 N l Y 3 R p b 2 4 x L 3 B s Y X l l c n N f M j l f N 1 8 y M D I y L C A x O C A w M i A z M S 9 B d X R v U m V t b 3 Z l Z E N v b H V t b n M x L n t M Z X N p b 2 5 l c y w 3 f S Z x d W 9 0 O y w m c X V v d D t T Z W N 0 a W 9 u M S 9 w b G F 5 Z X J z X z I 5 X z d f M j A y M i w g M T g g M D I g M z E v Q X V 0 b 1 J l b W 9 2 Z W R D b 2 x 1 b W 5 z M S 5 7 Q W 1 v b m V z d G F j a W 9 u Z X M s O H 0 m c X V v d D s s J n F 1 b 3 Q 7 U 2 V j d G l v b j E v c G x h e W V y c 1 8 y O V 8 3 X z I w M j I s I D E 4 I D A y I D M x L 0 F 1 d G 9 S Z W 1 v d m V k Q 2 9 s d W 1 u c z E u e 0 V u I G x h I G x p c 3 R h I G R l I H R y Y W 5 z Z m V y Z W 5 j a W F z L D l 9 J n F 1 b 3 Q 7 L C Z x d W 9 0 O 1 N l Y 3 R p b 2 4 x L 3 B s Y X l l c n N f M j l f N 1 8 y M D I y L C A x O C A w M i A z M S 9 B d X R v U m V t b 3 Z l Z E N v b H V t b n M x L n t F Z G F k L D E w f S Z x d W 9 0 O y w m c X V v d D t T Z W N 0 a W 9 u M S 9 w b G F 5 Z X J z X z I 5 X z d f M j A y M i w g M T g g M D I g M z E v Q X V 0 b 1 J l b W 9 2 Z W R D b 2 x 1 b W 5 z M S 5 7 R M O t Y X M s M T F 9 J n F 1 b 3 Q 7 L C Z x d W 9 0 O 1 N l Y 3 R p b 2 4 x L 3 B s Y X l l c n N f M j l f N 1 8 y M D I y L C A x O C A w M i A z M S 9 B d X R v U m V t b 3 Z l Z E N v b H V t b n M x L n t U U 0 k s M T J 9 J n F 1 b 3 Q 7 L C Z x d W 9 0 O 1 N l Y 3 R p b 2 4 x L 3 B s Y X l l c n N f M j l f N 1 8 y M D I y L C A x O C A w M i A z M S 9 B d X R v U m V t b 3 Z l Z E N v b H V t b n M x L n t T Y W x h c m l v L D E z f S Z x d W 9 0 O y w m c X V v d D t T Z W N 0 a W 9 u M S 9 w b G F 5 Z X J z X z I 5 X z d f M j A y M i w g M T g g M D I g M z E v Q X V 0 b 1 J l b W 9 2 Z W R D b 2 x 1 b W 5 z M S 5 7 U 2 V t Y W 5 h c y B l b i B l b C B j b H V i L D E 0 f S Z x d W 9 0 O y w m c X V v d D t T Z W N 0 a W 9 u M S 9 w b G F 5 Z X J z X z I 5 X z d f M j A y M i w g M T g g M D I g M z E v Q X V 0 b 1 J l b W 9 2 Z W R D b 2 x 1 b W 5 z M S 5 7 R X h w Z X J p Z W 5 j a W E s M T V 9 J n F 1 b 3 Q 7 L C Z x d W 9 0 O 1 N l Y 3 R p b 2 4 x L 3 B s Y X l l c n N f M j l f N 1 8 y M D I y L C A x O C A w M i A z M S 9 B d X R v U m V t b 3 Z l Z E N v b H V t b n M x L n t M a W R l c m F 6 Z 2 8 s M T Z 9 J n F 1 b 3 Q 7 L C Z x d W 9 0 O 1 N l Y 3 R p b 2 4 x L 3 B s Y X l l c n N f M j l f N 1 8 y M D I y L C A x O C A w M i A z M S 9 B d X R v U m V t b 3 Z l Z E N v b H V t b n M x L n t G a W R l b G l k Y W Q s M T d 9 J n F 1 b 3 Q 7 L C Z x d W 9 0 O 1 N l Y 3 R p b 2 4 x L 3 B s Y X l l c n N f M j l f N 1 8 y M D I y L C A x O C A w M i A z M S 9 B d X R v U m V t b 3 Z l Z E N v b H V t b n M x L n t G b 3 J t Y S w x O H 0 m c X V v d D s s J n F 1 b 3 Q 7 U 2 V j d G l v b j E v c G x h e W V y c 1 8 y O V 8 3 X z I w M j I s I D E 4 I D A y I D M x L 0 F 1 d G 9 S Z W 1 v d m V k Q 2 9 s d W 1 u c z E u e 1 J l c 2 l z d G V u Y 2 l h L D E 5 f S Z x d W 9 0 O y w m c X V v d D t T Z W N 0 a W 9 u M S 9 w b G F 5 Z X J z X z I 5 X z d f M j A y M i w g M T g g M D I g M z E v Q X V 0 b 1 J l b W 9 2 Z W R D b 2 x 1 b W 5 z M S 5 7 R m V j a G E g w 7 p s d G l t b y B w Y X J 0 a W R v L D I w f S Z x d W 9 0 O y w m c X V v d D t T Z W N 0 a W 9 u M S 9 w b G F 5 Z X J z X z I 5 X z d f M j A y M i w g M T g g M D I g M z E v Q X V 0 b 1 J l b W 9 2 Z W R D b 2 x 1 b W 5 z M S 5 7 U m V u Z G l t a W V u d G 8 g w 7 p s d G l t b y B w Y X J 0 a W R v L D I x f S Z x d W 9 0 O y w m c X V v d D t T Z W N 0 a W 9 u M S 9 w b G F 5 Z X J z X z I 5 X z d f M j A y M i w g M T g g M D I g M z E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M j l f N 1 8 y M D I y J T J D J T I w M T g l M j A w M i U y M D M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g l M j A w M i U y M D M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j l f N 1 8 y M D I y J T J D J T I w M T g l M j A w M i U y M D M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V 8 4 X z I w M j I l M k M l M j A x M C U y M D A w J T I w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X z F f O F 8 y M D I y X 1 8 x M F 8 w M F 8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w O D o w M T o w M y 4 y O T M z N j c 4 W i I g L z 4 8 R W 5 0 c n k g V H l w Z T 0 i R m l s b E N v b H V t b l R 5 c G V z I i B W Y W x 1 Z T 0 i c 0 J n T U d B d 0 1 H Q X d Z R E F 3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M V 8 4 X z I w M j I s I D E w I D A w I D M z L 0 F 1 d G 9 S Z W 1 v d m V k Q 2 9 s d W 1 u c z E u e 0 5 h Y 2 l v b m F s a W R h Z C w w f S Z x d W 9 0 O y w m c X V v d D t T Z W N 0 a W 9 u M S 9 w b G F 5 Z X J z X z F f O F 8 y M D I y L C A x M C A w M C A z M y 9 B d X R v U m V t b 3 Z l Z E N v b H V t b n M x L n t E b 3 J z Y W w s M X 0 m c X V v d D s s J n F 1 b 3 Q 7 U 2 V j d G l v b j E v c G x h e W V y c 1 8 x X z h f M j A y M i w g M T A g M D A g M z M v Q X V 0 b 1 J l b W 9 2 Z W R D b 2 x 1 b W 5 z M S 5 7 T m 9 t Y n J l L D J 9 J n F 1 b 3 Q 7 L C Z x d W 9 0 O 1 N l Y 3 R p b 2 4 x L 3 B s Y X l l c n N f M V 8 4 X z I w M j I s I D E w I D A w I D M z L 0 F 1 d G 9 S Z W 1 v d m V k Q 2 9 s d W 1 u c z E u e 0 l E I G R l b C B q d W d h Z G 9 y L D N 9 J n F 1 b 3 Q 7 L C Z x d W 9 0 O 1 N l Y 3 R p b 2 4 x L 3 B s Y X l l c n N f M V 8 4 X z I w M j I s I D E w I D A w I D M z L 0 F 1 d G 9 S Z W 1 v d m V k Q 2 9 s d W 1 u c z E u e 0 V u d H J l b m F k b 3 I s N H 0 m c X V v d D s s J n F 1 b 3 Q 7 U 2 V j d G l v b j E v c G x h e W V y c 1 8 x X z h f M j A y M i w g M T A g M D A g M z M v Q X V 0 b 1 J l b W 9 2 Z W R D b 2 x 1 b W 5 z M S 5 7 R X N w Z W N p Y W x p Z G F k L D V 9 J n F 1 b 3 Q 7 L C Z x d W 9 0 O 1 N l Y 3 R p b 2 4 x L 3 B s Y X l l c n N f M V 8 4 X z I w M j I s I D E w I D A w I D M z L 0 F 1 d G 9 S Z W 1 v d m V k Q 2 9 s d W 1 u c z E u e 0 J v b m l m a W N h Y 2 n D s 2 4 g c G 9 y I G N s d W I g Z G U g b 3 J p Z 2 V u L D Z 9 J n F 1 b 3 Q 7 L C Z x d W 9 0 O 1 N l Y 3 R p b 2 4 x L 3 B s Y X l l c n N f M V 8 4 X z I w M j I s I D E w I D A w I D M z L 0 F 1 d G 9 S Z W 1 v d m V k Q 2 9 s d W 1 u c z E u e 0 x l c 2 l v b m V z L D d 9 J n F 1 b 3 Q 7 L C Z x d W 9 0 O 1 N l Y 3 R p b 2 4 x L 3 B s Y X l l c n N f M V 8 4 X z I w M j I s I D E w I D A w I D M z L 0 F 1 d G 9 S Z W 1 v d m V k Q 2 9 s d W 1 u c z E u e 0 F t b 2 5 l c 3 R h Y 2 l v b m V z L D h 9 J n F 1 b 3 Q 7 L C Z x d W 9 0 O 1 N l Y 3 R p b 2 4 x L 3 B s Y X l l c n N f M V 8 4 X z I w M j I s I D E w I D A w I D M z L 0 F 1 d G 9 S Z W 1 v d m V k Q 2 9 s d W 1 u c z E u e 0 V u I G x h I G x p c 3 R h I G R l I H R y Y W 5 z Z m V y Z W 5 j a W F z L D l 9 J n F 1 b 3 Q 7 L C Z x d W 9 0 O 1 N l Y 3 R p b 2 4 x L 3 B s Y X l l c n N f M V 8 4 X z I w M j I s I D E w I D A w I D M z L 0 F 1 d G 9 S Z W 1 v d m V k Q 2 9 s d W 1 u c z E u e 0 V k Y W Q s M T B 9 J n F 1 b 3 Q 7 L C Z x d W 9 0 O 1 N l Y 3 R p b 2 4 x L 3 B s Y X l l c n N f M V 8 4 X z I w M j I s I D E w I D A w I D M z L 0 F 1 d G 9 S Z W 1 v d m V k Q 2 9 s d W 1 u c z E u e 0 T D r W F z L D E x f S Z x d W 9 0 O y w m c X V v d D t T Z W N 0 a W 9 u M S 9 w b G F 5 Z X J z X z F f O F 8 y M D I y L C A x M C A w M C A z M y 9 B d X R v U m V t b 3 Z l Z E N v b H V t b n M x L n t U U 0 k s M T J 9 J n F 1 b 3 Q 7 L C Z x d W 9 0 O 1 N l Y 3 R p b 2 4 x L 3 B s Y X l l c n N f M V 8 4 X z I w M j I s I D E w I D A w I D M z L 0 F 1 d G 9 S Z W 1 v d m V k Q 2 9 s d W 1 u c z E u e 1 N h b G F y a W 8 s M T N 9 J n F 1 b 3 Q 7 L C Z x d W 9 0 O 1 N l Y 3 R p b 2 4 x L 3 B s Y X l l c n N f M V 8 4 X z I w M j I s I D E w I D A w I D M z L 0 F 1 d G 9 S Z W 1 v d m V k Q 2 9 s d W 1 u c z E u e 1 N l b W F u Y X M g Z W 4 g Z W w g Y 2 x 1 Y i w x N H 0 m c X V v d D s s J n F 1 b 3 Q 7 U 2 V j d G l v b j E v c G x h e W V y c 1 8 x X z h f M j A y M i w g M T A g M D A g M z M v Q X V 0 b 1 J l b W 9 2 Z W R D b 2 x 1 b W 5 z M S 5 7 R X h w Z X J p Z W 5 j a W E s M T V 9 J n F 1 b 3 Q 7 L C Z x d W 9 0 O 1 N l Y 3 R p b 2 4 x L 3 B s Y X l l c n N f M V 8 4 X z I w M j I s I D E w I D A w I D M z L 0 F 1 d G 9 S Z W 1 v d m V k Q 2 9 s d W 1 u c z E u e 0 x p Z G V y Y X p n b y w x N n 0 m c X V v d D s s J n F 1 b 3 Q 7 U 2 V j d G l v b j E v c G x h e W V y c 1 8 x X z h f M j A y M i w g M T A g M D A g M z M v Q X V 0 b 1 J l b W 9 2 Z W R D b 2 x 1 b W 5 z M S 5 7 R m l k Z W x p Z G F k L D E 3 f S Z x d W 9 0 O y w m c X V v d D t T Z W N 0 a W 9 u M S 9 w b G F 5 Z X J z X z F f O F 8 y M D I y L C A x M C A w M C A z M y 9 B d X R v U m V t b 3 Z l Z E N v b H V t b n M x L n t G b 3 J t Y S w x O H 0 m c X V v d D s s J n F 1 b 3 Q 7 U 2 V j d G l v b j E v c G x h e W V y c 1 8 x X z h f M j A y M i w g M T A g M D A g M z M v Q X V 0 b 1 J l b W 9 2 Z W R D b 2 x 1 b W 5 z M S 5 7 U m V z a X N 0 Z W 5 j a W E s M T l 9 J n F 1 b 3 Q 7 L C Z x d W 9 0 O 1 N l Y 3 R p b 2 4 x L 3 B s Y X l l c n N f M V 8 4 X z I w M j I s I D E w I D A w I D M z L 0 F 1 d G 9 S Z W 1 v d m V k Q 2 9 s d W 1 u c z E u e 0 Z l Y 2 h h I M O 6 b H R p b W 8 g c G F y d G l k b y w y M H 0 m c X V v d D s s J n F 1 b 3 Q 7 U 2 V j d G l v b j E v c G x h e W V y c 1 8 x X z h f M j A y M i w g M T A g M D A g M z M v Q X V 0 b 1 J l b W 9 2 Z W R D b 2 x 1 b W 5 z M S 5 7 U m V u Z G l t a W V u d G 8 g w 7 p s d G l t b y B w Y X J 0 a W R v L D I x f S Z x d W 9 0 O y w m c X V v d D t T Z W N 0 a W 9 u M S 9 w b G F 5 Z X J z X z F f O F 8 y M D I y L C A x M C A w M C A z M y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x X z h f M j A y M i w g M T A g M D A g M z M v Q X V 0 b 1 J l b W 9 2 Z W R D b 2 x 1 b W 5 z M S 5 7 T m F j a W 9 u Y W x p Z G F k L D B 9 J n F 1 b 3 Q 7 L C Z x d W 9 0 O 1 N l Y 3 R p b 2 4 x L 3 B s Y X l l c n N f M V 8 4 X z I w M j I s I D E w I D A w I D M z L 0 F 1 d G 9 S Z W 1 v d m V k Q 2 9 s d W 1 u c z E u e 0 R v c n N h b C w x f S Z x d W 9 0 O y w m c X V v d D t T Z W N 0 a W 9 u M S 9 w b G F 5 Z X J z X z F f O F 8 y M D I y L C A x M C A w M C A z M y 9 B d X R v U m V t b 3 Z l Z E N v b H V t b n M x L n t O b 2 1 i c m U s M n 0 m c X V v d D s s J n F 1 b 3 Q 7 U 2 V j d G l v b j E v c G x h e W V y c 1 8 x X z h f M j A y M i w g M T A g M D A g M z M v Q X V 0 b 1 J l b W 9 2 Z W R D b 2 x 1 b W 5 z M S 5 7 S U Q g Z G V s I G p 1 Z 2 F k b 3 I s M 3 0 m c X V v d D s s J n F 1 b 3 Q 7 U 2 V j d G l v b j E v c G x h e W V y c 1 8 x X z h f M j A y M i w g M T A g M D A g M z M v Q X V 0 b 1 J l b W 9 2 Z W R D b 2 x 1 b W 5 z M S 5 7 R W 5 0 c m V u Y W R v c i w 0 f S Z x d W 9 0 O y w m c X V v d D t T Z W N 0 a W 9 u M S 9 w b G F 5 Z X J z X z F f O F 8 y M D I y L C A x M C A w M C A z M y 9 B d X R v U m V t b 3 Z l Z E N v b H V t b n M x L n t F c 3 B l Y 2 l h b G l k Y W Q s N X 0 m c X V v d D s s J n F 1 b 3 Q 7 U 2 V j d G l v b j E v c G x h e W V y c 1 8 x X z h f M j A y M i w g M T A g M D A g M z M v Q X V 0 b 1 J l b W 9 2 Z W R D b 2 x 1 b W 5 z M S 5 7 Q m 9 u a W Z p Y 2 F j a c O z b i B w b 3 I g Y 2 x 1 Y i B k Z S B v c m l n Z W 4 s N n 0 m c X V v d D s s J n F 1 b 3 Q 7 U 2 V j d G l v b j E v c G x h e W V y c 1 8 x X z h f M j A y M i w g M T A g M D A g M z M v Q X V 0 b 1 J l b W 9 2 Z W R D b 2 x 1 b W 5 z M S 5 7 T G V z a W 9 u Z X M s N 3 0 m c X V v d D s s J n F 1 b 3 Q 7 U 2 V j d G l v b j E v c G x h e W V y c 1 8 x X z h f M j A y M i w g M T A g M D A g M z M v Q X V 0 b 1 J l b W 9 2 Z W R D b 2 x 1 b W 5 z M S 5 7 Q W 1 v b m V z d G F j a W 9 u Z X M s O H 0 m c X V v d D s s J n F 1 b 3 Q 7 U 2 V j d G l v b j E v c G x h e W V y c 1 8 x X z h f M j A y M i w g M T A g M D A g M z M v Q X V 0 b 1 J l b W 9 2 Z W R D b 2 x 1 b W 5 z M S 5 7 R W 4 g b G E g b G l z d G E g Z G U g d H J h b n N m Z X J l b m N p Y X M s O X 0 m c X V v d D s s J n F 1 b 3 Q 7 U 2 V j d G l v b j E v c G x h e W V y c 1 8 x X z h f M j A y M i w g M T A g M D A g M z M v Q X V 0 b 1 J l b W 9 2 Z W R D b 2 x 1 b W 5 z M S 5 7 R W R h Z C w x M H 0 m c X V v d D s s J n F 1 b 3 Q 7 U 2 V j d G l v b j E v c G x h e W V y c 1 8 x X z h f M j A y M i w g M T A g M D A g M z M v Q X V 0 b 1 J l b W 9 2 Z W R D b 2 x 1 b W 5 z M S 5 7 R M O t Y X M s M T F 9 J n F 1 b 3 Q 7 L C Z x d W 9 0 O 1 N l Y 3 R p b 2 4 x L 3 B s Y X l l c n N f M V 8 4 X z I w M j I s I D E w I D A w I D M z L 0 F 1 d G 9 S Z W 1 v d m V k Q 2 9 s d W 1 u c z E u e 1 R T S S w x M n 0 m c X V v d D s s J n F 1 b 3 Q 7 U 2 V j d G l v b j E v c G x h e W V y c 1 8 x X z h f M j A y M i w g M T A g M D A g M z M v Q X V 0 b 1 J l b W 9 2 Z W R D b 2 x 1 b W 5 z M S 5 7 U 2 F s Y X J p b y w x M 3 0 m c X V v d D s s J n F 1 b 3 Q 7 U 2 V j d G l v b j E v c G x h e W V y c 1 8 x X z h f M j A y M i w g M T A g M D A g M z M v Q X V 0 b 1 J l b W 9 2 Z W R D b 2 x 1 b W 5 z M S 5 7 U 2 V t Y W 5 h c y B l b i B l b C B j b H V i L D E 0 f S Z x d W 9 0 O y w m c X V v d D t T Z W N 0 a W 9 u M S 9 w b G F 5 Z X J z X z F f O F 8 y M D I y L C A x M C A w M C A z M y 9 B d X R v U m V t b 3 Z l Z E N v b H V t b n M x L n t F e H B l c m l l b m N p Y S w x N X 0 m c X V v d D s s J n F 1 b 3 Q 7 U 2 V j d G l v b j E v c G x h e W V y c 1 8 x X z h f M j A y M i w g M T A g M D A g M z M v Q X V 0 b 1 J l b W 9 2 Z W R D b 2 x 1 b W 5 z M S 5 7 T G l k Z X J h e m d v L D E 2 f S Z x d W 9 0 O y w m c X V v d D t T Z W N 0 a W 9 u M S 9 w b G F 5 Z X J z X z F f O F 8 y M D I y L C A x M C A w M C A z M y 9 B d X R v U m V t b 3 Z l Z E N v b H V t b n M x L n t G a W R l b G l k Y W Q s M T d 9 J n F 1 b 3 Q 7 L C Z x d W 9 0 O 1 N l Y 3 R p b 2 4 x L 3 B s Y X l l c n N f M V 8 4 X z I w M j I s I D E w I D A w I D M z L 0 F 1 d G 9 S Z W 1 v d m V k Q 2 9 s d W 1 u c z E u e 0 Z v c m 1 h L D E 4 f S Z x d W 9 0 O y w m c X V v d D t T Z W N 0 a W 9 u M S 9 w b G F 5 Z X J z X z F f O F 8 y M D I y L C A x M C A w M C A z M y 9 B d X R v U m V t b 3 Z l Z E N v b H V t b n M x L n t S Z X N p c 3 R l b m N p Y S w x O X 0 m c X V v d D s s J n F 1 b 3 Q 7 U 2 V j d G l v b j E v c G x h e W V y c 1 8 x X z h f M j A y M i w g M T A g M D A g M z M v Q X V 0 b 1 J l b W 9 2 Z W R D b 2 x 1 b W 5 z M S 5 7 R m V j a G E g w 7 p s d G l t b y B w Y X J 0 a W R v L D I w f S Z x d W 9 0 O y w m c X V v d D t T Z W N 0 a W 9 u M S 9 w b G F 5 Z X J z X z F f O F 8 y M D I y L C A x M C A w M C A z M y 9 B d X R v U m V t b 3 Z l Z E N v b H V t b n M x L n t S Z W 5 k a W 1 p Z W 5 0 b y D D u m x 0 a W 1 v I H B h c n R p Z G 8 s M j F 9 J n F 1 b 3 Q 7 L C Z x d W 9 0 O 1 N l Y 3 R p b 2 4 x L 3 B s Y X l l c n N f M V 8 4 X z I w M j I s I D E w I D A w I D M z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F f O F 8 y M D I y J T J D J T I w M T A l M j A w M C U y M D M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V 8 4 X z I w M j I l M k M l M j A x M C U y M D A w J T I w M z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x X z h f M j A y M i U y Q y U y M D E w J T I w M D A l M j A z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F f O F 8 y M D I y J T J D J T I w M T A l M j A w O C U y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c 1 8 x X z h f M j A y M l 9 f M T B f M D h f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F U M D g 6 M D g 6 M j I u M z c 5 N j E x N V o i I C 8 + P E V u d H J 5 I F R 5 c G U 9 I k Z p b G x D b 2 x 1 b W 5 U e X B l c y I g V m F s d W U 9 I n N C Z 0 1 H Q X d N R 0 F 3 W U d B d 0 1 E Q X d N R E F 3 T U R B d 0 1 K Q X d Z P S I g L z 4 8 R W 5 0 c n k g V H l w Z T 0 i R m l s b E N v b H V t b k 5 h b W V z I i B W Y W x 1 Z T 0 i c 1 s m c X V v d D t O Y W N p b 2 5 h b G l k Y W Q m c X V v d D s s J n F 1 b 3 Q 7 R G 9 y c 2 F s J n F 1 b 3 Q 7 L C Z x d W 9 0 O 0 5 v b W J y Z S Z x d W 9 0 O y w m c X V v d D t J R C B k Z W w g a n V n Y W R v c i Z x d W 9 0 O y w m c X V v d D t F b n R y Z W 5 h Z G 9 y J n F 1 b 3 Q 7 L C Z x d W 9 0 O 0 V z c G V j a W F s a W R h Z C Z x d W 9 0 O y w m c X V v d D t C b 2 5 p Z m l j Y W N p w 7 N u I H B v c i B j b H V i I G R l I G 9 y a W d l b i Z x d W 9 0 O y w m c X V v d D t M Z X N p b 2 5 l c y Z x d W 9 0 O y w m c X V v d D t B b W 9 u Z X N 0 Y W N p b 2 5 l c y Z x d W 9 0 O y w m c X V v d D t F b i B s Y S B s a X N 0 Y S B k Z S B 0 c m F u c 2 Z l c m V u Y 2 l h c y Z x d W 9 0 O y w m c X V v d D t F Z G F k J n F 1 b 3 Q 7 L C Z x d W 9 0 O 0 T D r W F z J n F 1 b 3 Q 7 L C Z x d W 9 0 O 1 R T S S Z x d W 9 0 O y w m c X V v d D t T Y W x h c m l v J n F 1 b 3 Q 7 L C Z x d W 9 0 O 1 N l b W F u Y X M g Z W 4 g Z W w g Y 2 x 1 Y i Z x d W 9 0 O y w m c X V v d D t F e H B l c m l l b m N p Y S Z x d W 9 0 O y w m c X V v d D t M a W R l c m F 6 Z 2 8 m c X V v d D s s J n F 1 b 3 Q 7 R m l k Z W x p Z G F k J n F 1 b 3 Q 7 L C Z x d W 9 0 O 0 Z v c m 1 h J n F 1 b 3 Q 7 L C Z x d W 9 0 O 1 J l c 2 l z d G V u Y 2 l h J n F 1 b 3 Q 7 L C Z x d W 9 0 O 0 Z l Y 2 h h I M O 6 b H R p b W 8 g c G F y d G l k b y Z x d W 9 0 O y w m c X V v d D t S Z W 5 k a W 1 p Z W 5 0 b y D D u m x 0 a W 1 v I H B h c n R p Z G 8 m c X V v d D s s J n F 1 b 3 Q 7 R G V t Y X J j Y W N p w 7 N u I M O 6 b H R p b W 8 g c G F y d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z F f O F 8 y M D I y L C A x M C A w O C A w N C 9 B d X R v U m V t b 3 Z l Z E N v b H V t b n M x L n t O Y W N p b 2 5 h b G l k Y W Q s M H 0 m c X V v d D s s J n F 1 b 3 Q 7 U 2 V j d G l v b j E v c G x h e W V y c 1 8 x X z h f M j A y M i w g M T A g M D g g M D Q v Q X V 0 b 1 J l b W 9 2 Z W R D b 2 x 1 b W 5 z M S 5 7 R G 9 y c 2 F s L D F 9 J n F 1 b 3 Q 7 L C Z x d W 9 0 O 1 N l Y 3 R p b 2 4 x L 3 B s Y X l l c n N f M V 8 4 X z I w M j I s I D E w I D A 4 I D A 0 L 0 F 1 d G 9 S Z W 1 v d m V k Q 2 9 s d W 1 u c z E u e 0 5 v b W J y Z S w y f S Z x d W 9 0 O y w m c X V v d D t T Z W N 0 a W 9 u M S 9 w b G F 5 Z X J z X z F f O F 8 y M D I y L C A x M C A w O C A w N C 9 B d X R v U m V t b 3 Z l Z E N v b H V t b n M x L n t J R C B k Z W w g a n V n Y W R v c i w z f S Z x d W 9 0 O y w m c X V v d D t T Z W N 0 a W 9 u M S 9 w b G F 5 Z X J z X z F f O F 8 y M D I y L C A x M C A w O C A w N C 9 B d X R v U m V t b 3 Z l Z E N v b H V t b n M x L n t F b n R y Z W 5 h Z G 9 y L D R 9 J n F 1 b 3 Q 7 L C Z x d W 9 0 O 1 N l Y 3 R p b 2 4 x L 3 B s Y X l l c n N f M V 8 4 X z I w M j I s I D E w I D A 4 I D A 0 L 0 F 1 d G 9 S Z W 1 v d m V k Q 2 9 s d W 1 u c z E u e 0 V z c G V j a W F s a W R h Z C w 1 f S Z x d W 9 0 O y w m c X V v d D t T Z W N 0 a W 9 u M S 9 w b G F 5 Z X J z X z F f O F 8 y M D I y L C A x M C A w O C A w N C 9 B d X R v U m V t b 3 Z l Z E N v b H V t b n M x L n t C b 2 5 p Z m l j Y W N p w 7 N u I H B v c i B j b H V i I G R l I G 9 y a W d l b i w 2 f S Z x d W 9 0 O y w m c X V v d D t T Z W N 0 a W 9 u M S 9 w b G F 5 Z X J z X z F f O F 8 y M D I y L C A x M C A w O C A w N C 9 B d X R v U m V t b 3 Z l Z E N v b H V t b n M x L n t M Z X N p b 2 5 l c y w 3 f S Z x d W 9 0 O y w m c X V v d D t T Z W N 0 a W 9 u M S 9 w b G F 5 Z X J z X z F f O F 8 y M D I y L C A x M C A w O C A w N C 9 B d X R v U m V t b 3 Z l Z E N v b H V t b n M x L n t B b W 9 u Z X N 0 Y W N p b 2 5 l c y w 4 f S Z x d W 9 0 O y w m c X V v d D t T Z W N 0 a W 9 u M S 9 w b G F 5 Z X J z X z F f O F 8 y M D I y L C A x M C A w O C A w N C 9 B d X R v U m V t b 3 Z l Z E N v b H V t b n M x L n t F b i B s Y S B s a X N 0 Y S B k Z S B 0 c m F u c 2 Z l c m V u Y 2 l h c y w 5 f S Z x d W 9 0 O y w m c X V v d D t T Z W N 0 a W 9 u M S 9 w b G F 5 Z X J z X z F f O F 8 y M D I y L C A x M C A w O C A w N C 9 B d X R v U m V t b 3 Z l Z E N v b H V t b n M x L n t F Z G F k L D E w f S Z x d W 9 0 O y w m c X V v d D t T Z W N 0 a W 9 u M S 9 w b G F 5 Z X J z X z F f O F 8 y M D I y L C A x M C A w O C A w N C 9 B d X R v U m V t b 3 Z l Z E N v b H V t b n M x L n t E w 6 1 h c y w x M X 0 m c X V v d D s s J n F 1 b 3 Q 7 U 2 V j d G l v b j E v c G x h e W V y c 1 8 x X z h f M j A y M i w g M T A g M D g g M D Q v Q X V 0 b 1 J l b W 9 2 Z W R D b 2 x 1 b W 5 z M S 5 7 V F N J L D E y f S Z x d W 9 0 O y w m c X V v d D t T Z W N 0 a W 9 u M S 9 w b G F 5 Z X J z X z F f O F 8 y M D I y L C A x M C A w O C A w N C 9 B d X R v U m V t b 3 Z l Z E N v b H V t b n M x L n t T Y W x h c m l v L D E z f S Z x d W 9 0 O y w m c X V v d D t T Z W N 0 a W 9 u M S 9 w b G F 5 Z X J z X z F f O F 8 y M D I y L C A x M C A w O C A w N C 9 B d X R v U m V t b 3 Z l Z E N v b H V t b n M x L n t T Z W 1 h b m F z I G V u I G V s I G N s d W I s M T R 9 J n F 1 b 3 Q 7 L C Z x d W 9 0 O 1 N l Y 3 R p b 2 4 x L 3 B s Y X l l c n N f M V 8 4 X z I w M j I s I D E w I D A 4 I D A 0 L 0 F 1 d G 9 S Z W 1 v d m V k Q 2 9 s d W 1 u c z E u e 0 V 4 c G V y a W V u Y 2 l h L D E 1 f S Z x d W 9 0 O y w m c X V v d D t T Z W N 0 a W 9 u M S 9 w b G F 5 Z X J z X z F f O F 8 y M D I y L C A x M C A w O C A w N C 9 B d X R v U m V t b 3 Z l Z E N v b H V t b n M x L n t M a W R l c m F 6 Z 2 8 s M T Z 9 J n F 1 b 3 Q 7 L C Z x d W 9 0 O 1 N l Y 3 R p b 2 4 x L 3 B s Y X l l c n N f M V 8 4 X z I w M j I s I D E w I D A 4 I D A 0 L 0 F 1 d G 9 S Z W 1 v d m V k Q 2 9 s d W 1 u c z E u e 0 Z p Z G V s a W R h Z C w x N 3 0 m c X V v d D s s J n F 1 b 3 Q 7 U 2 V j d G l v b j E v c G x h e W V y c 1 8 x X z h f M j A y M i w g M T A g M D g g M D Q v Q X V 0 b 1 J l b W 9 2 Z W R D b 2 x 1 b W 5 z M S 5 7 R m 9 y b W E s M T h 9 J n F 1 b 3 Q 7 L C Z x d W 9 0 O 1 N l Y 3 R p b 2 4 x L 3 B s Y X l l c n N f M V 8 4 X z I w M j I s I D E w I D A 4 I D A 0 L 0 F 1 d G 9 S Z W 1 v d m V k Q 2 9 s d W 1 u c z E u e 1 J l c 2 l z d G V u Y 2 l h L D E 5 f S Z x d W 9 0 O y w m c X V v d D t T Z W N 0 a W 9 u M S 9 w b G F 5 Z X J z X z F f O F 8 y M D I y L C A x M C A w O C A w N C 9 B d X R v U m V t b 3 Z l Z E N v b H V t b n M x L n t G Z W N o Y S D D u m x 0 a W 1 v I H B h c n R p Z G 8 s M j B 9 J n F 1 b 3 Q 7 L C Z x d W 9 0 O 1 N l Y 3 R p b 2 4 x L 3 B s Y X l l c n N f M V 8 4 X z I w M j I s I D E w I D A 4 I D A 0 L 0 F 1 d G 9 S Z W 1 v d m V k Q 2 9 s d W 1 u c z E u e 1 J l b m R p b W l l b n R v I M O 6 b H R p b W 8 g c G F y d G l k b y w y M X 0 m c X V v d D s s J n F 1 b 3 Q 7 U 2 V j d G l v b j E v c G x h e W V y c 1 8 x X z h f M j A y M i w g M T A g M D g g M D Q v Q X V 0 b 1 J l b W 9 2 Z W R D b 2 x 1 b W 5 z M S 5 7 R G V t Y X J j Y W N p w 7 N u I M O 6 b H R p b W 8 g c G F y d G l k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s Y X l l c n N f M V 8 4 X z I w M j I s I D E w I D A 4 I D A 0 L 0 F 1 d G 9 S Z W 1 v d m V k Q 2 9 s d W 1 u c z E u e 0 5 h Y 2 l v b m F s a W R h Z C w w f S Z x d W 9 0 O y w m c X V v d D t T Z W N 0 a W 9 u M S 9 w b G F 5 Z X J z X z F f O F 8 y M D I y L C A x M C A w O C A w N C 9 B d X R v U m V t b 3 Z l Z E N v b H V t b n M x L n t E b 3 J z Y W w s M X 0 m c X V v d D s s J n F 1 b 3 Q 7 U 2 V j d G l v b j E v c G x h e W V y c 1 8 x X z h f M j A y M i w g M T A g M D g g M D Q v Q X V 0 b 1 J l b W 9 2 Z W R D b 2 x 1 b W 5 z M S 5 7 T m 9 t Y n J l L D J 9 J n F 1 b 3 Q 7 L C Z x d W 9 0 O 1 N l Y 3 R p b 2 4 x L 3 B s Y X l l c n N f M V 8 4 X z I w M j I s I D E w I D A 4 I D A 0 L 0 F 1 d G 9 S Z W 1 v d m V k Q 2 9 s d W 1 u c z E u e 0 l E I G R l b C B q d W d h Z G 9 y L D N 9 J n F 1 b 3 Q 7 L C Z x d W 9 0 O 1 N l Y 3 R p b 2 4 x L 3 B s Y X l l c n N f M V 8 4 X z I w M j I s I D E w I D A 4 I D A 0 L 0 F 1 d G 9 S Z W 1 v d m V k Q 2 9 s d W 1 u c z E u e 0 V u d H J l b m F k b 3 I s N H 0 m c X V v d D s s J n F 1 b 3 Q 7 U 2 V j d G l v b j E v c G x h e W V y c 1 8 x X z h f M j A y M i w g M T A g M D g g M D Q v Q X V 0 b 1 J l b W 9 2 Z W R D b 2 x 1 b W 5 z M S 5 7 R X N w Z W N p Y W x p Z G F k L D V 9 J n F 1 b 3 Q 7 L C Z x d W 9 0 O 1 N l Y 3 R p b 2 4 x L 3 B s Y X l l c n N f M V 8 4 X z I w M j I s I D E w I D A 4 I D A 0 L 0 F 1 d G 9 S Z W 1 v d m V k Q 2 9 s d W 1 u c z E u e 0 J v b m l m a W N h Y 2 n D s 2 4 g c G 9 y I G N s d W I g Z G U g b 3 J p Z 2 V u L D Z 9 J n F 1 b 3 Q 7 L C Z x d W 9 0 O 1 N l Y 3 R p b 2 4 x L 3 B s Y X l l c n N f M V 8 4 X z I w M j I s I D E w I D A 4 I D A 0 L 0 F 1 d G 9 S Z W 1 v d m V k Q 2 9 s d W 1 u c z E u e 0 x l c 2 l v b m V z L D d 9 J n F 1 b 3 Q 7 L C Z x d W 9 0 O 1 N l Y 3 R p b 2 4 x L 3 B s Y X l l c n N f M V 8 4 X z I w M j I s I D E w I D A 4 I D A 0 L 0 F 1 d G 9 S Z W 1 v d m V k Q 2 9 s d W 1 u c z E u e 0 F t b 2 5 l c 3 R h Y 2 l v b m V z L D h 9 J n F 1 b 3 Q 7 L C Z x d W 9 0 O 1 N l Y 3 R p b 2 4 x L 3 B s Y X l l c n N f M V 8 4 X z I w M j I s I D E w I D A 4 I D A 0 L 0 F 1 d G 9 S Z W 1 v d m V k Q 2 9 s d W 1 u c z E u e 0 V u I G x h I G x p c 3 R h I G R l I H R y Y W 5 z Z m V y Z W 5 j a W F z L D l 9 J n F 1 b 3 Q 7 L C Z x d W 9 0 O 1 N l Y 3 R p b 2 4 x L 3 B s Y X l l c n N f M V 8 4 X z I w M j I s I D E w I D A 4 I D A 0 L 0 F 1 d G 9 S Z W 1 v d m V k Q 2 9 s d W 1 u c z E u e 0 V k Y W Q s M T B 9 J n F 1 b 3 Q 7 L C Z x d W 9 0 O 1 N l Y 3 R p b 2 4 x L 3 B s Y X l l c n N f M V 8 4 X z I w M j I s I D E w I D A 4 I D A 0 L 0 F 1 d G 9 S Z W 1 v d m V k Q 2 9 s d W 1 u c z E u e 0 T D r W F z L D E x f S Z x d W 9 0 O y w m c X V v d D t T Z W N 0 a W 9 u M S 9 w b G F 5 Z X J z X z F f O F 8 y M D I y L C A x M C A w O C A w N C 9 B d X R v U m V t b 3 Z l Z E N v b H V t b n M x L n t U U 0 k s M T J 9 J n F 1 b 3 Q 7 L C Z x d W 9 0 O 1 N l Y 3 R p b 2 4 x L 3 B s Y X l l c n N f M V 8 4 X z I w M j I s I D E w I D A 4 I D A 0 L 0 F 1 d G 9 S Z W 1 v d m V k Q 2 9 s d W 1 u c z E u e 1 N h b G F y a W 8 s M T N 9 J n F 1 b 3 Q 7 L C Z x d W 9 0 O 1 N l Y 3 R p b 2 4 x L 3 B s Y X l l c n N f M V 8 4 X z I w M j I s I D E w I D A 4 I D A 0 L 0 F 1 d G 9 S Z W 1 v d m V k Q 2 9 s d W 1 u c z E u e 1 N l b W F u Y X M g Z W 4 g Z W w g Y 2 x 1 Y i w x N H 0 m c X V v d D s s J n F 1 b 3 Q 7 U 2 V j d G l v b j E v c G x h e W V y c 1 8 x X z h f M j A y M i w g M T A g M D g g M D Q v Q X V 0 b 1 J l b W 9 2 Z W R D b 2 x 1 b W 5 z M S 5 7 R X h w Z X J p Z W 5 j a W E s M T V 9 J n F 1 b 3 Q 7 L C Z x d W 9 0 O 1 N l Y 3 R p b 2 4 x L 3 B s Y X l l c n N f M V 8 4 X z I w M j I s I D E w I D A 4 I D A 0 L 0 F 1 d G 9 S Z W 1 v d m V k Q 2 9 s d W 1 u c z E u e 0 x p Z G V y Y X p n b y w x N n 0 m c X V v d D s s J n F 1 b 3 Q 7 U 2 V j d G l v b j E v c G x h e W V y c 1 8 x X z h f M j A y M i w g M T A g M D g g M D Q v Q X V 0 b 1 J l b W 9 2 Z W R D b 2 x 1 b W 5 z M S 5 7 R m l k Z W x p Z G F k L D E 3 f S Z x d W 9 0 O y w m c X V v d D t T Z W N 0 a W 9 u M S 9 w b G F 5 Z X J z X z F f O F 8 y M D I y L C A x M C A w O C A w N C 9 B d X R v U m V t b 3 Z l Z E N v b H V t b n M x L n t G b 3 J t Y S w x O H 0 m c X V v d D s s J n F 1 b 3 Q 7 U 2 V j d G l v b j E v c G x h e W V y c 1 8 x X z h f M j A y M i w g M T A g M D g g M D Q v Q X V 0 b 1 J l b W 9 2 Z W R D b 2 x 1 b W 5 z M S 5 7 U m V z a X N 0 Z W 5 j a W E s M T l 9 J n F 1 b 3 Q 7 L C Z x d W 9 0 O 1 N l Y 3 R p b 2 4 x L 3 B s Y X l l c n N f M V 8 4 X z I w M j I s I D E w I D A 4 I D A 0 L 0 F 1 d G 9 S Z W 1 v d m V k Q 2 9 s d W 1 u c z E u e 0 Z l Y 2 h h I M O 6 b H R p b W 8 g c G F y d G l k b y w y M H 0 m c X V v d D s s J n F 1 b 3 Q 7 U 2 V j d G l v b j E v c G x h e W V y c 1 8 x X z h f M j A y M i w g M T A g M D g g M D Q v Q X V 0 b 1 J l b W 9 2 Z W R D b 2 x 1 b W 5 z M S 5 7 U m V u Z G l t a W V u d G 8 g w 7 p s d G l t b y B w Y X J 0 a W R v L D I x f S Z x d W 9 0 O y w m c X V v d D t T Z W N 0 a W 9 u M S 9 w b G F 5 Z X J z X z F f O F 8 y M D I y L C A x M C A w O C A w N C 9 B d X R v U m V t b 3 Z l Z E N v b H V t b n M x L n t E Z W 1 h c m N h Y 2 n D s 2 4 g w 7 p s d G l t b y B w Y X J 0 a W R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8 x X z h f M j A y M i U y Q y U y M D E w J T I w M D g l M j A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F f O F 8 y M D I y J T J D J T I w M T A l M j A w O C U y M D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M V 8 4 X z I w M j I l M k M l M j A x M C U y M D A 4 J T I w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1 X z h f M j A y M i U y Q y U y M D E w J T I w M j c l M j A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4 O j I 3 O j U w L j I 4 O D g 1 N z R a I i A v P j x F b n R y e S B U e X B l P S J G a W x s Q 2 9 s d W 1 u V H l w Z X M i I F Z h b H V l P S J z Q m d N R 0 F 3 T U d B d 1 l E Q m d N R E F 3 T U R B d 0 1 E Q X d N S k F 3 W T 0 i I C 8 + P E V u d H J 5 I F R 5 c G U 9 I k Z p b G x D b 2 x 1 b W 5 O Y W 1 l c y I g V m F s d W U 9 I n N b J n F 1 b 3 Q 7 T m F j a W 9 u Y W x p Z G F k J n F 1 b 3 Q 7 L C Z x d W 9 0 O 0 R v c n N h b C Z x d W 9 0 O y w m c X V v d D t O b 2 1 i c m U m c X V v d D s s J n F 1 b 3 Q 7 S U Q g Z G V s I G p 1 Z 2 F k b 3 I m c X V v d D s s J n F 1 b 3 Q 7 R W 5 0 c m V u Y W R v c i Z x d W 9 0 O y w m c X V v d D t F c 3 B l Y 2 l h b G l k Y W Q m c X V v d D s s J n F 1 b 3 Q 7 Q m 9 u a W Z p Y 2 F j a c O z b i B w b 3 I g Y 2 x 1 Y i B k Z S B v c m l n Z W 4 m c X V v d D s s J n F 1 b 3 Q 7 T G V z a W 9 u Z X M m c X V v d D s s J n F 1 b 3 Q 7 Q W 1 v b m V z d G F j a W 9 u Z X M m c X V v d D s s J n F 1 b 3 Q 7 R W 4 g b G E g b G l z d G E g Z G U g d H J h b n N m Z X J l b m N p Y X M m c X V v d D s s J n F 1 b 3 Q 7 R W R h Z C Z x d W 9 0 O y w m c X V v d D t E w 6 1 h c y Z x d W 9 0 O y w m c X V v d D t U U 0 k m c X V v d D s s J n F 1 b 3 Q 7 U 2 F s Y X J p b y Z x d W 9 0 O y w m c X V v d D t T Z W 1 h b m F z I G V u I G V s I G N s d W I m c X V v d D s s J n F 1 b 3 Q 7 R X h w Z X J p Z W 5 j a W E m c X V v d D s s J n F 1 b 3 Q 7 T G l k Z X J h e m d v J n F 1 b 3 Q 7 L C Z x d W 9 0 O 0 Z p Z G V s a W R h Z C Z x d W 9 0 O y w m c X V v d D t G b 3 J t Y S Z x d W 9 0 O y w m c X V v d D t S Z X N p c 3 R l b m N p Y S Z x d W 9 0 O y w m c X V v d D t G Z W N o Y S D D u m x 0 a W 1 v I H B h c n R p Z G 8 m c X V v d D s s J n F 1 b 3 Q 7 U m V u Z G l t a W V u d G 8 g w 7 p s d G l t b y B w Y X J 0 a W R v J n F 1 b 3 Q 7 L C Z x d W 9 0 O 0 R l b W F y Y 2 F j a c O z b i D D u m x 0 a W 1 v I H B h c n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8 1 X z h f M j A y M i w g M T A g M j c g M D I v Q X V 0 b 1 J l b W 9 2 Z W R D b 2 x 1 b W 5 z M S 5 7 T m F j a W 9 u Y W x p Z G F k L D B 9 J n F 1 b 3 Q 7 L C Z x d W 9 0 O 1 N l Y 3 R p b 2 4 x L 3 B s Y X l l c n N f N V 8 4 X z I w M j I s I D E w I D I 3 I D A y L 0 F 1 d G 9 S Z W 1 v d m V k Q 2 9 s d W 1 u c z E u e 0 R v c n N h b C w x f S Z x d W 9 0 O y w m c X V v d D t T Z W N 0 a W 9 u M S 9 w b G F 5 Z X J z X z V f O F 8 y M D I y L C A x M C A y N y A w M i 9 B d X R v U m V t b 3 Z l Z E N v b H V t b n M x L n t O b 2 1 i c m U s M n 0 m c X V v d D s s J n F 1 b 3 Q 7 U 2 V j d G l v b j E v c G x h e W V y c 1 8 1 X z h f M j A y M i w g M T A g M j c g M D I v Q X V 0 b 1 J l b W 9 2 Z W R D b 2 x 1 b W 5 z M S 5 7 S U Q g Z G V s I G p 1 Z 2 F k b 3 I s M 3 0 m c X V v d D s s J n F 1 b 3 Q 7 U 2 V j d G l v b j E v c G x h e W V y c 1 8 1 X z h f M j A y M i w g M T A g M j c g M D I v Q X V 0 b 1 J l b W 9 2 Z W R D b 2 x 1 b W 5 z M S 5 7 R W 5 0 c m V u Y W R v c i w 0 f S Z x d W 9 0 O y w m c X V v d D t T Z W N 0 a W 9 u M S 9 w b G F 5 Z X J z X z V f O F 8 y M D I y L C A x M C A y N y A w M i 9 B d X R v U m V t b 3 Z l Z E N v b H V t b n M x L n t F c 3 B l Y 2 l h b G l k Y W Q s N X 0 m c X V v d D s s J n F 1 b 3 Q 7 U 2 V j d G l v b j E v c G x h e W V y c 1 8 1 X z h f M j A y M i w g M T A g M j c g M D I v Q X V 0 b 1 J l b W 9 2 Z W R D b 2 x 1 b W 5 z M S 5 7 Q m 9 u a W Z p Y 2 F j a c O z b i B w b 3 I g Y 2 x 1 Y i B k Z S B v c m l n Z W 4 s N n 0 m c X V v d D s s J n F 1 b 3 Q 7 U 2 V j d G l v b j E v c G x h e W V y c 1 8 1 X z h f M j A y M i w g M T A g M j c g M D I v Q X V 0 b 1 J l b W 9 2 Z W R D b 2 x 1 b W 5 z M S 5 7 T G V z a W 9 u Z X M s N 3 0 m c X V v d D s s J n F 1 b 3 Q 7 U 2 V j d G l v b j E v c G x h e W V y c 1 8 1 X z h f M j A y M i w g M T A g M j c g M D I v Q X V 0 b 1 J l b W 9 2 Z W R D b 2 x 1 b W 5 z M S 5 7 Q W 1 v b m V z d G F j a W 9 u Z X M s O H 0 m c X V v d D s s J n F 1 b 3 Q 7 U 2 V j d G l v b j E v c G x h e W V y c 1 8 1 X z h f M j A y M i w g M T A g M j c g M D I v Q X V 0 b 1 J l b W 9 2 Z W R D b 2 x 1 b W 5 z M S 5 7 R W 4 g b G E g b G l z d G E g Z G U g d H J h b n N m Z X J l b m N p Y X M s O X 0 m c X V v d D s s J n F 1 b 3 Q 7 U 2 V j d G l v b j E v c G x h e W V y c 1 8 1 X z h f M j A y M i w g M T A g M j c g M D I v Q X V 0 b 1 J l b W 9 2 Z W R D b 2 x 1 b W 5 z M S 5 7 R W R h Z C w x M H 0 m c X V v d D s s J n F 1 b 3 Q 7 U 2 V j d G l v b j E v c G x h e W V y c 1 8 1 X z h f M j A y M i w g M T A g M j c g M D I v Q X V 0 b 1 J l b W 9 2 Z W R D b 2 x 1 b W 5 z M S 5 7 R M O t Y X M s M T F 9 J n F 1 b 3 Q 7 L C Z x d W 9 0 O 1 N l Y 3 R p b 2 4 x L 3 B s Y X l l c n N f N V 8 4 X z I w M j I s I D E w I D I 3 I D A y L 0 F 1 d G 9 S Z W 1 v d m V k Q 2 9 s d W 1 u c z E u e 1 R T S S w x M n 0 m c X V v d D s s J n F 1 b 3 Q 7 U 2 V j d G l v b j E v c G x h e W V y c 1 8 1 X z h f M j A y M i w g M T A g M j c g M D I v Q X V 0 b 1 J l b W 9 2 Z W R D b 2 x 1 b W 5 z M S 5 7 U 2 F s Y X J p b y w x M 3 0 m c X V v d D s s J n F 1 b 3 Q 7 U 2 V j d G l v b j E v c G x h e W V y c 1 8 1 X z h f M j A y M i w g M T A g M j c g M D I v Q X V 0 b 1 J l b W 9 2 Z W R D b 2 x 1 b W 5 z M S 5 7 U 2 V t Y W 5 h c y B l b i B l b C B j b H V i L D E 0 f S Z x d W 9 0 O y w m c X V v d D t T Z W N 0 a W 9 u M S 9 w b G F 5 Z X J z X z V f O F 8 y M D I y L C A x M C A y N y A w M i 9 B d X R v U m V t b 3 Z l Z E N v b H V t b n M x L n t F e H B l c m l l b m N p Y S w x N X 0 m c X V v d D s s J n F 1 b 3 Q 7 U 2 V j d G l v b j E v c G x h e W V y c 1 8 1 X z h f M j A y M i w g M T A g M j c g M D I v Q X V 0 b 1 J l b W 9 2 Z W R D b 2 x 1 b W 5 z M S 5 7 T G l k Z X J h e m d v L D E 2 f S Z x d W 9 0 O y w m c X V v d D t T Z W N 0 a W 9 u M S 9 w b G F 5 Z X J z X z V f O F 8 y M D I y L C A x M C A y N y A w M i 9 B d X R v U m V t b 3 Z l Z E N v b H V t b n M x L n t G a W R l b G l k Y W Q s M T d 9 J n F 1 b 3 Q 7 L C Z x d W 9 0 O 1 N l Y 3 R p b 2 4 x L 3 B s Y X l l c n N f N V 8 4 X z I w M j I s I D E w I D I 3 I D A y L 0 F 1 d G 9 S Z W 1 v d m V k Q 2 9 s d W 1 u c z E u e 0 Z v c m 1 h L D E 4 f S Z x d W 9 0 O y w m c X V v d D t T Z W N 0 a W 9 u M S 9 w b G F 5 Z X J z X z V f O F 8 y M D I y L C A x M C A y N y A w M i 9 B d X R v U m V t b 3 Z l Z E N v b H V t b n M x L n t S Z X N p c 3 R l b m N p Y S w x O X 0 m c X V v d D s s J n F 1 b 3 Q 7 U 2 V j d G l v b j E v c G x h e W V y c 1 8 1 X z h f M j A y M i w g M T A g M j c g M D I v Q X V 0 b 1 J l b W 9 2 Z W R D b 2 x 1 b W 5 z M S 5 7 R m V j a G E g w 7 p s d G l t b y B w Y X J 0 a W R v L D I w f S Z x d W 9 0 O y w m c X V v d D t T Z W N 0 a W 9 u M S 9 w b G F 5 Z X J z X z V f O F 8 y M D I y L C A x M C A y N y A w M i 9 B d X R v U m V t b 3 Z l Z E N v b H V t b n M x L n t S Z W 5 k a W 1 p Z W 5 0 b y D D u m x 0 a W 1 v I H B h c n R p Z G 8 s M j F 9 J n F 1 b 3 Q 7 L C Z x d W 9 0 O 1 N l Y 3 R p b 2 4 x L 3 B s Y X l l c n N f N V 8 4 X z I w M j I s I D E w I D I 3 I D A y L 0 F 1 d G 9 S Z W 1 v d m V k Q 2 9 s d W 1 u c z E u e 0 R l b W F y Y 2 F j a c O z b i D D u m x 0 a W 1 v I H B h c n R p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z X z V f O F 8 y M D I y L C A x M C A y N y A w M i 9 B d X R v U m V t b 3 Z l Z E N v b H V t b n M x L n t O Y W N p b 2 5 h b G l k Y W Q s M H 0 m c X V v d D s s J n F 1 b 3 Q 7 U 2 V j d G l v b j E v c G x h e W V y c 1 8 1 X z h f M j A y M i w g M T A g M j c g M D I v Q X V 0 b 1 J l b W 9 2 Z W R D b 2 x 1 b W 5 z M S 5 7 R G 9 y c 2 F s L D F 9 J n F 1 b 3 Q 7 L C Z x d W 9 0 O 1 N l Y 3 R p b 2 4 x L 3 B s Y X l l c n N f N V 8 4 X z I w M j I s I D E w I D I 3 I D A y L 0 F 1 d G 9 S Z W 1 v d m V k Q 2 9 s d W 1 u c z E u e 0 5 v b W J y Z S w y f S Z x d W 9 0 O y w m c X V v d D t T Z W N 0 a W 9 u M S 9 w b G F 5 Z X J z X z V f O F 8 y M D I y L C A x M C A y N y A w M i 9 B d X R v U m V t b 3 Z l Z E N v b H V t b n M x L n t J R C B k Z W w g a n V n Y W R v c i w z f S Z x d W 9 0 O y w m c X V v d D t T Z W N 0 a W 9 u M S 9 w b G F 5 Z X J z X z V f O F 8 y M D I y L C A x M C A y N y A w M i 9 B d X R v U m V t b 3 Z l Z E N v b H V t b n M x L n t F b n R y Z W 5 h Z G 9 y L D R 9 J n F 1 b 3 Q 7 L C Z x d W 9 0 O 1 N l Y 3 R p b 2 4 x L 3 B s Y X l l c n N f N V 8 4 X z I w M j I s I D E w I D I 3 I D A y L 0 F 1 d G 9 S Z W 1 v d m V k Q 2 9 s d W 1 u c z E u e 0 V z c G V j a W F s a W R h Z C w 1 f S Z x d W 9 0 O y w m c X V v d D t T Z W N 0 a W 9 u M S 9 w b G F 5 Z X J z X z V f O F 8 y M D I y L C A x M C A y N y A w M i 9 B d X R v U m V t b 3 Z l Z E N v b H V t b n M x L n t C b 2 5 p Z m l j Y W N p w 7 N u I H B v c i B j b H V i I G R l I G 9 y a W d l b i w 2 f S Z x d W 9 0 O y w m c X V v d D t T Z W N 0 a W 9 u M S 9 w b G F 5 Z X J z X z V f O F 8 y M D I y L C A x M C A y N y A w M i 9 B d X R v U m V t b 3 Z l Z E N v b H V t b n M x L n t M Z X N p b 2 5 l c y w 3 f S Z x d W 9 0 O y w m c X V v d D t T Z W N 0 a W 9 u M S 9 w b G F 5 Z X J z X z V f O F 8 y M D I y L C A x M C A y N y A w M i 9 B d X R v U m V t b 3 Z l Z E N v b H V t b n M x L n t B b W 9 u Z X N 0 Y W N p b 2 5 l c y w 4 f S Z x d W 9 0 O y w m c X V v d D t T Z W N 0 a W 9 u M S 9 w b G F 5 Z X J z X z V f O F 8 y M D I y L C A x M C A y N y A w M i 9 B d X R v U m V t b 3 Z l Z E N v b H V t b n M x L n t F b i B s Y S B s a X N 0 Y S B k Z S B 0 c m F u c 2 Z l c m V u Y 2 l h c y w 5 f S Z x d W 9 0 O y w m c X V v d D t T Z W N 0 a W 9 u M S 9 w b G F 5 Z X J z X z V f O F 8 y M D I y L C A x M C A y N y A w M i 9 B d X R v U m V t b 3 Z l Z E N v b H V t b n M x L n t F Z G F k L D E w f S Z x d W 9 0 O y w m c X V v d D t T Z W N 0 a W 9 u M S 9 w b G F 5 Z X J z X z V f O F 8 y M D I y L C A x M C A y N y A w M i 9 B d X R v U m V t b 3 Z l Z E N v b H V t b n M x L n t E w 6 1 h c y w x M X 0 m c X V v d D s s J n F 1 b 3 Q 7 U 2 V j d G l v b j E v c G x h e W V y c 1 8 1 X z h f M j A y M i w g M T A g M j c g M D I v Q X V 0 b 1 J l b W 9 2 Z W R D b 2 x 1 b W 5 z M S 5 7 V F N J L D E y f S Z x d W 9 0 O y w m c X V v d D t T Z W N 0 a W 9 u M S 9 w b G F 5 Z X J z X z V f O F 8 y M D I y L C A x M C A y N y A w M i 9 B d X R v U m V t b 3 Z l Z E N v b H V t b n M x L n t T Y W x h c m l v L D E z f S Z x d W 9 0 O y w m c X V v d D t T Z W N 0 a W 9 u M S 9 w b G F 5 Z X J z X z V f O F 8 y M D I y L C A x M C A y N y A w M i 9 B d X R v U m V t b 3 Z l Z E N v b H V t b n M x L n t T Z W 1 h b m F z I G V u I G V s I G N s d W I s M T R 9 J n F 1 b 3 Q 7 L C Z x d W 9 0 O 1 N l Y 3 R p b 2 4 x L 3 B s Y X l l c n N f N V 8 4 X z I w M j I s I D E w I D I 3 I D A y L 0 F 1 d G 9 S Z W 1 v d m V k Q 2 9 s d W 1 u c z E u e 0 V 4 c G V y a W V u Y 2 l h L D E 1 f S Z x d W 9 0 O y w m c X V v d D t T Z W N 0 a W 9 u M S 9 w b G F 5 Z X J z X z V f O F 8 y M D I y L C A x M C A y N y A w M i 9 B d X R v U m V t b 3 Z l Z E N v b H V t b n M x L n t M a W R l c m F 6 Z 2 8 s M T Z 9 J n F 1 b 3 Q 7 L C Z x d W 9 0 O 1 N l Y 3 R p b 2 4 x L 3 B s Y X l l c n N f N V 8 4 X z I w M j I s I D E w I D I 3 I D A y L 0 F 1 d G 9 S Z W 1 v d m V k Q 2 9 s d W 1 u c z E u e 0 Z p Z G V s a W R h Z C w x N 3 0 m c X V v d D s s J n F 1 b 3 Q 7 U 2 V j d G l v b j E v c G x h e W V y c 1 8 1 X z h f M j A y M i w g M T A g M j c g M D I v Q X V 0 b 1 J l b W 9 2 Z W R D b 2 x 1 b W 5 z M S 5 7 R m 9 y b W E s M T h 9 J n F 1 b 3 Q 7 L C Z x d W 9 0 O 1 N l Y 3 R p b 2 4 x L 3 B s Y X l l c n N f N V 8 4 X z I w M j I s I D E w I D I 3 I D A y L 0 F 1 d G 9 S Z W 1 v d m V k Q 2 9 s d W 1 u c z E u e 1 J l c 2 l z d G V u Y 2 l h L D E 5 f S Z x d W 9 0 O y w m c X V v d D t T Z W N 0 a W 9 u M S 9 w b G F 5 Z X J z X z V f O F 8 y M D I y L C A x M C A y N y A w M i 9 B d X R v U m V t b 3 Z l Z E N v b H V t b n M x L n t G Z W N o Y S D D u m x 0 a W 1 v I H B h c n R p Z G 8 s M j B 9 J n F 1 b 3 Q 7 L C Z x d W 9 0 O 1 N l Y 3 R p b 2 4 x L 3 B s Y X l l c n N f N V 8 4 X z I w M j I s I D E w I D I 3 I D A y L 0 F 1 d G 9 S Z W 1 v d m V k Q 2 9 s d W 1 u c z E u e 1 J l b m R p b W l l b n R v I M O 6 b H R p b W 8 g c G F y d G l k b y w y M X 0 m c X V v d D s s J n F 1 b 3 Q 7 U 2 V j d G l v b j E v c G x h e W V y c 1 8 1 X z h f M j A y M i w g M T A g M j c g M D I v Q X V 0 b 1 J l b W 9 2 Z W R D b 2 x 1 b W 5 z M S 5 7 R G V t Y X J j Y W N p w 7 N u I M O 6 b H R p b W 8 g c G F y d G l k b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N V 8 4 X z I w M j I l M k M l M j A x M C U y M D I 3 J T I w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1 X z h f M j A y M i U y Q y U y M D E w J T I w M j c l M j A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z V f O F 8 y M D I y J T J D J T I w M T A l M j A y N y U y M D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O F 8 4 X z I w M j I l M k M l M j A x M S U y M D Q 5 J T I w M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w O T o 1 M D o w M i 4 z M z U 3 N D Y z W i I g L z 4 8 R W 5 0 c n k g V H l w Z T 0 i R m l s b E N v b H V t b l R 5 c G V z I i B W Y W x 1 Z T 0 i c 0 J n T U d B d 0 1 H Q X d N R 0 J n T U R B d 0 1 E Q X d N R E F 3 T U p B d 1 k 9 I i A v P j x F b n R y e S B U e X B l P S J G a W x s Q 2 9 s d W 1 u T m F t Z X M i I F Z h b H V l P S J z W y Z x d W 9 0 O 0 5 h Y 2 l v b m F s a W R h Z C Z x d W 9 0 O y w m c X V v d D t E b 3 J z Y W w m c X V v d D s s J n F 1 b 3 Q 7 T m 9 t Y n J l J n F 1 b 3 Q 7 L C Z x d W 9 0 O 0 l E I G R l b C B q d W d h Z G 9 y J n F 1 b 3 Q 7 L C Z x d W 9 0 O 0 V u d H J l b m F k b 3 I m c X V v d D s s J n F 1 b 3 Q 7 R X N w Z W N p Y W x p Z G F k J n F 1 b 3 Q 7 L C Z x d W 9 0 O 0 J v b m l m a W N h Y 2 n D s 2 4 g c G 9 y I G N s d W I g Z G U g b 3 J p Z 2 V u J n F 1 b 3 Q 7 L C Z x d W 9 0 O 0 x l c 2 l v b m V z J n F 1 b 3 Q 7 L C Z x d W 9 0 O 0 F t b 2 5 l c 3 R h Y 2 l v b m V z J n F 1 b 3 Q 7 L C Z x d W 9 0 O 0 V u I G x h I G x p c 3 R h I G R l I H R y Y W 5 z Z m V y Z W 5 j a W F z J n F 1 b 3 Q 7 L C Z x d W 9 0 O 0 V k Y W Q m c X V v d D s s J n F 1 b 3 Q 7 R M O t Y X M m c X V v d D s s J n F 1 b 3 Q 7 V F N J J n F 1 b 3 Q 7 L C Z x d W 9 0 O 1 N h b G F y a W 8 m c X V v d D s s J n F 1 b 3 Q 7 U 2 V t Y W 5 h c y B l b i B l b C B j b H V i J n F 1 b 3 Q 7 L C Z x d W 9 0 O 0 V 4 c G V y a W V u Y 2 l h J n F 1 b 3 Q 7 L C Z x d W 9 0 O 0 x p Z G V y Y X p n b y Z x d W 9 0 O y w m c X V v d D t G a W R l b G l k Y W Q m c X V v d D s s J n F 1 b 3 Q 7 R m 9 y b W E m c X V v d D s s J n F 1 b 3 Q 7 U m V z a X N 0 Z W 5 j a W E m c X V v d D s s J n F 1 b 3 Q 7 R m V j a G E g w 7 p s d G l t b y B w Y X J 0 a W R v J n F 1 b 3 Q 7 L C Z x d W 9 0 O 1 J l b m R p b W l l b n R v I M O 6 b H R p b W 8 g c G F y d G l k b y Z x d W 9 0 O y w m c X V v d D t E Z W 1 h c m N h Y 2 n D s 2 4 g w 7 p s d G l t b y B w Y X J 0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O F 8 4 X z I w M j I s I D E x I D Q 5 I D M 3 L 0 F 1 d G 9 S Z W 1 v d m V k Q 2 9 s d W 1 u c z E u e 0 5 h Y 2 l v b m F s a W R h Z C w w f S Z x d W 9 0 O y w m c X V v d D t T Z W N 0 a W 9 u M S 9 w b G F 5 Z X J z X z h f O F 8 y M D I y L C A x M S A 0 O S A z N y 9 B d X R v U m V t b 3 Z l Z E N v b H V t b n M x L n t E b 3 J z Y W w s M X 0 m c X V v d D s s J n F 1 b 3 Q 7 U 2 V j d G l v b j E v c G x h e W V y c 1 8 4 X z h f M j A y M i w g M T E g N D k g M z c v Q X V 0 b 1 J l b W 9 2 Z W R D b 2 x 1 b W 5 z M S 5 7 T m 9 t Y n J l L D J 9 J n F 1 b 3 Q 7 L C Z x d W 9 0 O 1 N l Y 3 R p b 2 4 x L 3 B s Y X l l c n N f O F 8 4 X z I w M j I s I D E x I D Q 5 I D M 3 L 0 F 1 d G 9 S Z W 1 v d m V k Q 2 9 s d W 1 u c z E u e 0 l E I G R l b C B q d W d h Z G 9 y L D N 9 J n F 1 b 3 Q 7 L C Z x d W 9 0 O 1 N l Y 3 R p b 2 4 x L 3 B s Y X l l c n N f O F 8 4 X z I w M j I s I D E x I D Q 5 I D M 3 L 0 F 1 d G 9 S Z W 1 v d m V k Q 2 9 s d W 1 u c z E u e 0 V u d H J l b m F k b 3 I s N H 0 m c X V v d D s s J n F 1 b 3 Q 7 U 2 V j d G l v b j E v c G x h e W V y c 1 8 4 X z h f M j A y M i w g M T E g N D k g M z c v Q X V 0 b 1 J l b W 9 2 Z W R D b 2 x 1 b W 5 z M S 5 7 R X N w Z W N p Y W x p Z G F k L D V 9 J n F 1 b 3 Q 7 L C Z x d W 9 0 O 1 N l Y 3 R p b 2 4 x L 3 B s Y X l l c n N f O F 8 4 X z I w M j I s I D E x I D Q 5 I D M 3 L 0 F 1 d G 9 S Z W 1 v d m V k Q 2 9 s d W 1 u c z E u e 0 J v b m l m a W N h Y 2 n D s 2 4 g c G 9 y I G N s d W I g Z G U g b 3 J p Z 2 V u L D Z 9 J n F 1 b 3 Q 7 L C Z x d W 9 0 O 1 N l Y 3 R p b 2 4 x L 3 B s Y X l l c n N f O F 8 4 X z I w M j I s I D E x I D Q 5 I D M 3 L 0 F 1 d G 9 S Z W 1 v d m V k Q 2 9 s d W 1 u c z E u e 0 x l c 2 l v b m V z L D d 9 J n F 1 b 3 Q 7 L C Z x d W 9 0 O 1 N l Y 3 R p b 2 4 x L 3 B s Y X l l c n N f O F 8 4 X z I w M j I s I D E x I D Q 5 I D M 3 L 0 F 1 d G 9 S Z W 1 v d m V k Q 2 9 s d W 1 u c z E u e 0 F t b 2 5 l c 3 R h Y 2 l v b m V z L D h 9 J n F 1 b 3 Q 7 L C Z x d W 9 0 O 1 N l Y 3 R p b 2 4 x L 3 B s Y X l l c n N f O F 8 4 X z I w M j I s I D E x I D Q 5 I D M 3 L 0 F 1 d G 9 S Z W 1 v d m V k Q 2 9 s d W 1 u c z E u e 0 V u I G x h I G x p c 3 R h I G R l I H R y Y W 5 z Z m V y Z W 5 j a W F z L D l 9 J n F 1 b 3 Q 7 L C Z x d W 9 0 O 1 N l Y 3 R p b 2 4 x L 3 B s Y X l l c n N f O F 8 4 X z I w M j I s I D E x I D Q 5 I D M 3 L 0 F 1 d G 9 S Z W 1 v d m V k Q 2 9 s d W 1 u c z E u e 0 V k Y W Q s M T B 9 J n F 1 b 3 Q 7 L C Z x d W 9 0 O 1 N l Y 3 R p b 2 4 x L 3 B s Y X l l c n N f O F 8 4 X z I w M j I s I D E x I D Q 5 I D M 3 L 0 F 1 d G 9 S Z W 1 v d m V k Q 2 9 s d W 1 u c z E u e 0 T D r W F z L D E x f S Z x d W 9 0 O y w m c X V v d D t T Z W N 0 a W 9 u M S 9 w b G F 5 Z X J z X z h f O F 8 y M D I y L C A x M S A 0 O S A z N y 9 B d X R v U m V t b 3 Z l Z E N v b H V t b n M x L n t U U 0 k s M T J 9 J n F 1 b 3 Q 7 L C Z x d W 9 0 O 1 N l Y 3 R p b 2 4 x L 3 B s Y X l l c n N f O F 8 4 X z I w M j I s I D E x I D Q 5 I D M 3 L 0 F 1 d G 9 S Z W 1 v d m V k Q 2 9 s d W 1 u c z E u e 1 N h b G F y a W 8 s M T N 9 J n F 1 b 3 Q 7 L C Z x d W 9 0 O 1 N l Y 3 R p b 2 4 x L 3 B s Y X l l c n N f O F 8 4 X z I w M j I s I D E x I D Q 5 I D M 3 L 0 F 1 d G 9 S Z W 1 v d m V k Q 2 9 s d W 1 u c z E u e 1 N l b W F u Y X M g Z W 4 g Z W w g Y 2 x 1 Y i w x N H 0 m c X V v d D s s J n F 1 b 3 Q 7 U 2 V j d G l v b j E v c G x h e W V y c 1 8 4 X z h f M j A y M i w g M T E g N D k g M z c v Q X V 0 b 1 J l b W 9 2 Z W R D b 2 x 1 b W 5 z M S 5 7 R X h w Z X J p Z W 5 j a W E s M T V 9 J n F 1 b 3 Q 7 L C Z x d W 9 0 O 1 N l Y 3 R p b 2 4 x L 3 B s Y X l l c n N f O F 8 4 X z I w M j I s I D E x I D Q 5 I D M 3 L 0 F 1 d G 9 S Z W 1 v d m V k Q 2 9 s d W 1 u c z E u e 0 x p Z G V y Y X p n b y w x N n 0 m c X V v d D s s J n F 1 b 3 Q 7 U 2 V j d G l v b j E v c G x h e W V y c 1 8 4 X z h f M j A y M i w g M T E g N D k g M z c v Q X V 0 b 1 J l b W 9 2 Z W R D b 2 x 1 b W 5 z M S 5 7 R m l k Z W x p Z G F k L D E 3 f S Z x d W 9 0 O y w m c X V v d D t T Z W N 0 a W 9 u M S 9 w b G F 5 Z X J z X z h f O F 8 y M D I y L C A x M S A 0 O S A z N y 9 B d X R v U m V t b 3 Z l Z E N v b H V t b n M x L n t G b 3 J t Y S w x O H 0 m c X V v d D s s J n F 1 b 3 Q 7 U 2 V j d G l v b j E v c G x h e W V y c 1 8 4 X z h f M j A y M i w g M T E g N D k g M z c v Q X V 0 b 1 J l b W 9 2 Z W R D b 2 x 1 b W 5 z M S 5 7 U m V z a X N 0 Z W 5 j a W E s M T l 9 J n F 1 b 3 Q 7 L C Z x d W 9 0 O 1 N l Y 3 R p b 2 4 x L 3 B s Y X l l c n N f O F 8 4 X z I w M j I s I D E x I D Q 5 I D M 3 L 0 F 1 d G 9 S Z W 1 v d m V k Q 2 9 s d W 1 u c z E u e 0 Z l Y 2 h h I M O 6 b H R p b W 8 g c G F y d G l k b y w y M H 0 m c X V v d D s s J n F 1 b 3 Q 7 U 2 V j d G l v b j E v c G x h e W V y c 1 8 4 X z h f M j A y M i w g M T E g N D k g M z c v Q X V 0 b 1 J l b W 9 2 Z W R D b 2 x 1 b W 5 z M S 5 7 U m V u Z G l t a W V u d G 8 g w 7 p s d G l t b y B w Y X J 0 a W R v L D I x f S Z x d W 9 0 O y w m c X V v d D t T Z W N 0 a W 9 u M S 9 w b G F 5 Z X J z X z h f O F 8 y M D I y L C A x M S A 0 O S A z N y 9 B d X R v U m V t b 3 Z l Z E N v b H V t b n M x L n t E Z W 1 h c m N h Y 2 n D s 2 4 g w 7 p s d G l t b y B w Y X J 0 a W R v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1 8 4 X z h f M j A y M i w g M T E g N D k g M z c v Q X V 0 b 1 J l b W 9 2 Z W R D b 2 x 1 b W 5 z M S 5 7 T m F j a W 9 u Y W x p Z G F k L D B 9 J n F 1 b 3 Q 7 L C Z x d W 9 0 O 1 N l Y 3 R p b 2 4 x L 3 B s Y X l l c n N f O F 8 4 X z I w M j I s I D E x I D Q 5 I D M 3 L 0 F 1 d G 9 S Z W 1 v d m V k Q 2 9 s d W 1 u c z E u e 0 R v c n N h b C w x f S Z x d W 9 0 O y w m c X V v d D t T Z W N 0 a W 9 u M S 9 w b G F 5 Z X J z X z h f O F 8 y M D I y L C A x M S A 0 O S A z N y 9 B d X R v U m V t b 3 Z l Z E N v b H V t b n M x L n t O b 2 1 i c m U s M n 0 m c X V v d D s s J n F 1 b 3 Q 7 U 2 V j d G l v b j E v c G x h e W V y c 1 8 4 X z h f M j A y M i w g M T E g N D k g M z c v Q X V 0 b 1 J l b W 9 2 Z W R D b 2 x 1 b W 5 z M S 5 7 S U Q g Z G V s I G p 1 Z 2 F k b 3 I s M 3 0 m c X V v d D s s J n F 1 b 3 Q 7 U 2 V j d G l v b j E v c G x h e W V y c 1 8 4 X z h f M j A y M i w g M T E g N D k g M z c v Q X V 0 b 1 J l b W 9 2 Z W R D b 2 x 1 b W 5 z M S 5 7 R W 5 0 c m V u Y W R v c i w 0 f S Z x d W 9 0 O y w m c X V v d D t T Z W N 0 a W 9 u M S 9 w b G F 5 Z X J z X z h f O F 8 y M D I y L C A x M S A 0 O S A z N y 9 B d X R v U m V t b 3 Z l Z E N v b H V t b n M x L n t F c 3 B l Y 2 l h b G l k Y W Q s N X 0 m c X V v d D s s J n F 1 b 3 Q 7 U 2 V j d G l v b j E v c G x h e W V y c 1 8 4 X z h f M j A y M i w g M T E g N D k g M z c v Q X V 0 b 1 J l b W 9 2 Z W R D b 2 x 1 b W 5 z M S 5 7 Q m 9 u a W Z p Y 2 F j a c O z b i B w b 3 I g Y 2 x 1 Y i B k Z S B v c m l n Z W 4 s N n 0 m c X V v d D s s J n F 1 b 3 Q 7 U 2 V j d G l v b j E v c G x h e W V y c 1 8 4 X z h f M j A y M i w g M T E g N D k g M z c v Q X V 0 b 1 J l b W 9 2 Z W R D b 2 x 1 b W 5 z M S 5 7 T G V z a W 9 u Z X M s N 3 0 m c X V v d D s s J n F 1 b 3 Q 7 U 2 V j d G l v b j E v c G x h e W V y c 1 8 4 X z h f M j A y M i w g M T E g N D k g M z c v Q X V 0 b 1 J l b W 9 2 Z W R D b 2 x 1 b W 5 z M S 5 7 Q W 1 v b m V z d G F j a W 9 u Z X M s O H 0 m c X V v d D s s J n F 1 b 3 Q 7 U 2 V j d G l v b j E v c G x h e W V y c 1 8 4 X z h f M j A y M i w g M T E g N D k g M z c v Q X V 0 b 1 J l b W 9 2 Z W R D b 2 x 1 b W 5 z M S 5 7 R W 4 g b G E g b G l z d G E g Z G U g d H J h b n N m Z X J l b m N p Y X M s O X 0 m c X V v d D s s J n F 1 b 3 Q 7 U 2 V j d G l v b j E v c G x h e W V y c 1 8 4 X z h f M j A y M i w g M T E g N D k g M z c v Q X V 0 b 1 J l b W 9 2 Z W R D b 2 x 1 b W 5 z M S 5 7 R W R h Z C w x M H 0 m c X V v d D s s J n F 1 b 3 Q 7 U 2 V j d G l v b j E v c G x h e W V y c 1 8 4 X z h f M j A y M i w g M T E g N D k g M z c v Q X V 0 b 1 J l b W 9 2 Z W R D b 2 x 1 b W 5 z M S 5 7 R M O t Y X M s M T F 9 J n F 1 b 3 Q 7 L C Z x d W 9 0 O 1 N l Y 3 R p b 2 4 x L 3 B s Y X l l c n N f O F 8 4 X z I w M j I s I D E x I D Q 5 I D M 3 L 0 F 1 d G 9 S Z W 1 v d m V k Q 2 9 s d W 1 u c z E u e 1 R T S S w x M n 0 m c X V v d D s s J n F 1 b 3 Q 7 U 2 V j d G l v b j E v c G x h e W V y c 1 8 4 X z h f M j A y M i w g M T E g N D k g M z c v Q X V 0 b 1 J l b W 9 2 Z W R D b 2 x 1 b W 5 z M S 5 7 U 2 F s Y X J p b y w x M 3 0 m c X V v d D s s J n F 1 b 3 Q 7 U 2 V j d G l v b j E v c G x h e W V y c 1 8 4 X z h f M j A y M i w g M T E g N D k g M z c v Q X V 0 b 1 J l b W 9 2 Z W R D b 2 x 1 b W 5 z M S 5 7 U 2 V t Y W 5 h c y B l b i B l b C B j b H V i L D E 0 f S Z x d W 9 0 O y w m c X V v d D t T Z W N 0 a W 9 u M S 9 w b G F 5 Z X J z X z h f O F 8 y M D I y L C A x M S A 0 O S A z N y 9 B d X R v U m V t b 3 Z l Z E N v b H V t b n M x L n t F e H B l c m l l b m N p Y S w x N X 0 m c X V v d D s s J n F 1 b 3 Q 7 U 2 V j d G l v b j E v c G x h e W V y c 1 8 4 X z h f M j A y M i w g M T E g N D k g M z c v Q X V 0 b 1 J l b W 9 2 Z W R D b 2 x 1 b W 5 z M S 5 7 T G l k Z X J h e m d v L D E 2 f S Z x d W 9 0 O y w m c X V v d D t T Z W N 0 a W 9 u M S 9 w b G F 5 Z X J z X z h f O F 8 y M D I y L C A x M S A 0 O S A z N y 9 B d X R v U m V t b 3 Z l Z E N v b H V t b n M x L n t G a W R l b G l k Y W Q s M T d 9 J n F 1 b 3 Q 7 L C Z x d W 9 0 O 1 N l Y 3 R p b 2 4 x L 3 B s Y X l l c n N f O F 8 4 X z I w M j I s I D E x I D Q 5 I D M 3 L 0 F 1 d G 9 S Z W 1 v d m V k Q 2 9 s d W 1 u c z E u e 0 Z v c m 1 h L D E 4 f S Z x d W 9 0 O y w m c X V v d D t T Z W N 0 a W 9 u M S 9 w b G F 5 Z X J z X z h f O F 8 y M D I y L C A x M S A 0 O S A z N y 9 B d X R v U m V t b 3 Z l Z E N v b H V t b n M x L n t S Z X N p c 3 R l b m N p Y S w x O X 0 m c X V v d D s s J n F 1 b 3 Q 7 U 2 V j d G l v b j E v c G x h e W V y c 1 8 4 X z h f M j A y M i w g M T E g N D k g M z c v Q X V 0 b 1 J l b W 9 2 Z W R D b 2 x 1 b W 5 z M S 5 7 R m V j a G E g w 7 p s d G l t b y B w Y X J 0 a W R v L D I w f S Z x d W 9 0 O y w m c X V v d D t T Z W N 0 a W 9 u M S 9 w b G F 5 Z X J z X z h f O F 8 y M D I y L C A x M S A 0 O S A z N y 9 B d X R v U m V t b 3 Z l Z E N v b H V t b n M x L n t S Z W 5 k a W 1 p Z W 5 0 b y D D u m x 0 a W 1 v I H B h c n R p Z G 8 s M j F 9 J n F 1 b 3 Q 7 L C Z x d W 9 0 O 1 N l Y 3 R p b 2 4 x L 3 B s Y X l l c n N f O F 8 4 X z I w M j I s I D E x I D Q 5 I D M 3 L 0 F 1 d G 9 S Z W 1 v d m V k Q 2 9 s d W 1 u c z E u e 0 R l b W F y Y 2 F j a c O z b i D D u m x 0 a W 1 v I H B h c n R p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z h f O F 8 y M D I y J T J D J T I w M T E l M j A 0 O S U y M D M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O F 8 4 X z I w M j I l M k M l M j A x M S U y M D Q 5 J T I w M z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8 4 X z h f M j A y M i U y Q y U y M D E x J T I w N D k l M j A z N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R + p w V d H o E y I J w E s 8 w u p k A A A A A A C A A A A A A A D Z g A A w A A A A B A A A A A 3 x C G G Q W c I u u 5 0 X o Y h I / q X A A A A A A S A A A C g A A A A E A A A A H y H r b J 8 Q g O 9 L y Z f i k 9 Q G m R Q A A A A S 9 j S h I c 9 Z h L l t M y c z H 3 l L Y m Q V / C + D 3 P u l f h q 2 3 O Y S j a d g 6 6 K Y Z 1 I T g N 9 S f r / e S P F v G h v 7 A b F y 0 I b 3 x d 5 K i H q K f b X A / E w s U h m G w y T f m d x f / M U A A A A t h t K c p I X p q m u o e G 1 H I c v M o Q 1 n q I = < / D a t a M a s h u p > 
</file>

<file path=customXml/itemProps1.xml><?xml version="1.0" encoding="utf-8"?>
<ds:datastoreItem xmlns:ds="http://schemas.openxmlformats.org/officeDocument/2006/customXml" ds:itemID="{A054A3B2-D9BF-4D82-9045-10281C79F0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SIMULADOR_v5</vt:lpstr>
      <vt:lpstr>J1-Pamboli-VADER</vt:lpstr>
      <vt:lpstr>J2-VADER-Spartak</vt:lpstr>
      <vt:lpstr>J3-Hasabit-VADER</vt:lpstr>
      <vt:lpstr>C2-Racing-VADER</vt:lpstr>
      <vt:lpstr>Analisis Partidos</vt:lpstr>
      <vt:lpstr>RIVALES</vt:lpstr>
      <vt:lpstr>Paso que arraso</vt:lpstr>
      <vt:lpstr>Spartak de Santiago</vt:lpstr>
      <vt:lpstr>Pamboli</vt:lpstr>
      <vt:lpstr>Club Atlético Gaditano</vt:lpstr>
      <vt:lpstr>Habasit</vt:lpstr>
      <vt:lpstr>Las Animas</vt:lpstr>
      <vt:lpstr>La Barrilla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dcterms:created xsi:type="dcterms:W3CDTF">2015-06-05T18:19:34Z</dcterms:created>
  <dcterms:modified xsi:type="dcterms:W3CDTF">2022-08-08T11:38:22Z</dcterms:modified>
</cp:coreProperties>
</file>