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mp" ContentType="image/bmp"/>
  <Default Extension="jpeg" ContentType="image/jpeg"/>
  <Default Extension="png" ContentType="image/png"/>
  <Default Extension="gif" ContentType="image/gif"/>
  <Default Extension="tif" ContentType="image/tif"/>
  <Default Extension="emf" ContentType="image/x-emf"/>
  <Default Extension="wmf" ContentType="image/x-wmf"/>
  <Default Extension="pct" ContentType="image/pct"/>
  <Default Extension="pcx" ContentType="image/pcx"/>
  <Default Extension="tga" ContentType="image/tga"/>
  <Default Extension="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externalLinks/externalLink1.xml" ContentType="application/vnd.openxmlformats-officedocument.spreadsheetml.externalLink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worksheets/sheet3.xml" ContentType="application/vnd.openxmlformats-officedocument.spreadsheetml.worksheet+xml"/>
  <Override PartName="/xl/comments3.xml" ContentType="application/vnd.openxmlformats-officedocument.spreadsheetml.comments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omments4.xml" ContentType="application/vnd.openxmlformats-officedocument.spreadsheetml.comments+xml"/>
  <Override PartName="/xl/worksheets/sheet7.xml" ContentType="application/vnd.openxmlformats-officedocument.spreadsheetml.worksheet+xml"/>
  <Override PartName="/xl/drawings/drawing1.xml" ContentType="application/vnd.openxmlformats-officedocument.drawing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pivotTables/pivotTable1.xml" ContentType="application/vnd.openxmlformats-officedocument.spreadsheetml.pivotTable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3.xml" ContentType="application/vnd.openxmlformats-officedocument.drawing+xml"/>
  <Override PartName="/xl/worksheets/sheet13.xml" ContentType="application/vnd.openxmlformats-officedocument.spreadsheetml.worksheet+xml"/>
  <Override PartName="/xl/comments5.xml" ContentType="application/vnd.openxmlformats-officedocument.spreadsheetml.comments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comments6.xml" ContentType="application/vnd.openxmlformats-officedocument.spreadsheetml.comments+xml"/>
  <Override PartName="/xl/worksheets/sheet17.xml" ContentType="application/vnd.openxmlformats-officedocument.spreadsheetml.worksheet+xml"/>
  <Override PartName="/xl/comments7.xml" ContentType="application/vnd.openxmlformats-officedocument.spreadsheetml.comment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</Types>
</file>

<file path=_rels/.rels><?xml version="1.0" encoding="UTF-8" standalone="yes" 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fileSharing readOnlyRecommended="0" userName="uny11"/>
  <workbookPr/>
  <bookViews>
    <workbookView activeTab="1" xWindow="240" yWindow="60" windowWidth="14805" windowHeight="8010" tabRatio="500"/>
  </bookViews>
  <sheets>
    <sheet name="Hall_of_Fame" sheetId="1" r:id="rId5"/>
    <sheet name="Plantilla" sheetId="2" r:id="rId6"/>
    <sheet name="Juveniles" sheetId="3" r:id="rId7"/>
    <sheet name="V.252" sheetId="4" r:id="rId8"/>
    <sheet name="Planning" sheetId="5" r:id="rId9"/>
    <sheet name="Economia" sheetId="6" r:id="rId10"/>
    <sheet name="Capitán" sheetId="7" r:id="rId11"/>
    <sheet name="CA_Calcutator" sheetId="8" r:id="rId12"/>
    <sheet name="EstudioConversion" sheetId="9" r:id="rId13"/>
    <sheet name="El Tártaro" sheetId="10" r:id="rId14"/>
    <sheet name="Entrenador" sheetId="11" r:id="rId15"/>
    <sheet name="Banderas" sheetId="12" r:id="rId16"/>
    <sheet name="Evaluacion Jugadores" sheetId="13" r:id="rId17"/>
    <sheet name="LAT" sheetId="14" r:id="rId18"/>
    <sheet name="Delantero" sheetId="15" r:id="rId19"/>
    <sheet name="PorteroTitular" sheetId="16" r:id="rId20"/>
    <sheet name="PorteroSuplente" sheetId="17" r:id="rId21"/>
  </sheets>
  <externalReferences>
    <externalReference r:id="rId4"/>
  </externalReferences>
  <definedNames>
    <definedName name="_xlnm._FilterDatabase" localSheetId="8" hidden="1">EstudioConversion!$A$1:$H$1</definedName>
  </definedNames>
  <calcPr/>
  <pivotCaches>
    <pivotCache cacheId="1" r:id="rId22"/>
  </pivotCaches>
  <extLst>
    <ext uri="smNativeData">
      <pm:revision xmlns:pm="smNativeData" day="1591683921" val="976" rev="124" rev64="64" revOS="3" revMin="124" revMax="0"/>
      <pm:docPrefs xmlns:pm="smNativeData" id="1591683921" fixedDigits="0" showNotice="1" showFrameBounds="1" autoChart="1" recalcOnPrint="1" recalcOnCopy="1" finalRounding="1" compatTextArt="1" tab="567" useDefinedPrintRange="1" printArea="currentSheet"/>
      <pm:compatibility xmlns:pm="smNativeData" id="1591683921" overlapCells="1"/>
      <pm:defCurrency xmlns:pm="smNativeData" id="1591683921"/>
    </ext>
  </extLst>
</workbook>
</file>

<file path=xl/comments1.xml><?xml version="1.0" encoding="utf-8"?>
<comments xmlns="http://schemas.openxmlformats.org/spreadsheetml/2006/main">
  <authors>
    <author>Unknown</author>
  </authors>
  <commentList>
    <comment ref="S1" authorId="0">
      <text>
        <r>
          <rPr>
            <rFont val="Tahoma"/>
            <charset val="0"/>
            <family val="2"/>
            <sz val="9"/>
            <b/>
            <i val="0"/>
            <extLst>
              <ext uri="smNativeData">
                <pm:charSpec xmlns:pm="smNativeData" id="1591683921">
                  <pm:latin face="Tahoma" sz="180" weight="bold" i="0"/>
                  <pm:cs face="Tahoma" sz="180" weight="bold"/>
                  <pm:ea face="Tahoma" sz="18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9"/>
            <b val="0"/>
            <i val="0"/>
            <extLst>
              <ext uri="smNativeData">
                <pm:charSpec xmlns:pm="smNativeData" id="1591683921">
                  <pm:latin face="Tahoma" sz="180" weight="normal" i="0"/>
                  <pm:cs sz="220" weight="normal"/>
                  <pm:ea sz="220" weight="normal"/>
                </pm:charSpec>
              </ext>
            </extLst>
          </rPr>
          <t xml:space="preserve">
desde la temp 58</t>
        </r>
      </text>
    </comment>
    <comment ref="W1" authorId="0">
      <text>
        <r>
          <rPr>
            <rFont val="Tahoma"/>
            <charset val="0"/>
            <family val="2"/>
            <sz val="9"/>
            <b/>
            <i val="0"/>
            <extLst>
              <ext uri="smNativeData">
                <pm:charSpec xmlns:pm="smNativeData" id="1591683921">
                  <pm:latin face="Tahoma" sz="180" weight="bold" i="0"/>
                  <pm:cs face="Tahoma" sz="180" weight="bold"/>
                  <pm:ea face="Tahoma" sz="18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9"/>
            <b val="0"/>
            <i val="0"/>
            <extLst>
              <ext uri="smNativeData">
                <pm:charSpec xmlns:pm="smNativeData" id="1591683921">
                  <pm:latin face="Tahoma" sz="180" weight="normal" i="0"/>
                  <pm:cs sz="220" weight="normal"/>
                  <pm:ea sz="220" weight="normal"/>
                </pm:charSpec>
              </ext>
            </extLst>
          </rPr>
          <t xml:space="preserve">
desde la temp 58</t>
        </r>
      </text>
    </comment>
  </commentList>
</comments>
</file>

<file path=xl/comments2.xml><?xml version="1.0" encoding="utf-8"?>
<comments xmlns="http://schemas.openxmlformats.org/spreadsheetml/2006/main">
  <authors>
    <author>Unknown</author>
  </authors>
  <commentList>
    <comment ref="K3" authorId="0">
      <text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91683921">
                  <pm:latin face="Tahoma" sz="160" weight="normal" i="0"/>
                  <pm:cs face="Tahoma" sz="160"/>
                  <pm:ea face="Tahoma" sz="160"/>
                </pm:charSpec>
              </ext>
            </extLst>
          </rPr>
          <t>Lid*Lid*Exp</t>
        </r>
      </text>
    </comment>
  </commentList>
</comments>
</file>

<file path=xl/comments3.xml><?xml version="1.0" encoding="utf-8"?>
<comments xmlns="http://schemas.openxmlformats.org/spreadsheetml/2006/main">
  <authors>
    <author>Unknown</author>
  </authors>
  <commentList>
    <comment ref="AU45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91683921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91683921">
                  <pm:latin face="Tahoma" sz="160" weight="normal" i="0"/>
                  <pm:cs sz="220" weight="normal"/>
                  <pm:ea sz="220" weight="normal"/>
                </pm:charSpec>
              </ext>
            </extLst>
          </rPr>
          <t xml:space="preserve">
Hab Inicial
</t>
        </r>
      </text>
    </comment>
    <comment ref="AW45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91683921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91683921">
                  <pm:latin face="Tahoma" sz="160" weight="normal" i="0"/>
                  <pm:cs sz="220" weight="normal"/>
                  <pm:ea sz="220" weight="normal"/>
                </pm:charSpec>
              </ext>
            </extLst>
          </rPr>
          <t xml:space="preserve">
Hab Inicial
</t>
        </r>
      </text>
    </comment>
  </commentList>
</comments>
</file>

<file path=xl/comments4.xml><?xml version="1.0" encoding="utf-8"?>
<comments xmlns="http://schemas.openxmlformats.org/spreadsheetml/2006/main">
  <authors>
    <author>Unknown</author>
  </authors>
  <commentList>
    <comment ref="G47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91683921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91683921">
                  <pm:latin face="Tahoma" sz="160" weight="normal" i="0"/>
                  <pm:cs sz="220" weight="normal"/>
                  <pm:ea sz="220" weight="normal"/>
                </pm:charSpec>
              </ext>
            </extLst>
          </rPr>
          <t xml:space="preserve">
Jugadores+Inmobilizado-Capital (año anterior todo)</t>
        </r>
      </text>
    </comment>
    <comment ref="H49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91683921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91683921">
                  <pm:latin face="Tahoma" sz="160" weight="normal" i="0"/>
                  <pm:cs sz="220" weight="normal"/>
                  <pm:ea sz="220" weight="normal"/>
                </pm:charSpec>
              </ext>
            </extLst>
          </rPr>
          <t xml:space="preserve">
Se resta las amortizaciones, que se consideran perdida de activos y perdidas de beneficios</t>
        </r>
      </text>
    </comment>
    <comment ref="G55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91683921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91683921">
                  <pm:latin face="Tahoma" sz="160" weight="normal" i="0"/>
                  <pm:cs sz="220" weight="normal"/>
                  <pm:ea sz="220" weight="normal"/>
                </pm:charSpec>
              </ext>
            </extLst>
          </rPr>
          <t xml:space="preserve">
Ingresos anuales - Pagos anuales</t>
        </r>
      </text>
    </comment>
    <comment ref="H58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91683921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91683921">
                  <pm:latin face="Tahoma" sz="160" weight="normal" i="0"/>
                  <pm:cs sz="220" weight="normal"/>
                  <pm:ea sz="220" weight="normal"/>
                </pm:charSpec>
              </ext>
            </extLst>
          </rPr>
          <t xml:space="preserve">
incluye sueldo primera semana</t>
        </r>
      </text>
    </comment>
    <comment ref="U61" authorId="0">
      <text>
        <r>
          <rPr>
            <rFont val="Tahoma"/>
            <charset val="0"/>
            <family val="2"/>
            <sz val="9"/>
            <b/>
            <i val="0"/>
            <extLst>
              <ext uri="smNativeData">
                <pm:charSpec xmlns:pm="smNativeData" id="1591683921">
                  <pm:latin face="Tahoma" sz="180" weight="bold" i="0"/>
                  <pm:cs face="Tahoma" sz="180" weight="bold"/>
                  <pm:ea face="Tahoma" sz="18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9"/>
            <b val="0"/>
            <i val="0"/>
            <extLst>
              <ext uri="smNativeData">
                <pm:charSpec xmlns:pm="smNativeData" id="1591683921">
                  <pm:latin face="Tahoma" sz="180" weight="normal" i="0"/>
                  <pm:cs sz="220" weight="normal"/>
                  <pm:ea sz="220" weight="normal"/>
                </pm:charSpec>
              </ext>
            </extLst>
          </rPr>
          <t xml:space="preserve">
Para cuadrar Caja...</t>
        </r>
      </text>
    </comment>
    <comment ref="G8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91683921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91683921">
                  <pm:latin face="Tahoma" sz="160" weight="normal" i="0"/>
                  <pm:cs sz="220" weight="normal"/>
                  <pm:ea sz="220" weight="normal"/>
                </pm:charSpec>
              </ext>
            </extLst>
          </rPr>
          <t xml:space="preserve">
Jugadores+Inmobilizado-Capital (año anterior todo)</t>
        </r>
      </text>
    </comment>
    <comment ref="H10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91683921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91683921">
                  <pm:latin face="Tahoma" sz="160" weight="normal" i="0"/>
                  <pm:cs sz="220" weight="normal"/>
                  <pm:ea sz="220" weight="normal"/>
                </pm:charSpec>
              </ext>
            </extLst>
          </rPr>
          <t xml:space="preserve">
Se resta las amortizaciones, que se consideran perdida de activos y perdidas de beneficios</t>
        </r>
      </text>
    </comment>
    <comment ref="G16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91683921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91683921">
                  <pm:latin face="Tahoma" sz="160" weight="normal" i="0"/>
                  <pm:cs sz="220" weight="normal"/>
                  <pm:ea sz="220" weight="normal"/>
                </pm:charSpec>
              </ext>
            </extLst>
          </rPr>
          <t xml:space="preserve">
Ingresos anuales - Pagos anuales</t>
        </r>
      </text>
    </comment>
    <comment ref="H19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91683921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91683921">
                  <pm:latin face="Tahoma" sz="160" weight="normal" i="0"/>
                  <pm:cs sz="220" weight="normal"/>
                  <pm:ea sz="220" weight="normal"/>
                </pm:charSpec>
              </ext>
            </extLst>
          </rPr>
          <t xml:space="preserve">
incluye sueldo primera semana</t>
        </r>
      </text>
    </comment>
    <comment ref="U22" authorId="0">
      <text>
        <r>
          <rPr>
            <rFont val="Tahoma"/>
            <charset val="0"/>
            <family val="2"/>
            <sz val="9"/>
            <b/>
            <i val="0"/>
            <extLst>
              <ext uri="smNativeData">
                <pm:charSpec xmlns:pm="smNativeData" id="1591683921">
                  <pm:latin face="Tahoma" sz="180" weight="bold" i="0"/>
                  <pm:cs face="Tahoma" sz="180" weight="bold"/>
                  <pm:ea face="Tahoma" sz="18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9"/>
            <b val="0"/>
            <i val="0"/>
            <extLst>
              <ext uri="smNativeData">
                <pm:charSpec xmlns:pm="smNativeData" id="1591683921">
                  <pm:latin face="Tahoma" sz="180" weight="normal" i="0"/>
                  <pm:cs sz="220" weight="normal"/>
                  <pm:ea sz="220" weight="normal"/>
                </pm:charSpec>
              </ext>
            </extLst>
          </rPr>
          <t xml:space="preserve">
Para cuadrar Caja...</t>
        </r>
      </text>
    </comment>
  </commentList>
</comments>
</file>

<file path=xl/comments5.xml><?xml version="1.0" encoding="utf-8"?>
<comments xmlns="http://schemas.openxmlformats.org/spreadsheetml/2006/main">
  <authors>
    <author>Unknown</author>
  </authors>
  <commentList>
    <comment ref="C21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91683921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Sacado del manual no escrito, no se sabe que son estos valores</t>
        </r>
      </text>
    </comment>
    <comment ref="D21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91683921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En partidos de Torneo con el predictor
-Campo neutral
-Espiritu: Ilusionats (6)
-Confiança: Alta (7)
Entrenador NEUTRO</t>
        </r>
      </text>
    </comment>
  </commentList>
</comments>
</file>

<file path=xl/comments6.xml><?xml version="1.0" encoding="utf-8"?>
<comments xmlns="http://schemas.openxmlformats.org/spreadsheetml/2006/main">
  <authors>
    <author>Unknown</author>
  </authors>
  <commentList>
    <comment ref="I7" authorId="0">
      <text>
        <r>
          <rPr>
            <rFont val="Tahoma"/>
            <charset val="0"/>
            <family val="2"/>
            <sz val="9"/>
            <b/>
            <i val="0"/>
            <extLst>
              <ext uri="smNativeData">
                <pm:charSpec xmlns:pm="smNativeData" id="1591683921">
                  <pm:latin face="Tahoma" sz="180" weight="bold" i="0"/>
                  <pm:cs face="Tahoma" sz="180" weight="bold"/>
                  <pm:ea face="Tahoma" sz="18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9"/>
            <b val="0"/>
            <i val="0"/>
            <extLst>
              <ext uri="smNativeData">
                <pm:charSpec xmlns:pm="smNativeData" id="1591683921">
                  <pm:latin face="Tahoma" sz="180" weight="normal" i="0"/>
                  <pm:cs sz="220" weight="normal"/>
                  <pm:ea sz="220" weight="normal"/>
                </pm:charSpec>
              </ext>
            </extLst>
          </rPr>
          <t xml:space="preserve">
por sueldo, minimo</t>
        </r>
      </text>
    </comment>
  </commentList>
</comments>
</file>

<file path=xl/comments7.xml><?xml version="1.0" encoding="utf-8"?>
<comments xmlns="http://schemas.openxmlformats.org/spreadsheetml/2006/main">
  <authors>
    <author>Unknown</author>
  </authors>
  <commentList>
    <comment ref="L7" authorId="0">
      <text>
        <r>
          <rPr>
            <rFont val="Tahoma"/>
            <charset val="0"/>
            <family val="2"/>
            <sz val="9"/>
            <b/>
            <i val="0"/>
            <extLst>
              <ext uri="smNativeData">
                <pm:charSpec xmlns:pm="smNativeData" id="1591683921">
                  <pm:latin face="Tahoma" sz="180" weight="bold" i="0"/>
                  <pm:cs face="Tahoma" sz="180" weight="bold"/>
                  <pm:ea face="Tahoma" sz="18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9"/>
            <b val="0"/>
            <i val="0"/>
            <extLst>
              <ext uri="smNativeData">
                <pm:charSpec xmlns:pm="smNativeData" id="1591683921">
                  <pm:latin face="Tahoma" sz="180" weight="normal" i="0"/>
                  <pm:cs sz="220" weight="normal"/>
                  <pm:ea sz="220" weight="normal"/>
                </pm:charSpec>
              </ext>
            </extLst>
          </rPr>
          <t xml:space="preserve">
por sueldo, minimo</t>
        </r>
      </text>
    </comment>
  </commentList>
</comments>
</file>

<file path=xl/sharedStrings.xml><?xml version="1.0" encoding="utf-8"?>
<sst xmlns="http://schemas.openxmlformats.org/spreadsheetml/2006/main" count="1984" uniqueCount="969">
  <si>
    <t>Actualitzacio</t>
  </si>
  <si>
    <t>Rank</t>
  </si>
  <si>
    <t>Millor Qualificació</t>
  </si>
  <si>
    <t>Més Partits Jugats</t>
  </si>
  <si>
    <t>Més vegades Capità</t>
  </si>
  <si>
    <t>Mes GOLS</t>
  </si>
  <si>
    <t>Mes vegades Millor</t>
  </si>
  <si>
    <t>Sául Piña</t>
  </si>
  <si>
    <t>14,5*</t>
  </si>
  <si>
    <t>Damián Sala</t>
  </si>
  <si>
    <t>Brunon Chuda</t>
  </si>
  <si>
    <t>David Garcia-Spiess</t>
  </si>
  <si>
    <t>Cosme Fonteboa</t>
  </si>
  <si>
    <t>Joãozinho do Mato</t>
  </si>
  <si>
    <t>13*</t>
  </si>
  <si>
    <t>Pere Beltran</t>
  </si>
  <si>
    <t>Andrin Bärtsch</t>
  </si>
  <si>
    <t>Enrique Cubas</t>
  </si>
  <si>
    <t>Millor partit</t>
  </si>
  <si>
    <t>Patrick Werner</t>
  </si>
  <si>
    <t>12,5*</t>
  </si>
  <si>
    <t>Adam Moss</t>
  </si>
  <si>
    <t>Leo Hilpinen</t>
  </si>
  <si>
    <t>Francesc Añigas</t>
  </si>
  <si>
    <t>CASA</t>
  </si>
  <si>
    <t>Vader - Rayitos</t>
  </si>
  <si>
    <t>487 HTS</t>
  </si>
  <si>
    <t>Rasheed Da'na</t>
  </si>
  <si>
    <t>12*</t>
  </si>
  <si>
    <t>Juan Garcia Peñuela</t>
  </si>
  <si>
    <t>Iván Real Figueroa</t>
  </si>
  <si>
    <t>FORA</t>
  </si>
  <si>
    <t>Xermade - Vader</t>
  </si>
  <si>
    <t>472 HTS</t>
  </si>
  <si>
    <t>Valeri Gomis</t>
  </si>
  <si>
    <t>Miklos Gábriel</t>
  </si>
  <si>
    <t>11,5*</t>
  </si>
  <si>
    <t>Emilio Rojas</t>
  </si>
  <si>
    <t>Wil Duffill</t>
  </si>
  <si>
    <t>Cornel Caraba</t>
  </si>
  <si>
    <t>Porteria Imbatuda</t>
  </si>
  <si>
    <t>Kendor Nagiturri</t>
  </si>
  <si>
    <t>11*</t>
  </si>
  <si>
    <t>Leonardo Baltico</t>
  </si>
  <si>
    <t>Gianfranco Rezza</t>
  </si>
  <si>
    <t>10,5*</t>
  </si>
  <si>
    <t>Adamantios Fikias</t>
  </si>
  <si>
    <t>Alex Trantre</t>
  </si>
  <si>
    <t>Cornel Boicea</t>
  </si>
  <si>
    <t>Fernando Juárez Sierra</t>
  </si>
  <si>
    <t>Jorge Asúa</t>
  </si>
  <si>
    <t>Jorge Walter Whitaker</t>
  </si>
  <si>
    <t>Pasqual Vilar</t>
  </si>
  <si>
    <t>Horacy Dzienis</t>
  </si>
  <si>
    <t>Guillermo Pedrajas</t>
  </si>
  <si>
    <t>Antoine Dupré</t>
  </si>
  <si>
    <t>Co Wolbers</t>
  </si>
  <si>
    <t>Stanislaw Zdankiewicz</t>
  </si>
  <si>
    <t>Robert Kavcic</t>
  </si>
  <si>
    <t>Károly Serfel</t>
  </si>
  <si>
    <t>10*</t>
  </si>
  <si>
    <t>Alberto Ercilla</t>
  </si>
  <si>
    <t>Enrique Haro</t>
  </si>
  <si>
    <t>Gongotzon Ialdebere</t>
  </si>
  <si>
    <t>Augustin Demaison</t>
  </si>
  <si>
    <t>Fabian Fabre</t>
  </si>
  <si>
    <t>Giuseppe Peirolo</t>
  </si>
  <si>
    <t>Aimar Lasalde</t>
  </si>
  <si>
    <t>Adolfo Vizcaino</t>
  </si>
  <si>
    <t>Ibiur Altxakoa</t>
  </si>
  <si>
    <t>Venanci Oset</t>
  </si>
  <si>
    <t>Nicolae Hornet</t>
  </si>
  <si>
    <t>Ludwik Mojéscik</t>
  </si>
  <si>
    <t>Christophe Méjean</t>
  </si>
  <si>
    <t>Berto Abandero</t>
  </si>
  <si>
    <t>Ceferino Sava</t>
  </si>
  <si>
    <t>Emilio Mochelato</t>
  </si>
  <si>
    <t>9,5*</t>
  </si>
  <si>
    <t>Jos Pittors</t>
  </si>
  <si>
    <t>Aleksi Alarotu</t>
  </si>
  <si>
    <t>Miquel Fernandez</t>
  </si>
  <si>
    <t>Arnulfo Cuntis</t>
  </si>
  <si>
    <t>Pepijn Zwaan</t>
  </si>
  <si>
    <t>Malte Neulinger</t>
  </si>
  <si>
    <t>Armengol Cols</t>
  </si>
  <si>
    <t>Iyad Chaabo</t>
  </si>
  <si>
    <t>Manolo Negrín</t>
  </si>
  <si>
    <t>Fermando Gazón</t>
  </si>
  <si>
    <t>Pablo Goenaga</t>
  </si>
  <si>
    <t>Mario Omarini</t>
  </si>
  <si>
    <t>Morgan Thomas</t>
  </si>
  <si>
    <t>John Chung</t>
  </si>
  <si>
    <t>Pieter Pelleboer</t>
  </si>
  <si>
    <t>Wicher Ossedrijver</t>
  </si>
  <si>
    <t>Sergio Roca</t>
  </si>
  <si>
    <t>Arnold Kalckstein</t>
  </si>
  <si>
    <t>Jaakko Kalliovaara</t>
  </si>
  <si>
    <t>Ludvig Andreasson</t>
  </si>
  <si>
    <t>Melcior Calmet</t>
  </si>
  <si>
    <t>Patrice Saillet</t>
  </si>
  <si>
    <t>Jacek Ceislar</t>
  </si>
  <si>
    <t>Nicolai Stentoft</t>
  </si>
  <si>
    <t>Rafael Guiu</t>
  </si>
  <si>
    <t>Gino van Hoesel</t>
  </si>
  <si>
    <t>Ragip Övgü</t>
  </si>
  <si>
    <t>Alvino Cost</t>
  </si>
  <si>
    <t>Raffaele Sitter</t>
  </si>
  <si>
    <t>Nicolas Vannoorberghe</t>
  </si>
  <si>
    <t>Filiciano Becerril</t>
  </si>
  <si>
    <t>Jacobo Ferrueros</t>
  </si>
  <si>
    <t>Giulio Porcaccianti</t>
  </si>
  <si>
    <t>Juan Gabriel de Minaya</t>
  </si>
  <si>
    <t>Albert Fité</t>
  </si>
  <si>
    <t>Dolf Fohringer</t>
  </si>
  <si>
    <t>Eckardt Hagerling</t>
  </si>
  <si>
    <t>#</t>
  </si>
  <si>
    <t>POS</t>
  </si>
  <si>
    <t>h36</t>
  </si>
  <si>
    <t>Nombre</t>
  </si>
  <si>
    <t>Anys</t>
  </si>
  <si>
    <t>Dias</t>
  </si>
  <si>
    <t>PA</t>
  </si>
  <si>
    <t>Lid</t>
  </si>
  <si>
    <t>Exp</t>
  </si>
  <si>
    <t>HXP</t>
  </si>
  <si>
    <t>CMn</t>
  </si>
  <si>
    <t>CMx</t>
  </si>
  <si>
    <t>Fcompra</t>
  </si>
  <si>
    <t>FID</t>
  </si>
  <si>
    <t>Res</t>
  </si>
  <si>
    <t>m90</t>
  </si>
  <si>
    <t>For</t>
  </si>
  <si>
    <t>Fmin</t>
  </si>
  <si>
    <t>Fmax</t>
  </si>
  <si>
    <t>TSI</t>
  </si>
  <si>
    <t>Dif</t>
  </si>
  <si>
    <t>Sou</t>
  </si>
  <si>
    <t>Hib</t>
  </si>
  <si>
    <t>Po</t>
  </si>
  <si>
    <t>De</t>
  </si>
  <si>
    <t>Cr</t>
  </si>
  <si>
    <t>Ex</t>
  </si>
  <si>
    <t>Ps</t>
  </si>
  <si>
    <t>An</t>
  </si>
  <si>
    <t>Ent</t>
  </si>
  <si>
    <t>Hab</t>
  </si>
  <si>
    <t>Pot28</t>
  </si>
  <si>
    <t>NCA</t>
  </si>
  <si>
    <t>DfMn</t>
  </si>
  <si>
    <t>DfMx</t>
  </si>
  <si>
    <t>JgMn</t>
  </si>
  <si>
    <t>JgMx</t>
  </si>
  <si>
    <t>BPMn</t>
  </si>
  <si>
    <t>BPMx</t>
  </si>
  <si>
    <t>PEN</t>
  </si>
  <si>
    <t>Ca</t>
  </si>
  <si>
    <t>Ag</t>
  </si>
  <si>
    <t>Ho</t>
  </si>
  <si>
    <t>%_T</t>
  </si>
  <si>
    <t>TSI_A</t>
  </si>
  <si>
    <t>#1</t>
  </si>
  <si>
    <t>POR</t>
  </si>
  <si>
    <t>#17</t>
  </si>
  <si>
    <t>#2</t>
  </si>
  <si>
    <t>CEN</t>
  </si>
  <si>
    <t>Miguel Fernández</t>
  </si>
  <si>
    <t>#13</t>
  </si>
  <si>
    <t>#4</t>
  </si>
  <si>
    <t>#14</t>
  </si>
  <si>
    <t>#7</t>
  </si>
  <si>
    <t>#9</t>
  </si>
  <si>
    <t>EXT-LAT</t>
  </si>
  <si>
    <t>IMP</t>
  </si>
  <si>
    <t>#3</t>
  </si>
  <si>
    <t>Will Duffill</t>
  </si>
  <si>
    <t>RAP</t>
  </si>
  <si>
    <t>#5</t>
  </si>
  <si>
    <t>#8</t>
  </si>
  <si>
    <t>#11</t>
  </si>
  <si>
    <t>J. G. Peñuela</t>
  </si>
  <si>
    <t>#6</t>
  </si>
  <si>
    <t>MED</t>
  </si>
  <si>
    <t>Julian Gräbitz</t>
  </si>
  <si>
    <t>#16</t>
  </si>
  <si>
    <t>Ryan Clarke</t>
  </si>
  <si>
    <t>CAB</t>
  </si>
  <si>
    <t>#15</t>
  </si>
  <si>
    <t>DAV</t>
  </si>
  <si>
    <t>Renato Galeano</t>
  </si>
  <si>
    <t>#18</t>
  </si>
  <si>
    <t>Tommaso Niscola</t>
  </si>
  <si>
    <t>#19</t>
  </si>
  <si>
    <t>Rodolfo Rinaldo  Paso</t>
  </si>
  <si>
    <t>COMPLETAMENTE ENTRENADOS!</t>
  </si>
  <si>
    <t>PROMOCIONADOS</t>
  </si>
  <si>
    <t>Jugador</t>
  </si>
  <si>
    <t>Edad</t>
  </si>
  <si>
    <t>Esp</t>
  </si>
  <si>
    <t>Asc</t>
  </si>
  <si>
    <t>Promoción</t>
  </si>
  <si>
    <t>Gen</t>
  </si>
  <si>
    <t>u20</t>
  </si>
  <si>
    <t>Pot</t>
  </si>
  <si>
    <t>DEF</t>
  </si>
  <si>
    <t>JUG</t>
  </si>
  <si>
    <t>LAT</t>
  </si>
  <si>
    <t>PAS</t>
  </si>
  <si>
    <t>ANO</t>
  </si>
  <si>
    <t>BP</t>
  </si>
  <si>
    <t>HAB</t>
  </si>
  <si>
    <t>POT</t>
  </si>
  <si>
    <t>Cap</t>
  </si>
  <si>
    <t>HTMS</t>
  </si>
  <si>
    <t>PR</t>
  </si>
  <si>
    <t>DL</t>
  </si>
  <si>
    <t>DC</t>
  </si>
  <si>
    <t>In</t>
  </si>
  <si>
    <t>ExO</t>
  </si>
  <si>
    <t>DV</t>
  </si>
  <si>
    <t>Atributs</t>
  </si>
  <si>
    <t>Pot P</t>
  </si>
  <si>
    <t>Pot Def</t>
  </si>
  <si>
    <t>Pot Jug</t>
  </si>
  <si>
    <t>Pot Lat</t>
  </si>
  <si>
    <t>Pot Ano</t>
  </si>
  <si>
    <t>Pot Pas</t>
  </si>
  <si>
    <t>P_BP</t>
  </si>
  <si>
    <t>Fecha</t>
  </si>
  <si>
    <t>Joaquin Romero</t>
  </si>
  <si>
    <t>Acep</t>
  </si>
  <si>
    <t>no</t>
  </si>
  <si>
    <t>ns/nc</t>
  </si>
  <si>
    <t>Polèmic</t>
  </si>
  <si>
    <t>Servulo Matute Suso</t>
  </si>
  <si>
    <t>IMPORTANTES</t>
  </si>
  <si>
    <t>Raul Fonoll</t>
  </si>
  <si>
    <t>Info</t>
  </si>
  <si>
    <t>Habilidades</t>
  </si>
  <si>
    <t>Mejor Partido</t>
  </si>
  <si>
    <t>Sergio Lopez</t>
  </si>
  <si>
    <t>Pancracio Ribadulla</t>
  </si>
  <si>
    <t>Alejandro Camacho</t>
  </si>
  <si>
    <t>Agradable i Popular</t>
  </si>
  <si>
    <t>Manuel Garces de Marcilla</t>
  </si>
  <si>
    <t>Rap</t>
  </si>
  <si>
    <t>César Carrasquedo</t>
  </si>
  <si>
    <t>Emilio Olmos</t>
  </si>
  <si>
    <t>RELEVANTES</t>
  </si>
  <si>
    <t>Faustino Manene</t>
  </si>
  <si>
    <t>Miquel Barbarie</t>
  </si>
  <si>
    <t>Imp</t>
  </si>
  <si>
    <t>Michael Healy</t>
  </si>
  <si>
    <t>Cab</t>
  </si>
  <si>
    <t>Paulo Endara</t>
  </si>
  <si>
    <t>Insuf</t>
  </si>
  <si>
    <t>FF</t>
  </si>
  <si>
    <t>Aimar Koskarratza</t>
  </si>
  <si>
    <t>Ambrosio Solares</t>
  </si>
  <si>
    <t>Sergio Martin</t>
  </si>
  <si>
    <t>Mantxo Hokigarai</t>
  </si>
  <si>
    <t>FC</t>
  </si>
  <si>
    <t>Diego Gomez de la Torre</t>
  </si>
  <si>
    <t>David Inoso</t>
  </si>
  <si>
    <t>FC+2</t>
  </si>
  <si>
    <t>Emilio Cassana</t>
  </si>
  <si>
    <t>Erramu Errementaritegi</t>
  </si>
  <si>
    <t>Gundar Bugarin</t>
  </si>
  <si>
    <t>David Pallicera</t>
  </si>
  <si>
    <t>Guillermo Imperial</t>
  </si>
  <si>
    <t>José Caramillo</t>
  </si>
  <si>
    <t>Tec</t>
  </si>
  <si>
    <t>Julio Santolalla</t>
  </si>
  <si>
    <t>Juan Gabriel</t>
  </si>
  <si>
    <t>Julio Segura Puertas</t>
  </si>
  <si>
    <t>Filip Balkanski</t>
  </si>
  <si>
    <t>Adrià Moltó</t>
  </si>
  <si>
    <t>Avelino Paredes</t>
  </si>
  <si>
    <t>Rafael Veigas</t>
  </si>
  <si>
    <t>TEC</t>
  </si>
  <si>
    <t>Ricardo Corn</t>
  </si>
  <si>
    <t>Ibai Lanzas Manzanares</t>
  </si>
  <si>
    <t>Noelio Sevilla</t>
  </si>
  <si>
    <t>Javier Buelna</t>
  </si>
  <si>
    <t>David Subirà</t>
  </si>
  <si>
    <t>Heren Jaukikoa</t>
  </si>
  <si>
    <t>Tome Baldin</t>
  </si>
  <si>
    <t>Ramon Iñiguez Lafuente</t>
  </si>
  <si>
    <t>Abdennour Zoheir</t>
  </si>
  <si>
    <t>Babil Oruesagasti</t>
  </si>
  <si>
    <t>debil</t>
  </si>
  <si>
    <t>Francisco J. Maceda</t>
  </si>
  <si>
    <t>Milen Manoilov</t>
  </si>
  <si>
    <t>David Cabasés</t>
  </si>
  <si>
    <t>Ja</t>
  </si>
  <si>
    <t>Actualización</t>
  </si>
  <si>
    <t>Javier Colado</t>
  </si>
  <si>
    <t>ya</t>
  </si>
  <si>
    <t>Alberto Manzano Lopez</t>
  </si>
  <si>
    <t>Estebo da Capela</t>
  </si>
  <si>
    <t>Maruny Illarradi</t>
  </si>
  <si>
    <t xml:space="preserve">Alberto Roldán </t>
  </si>
  <si>
    <t>Damián Millán</t>
  </si>
  <si>
    <t>Jordi Esquerigüela</t>
  </si>
  <si>
    <t>Alex Perez Urbina</t>
  </si>
  <si>
    <t>Genis Barberà</t>
  </si>
  <si>
    <t>Gaizka Erretolatza</t>
  </si>
  <si>
    <t>Erkaitz Urriategi</t>
  </si>
  <si>
    <t>Adrian Gimenez</t>
  </si>
  <si>
    <t>Pol Esteve</t>
  </si>
  <si>
    <t>Guillermo Cea Bueno</t>
  </si>
  <si>
    <t>Pedro Ignacio Camacho</t>
  </si>
  <si>
    <t>Raúl Vázquez</t>
  </si>
  <si>
    <t>Luis Dávalos</t>
  </si>
  <si>
    <t>Rafael Valdes Velazquez</t>
  </si>
  <si>
    <t>Fernando Grachisi</t>
  </si>
  <si>
    <t>Ricard  Tarafa</t>
  </si>
  <si>
    <t>Eliseo Miranda</t>
  </si>
  <si>
    <t>Tomas Bello</t>
  </si>
  <si>
    <t>Antonio Marchena</t>
  </si>
  <si>
    <t>Raúl Esles</t>
  </si>
  <si>
    <t>Manuel Lopez Negredo</t>
  </si>
  <si>
    <t>Asuri Gorosurreta</t>
  </si>
  <si>
    <t>Fermin Belauntzarain</t>
  </si>
  <si>
    <t>Antón das Chas</t>
  </si>
  <si>
    <t>Juan Lecumberri</t>
  </si>
  <si>
    <t>David Gonzalez-Colloto</t>
  </si>
  <si>
    <t>Diego Gorostola</t>
  </si>
  <si>
    <t>Mauro Romerales</t>
  </si>
  <si>
    <t>Alfredo Caballero</t>
  </si>
  <si>
    <t>Dirio Sanin</t>
  </si>
  <si>
    <t>Pablo Luna</t>
  </si>
  <si>
    <t>Marcel Mill</t>
  </si>
  <si>
    <t>Hipólito Villamayor</t>
  </si>
  <si>
    <t>Manuel Desplà</t>
  </si>
  <si>
    <t>Paco Diustegui</t>
  </si>
  <si>
    <t>rap</t>
  </si>
  <si>
    <t>Huo Guangze</t>
  </si>
  <si>
    <t>Camilo Insurandiaga</t>
  </si>
  <si>
    <t>Julian Sander</t>
  </si>
  <si>
    <t>Arnatu Salaburu</t>
  </si>
  <si>
    <t>Ramon Estebanez</t>
  </si>
  <si>
    <t>Federico Zurica</t>
  </si>
  <si>
    <t>Alejandro Fernandez</t>
  </si>
  <si>
    <t>Macià Basseda</t>
  </si>
  <si>
    <t>Pedro Valderrama</t>
  </si>
  <si>
    <t>Luis Jorge Taboada Soto</t>
  </si>
  <si>
    <t>Jose Caminero</t>
  </si>
  <si>
    <t>Senén Pereira</t>
  </si>
  <si>
    <t>tec</t>
  </si>
  <si>
    <t>Josep Carles Jardi</t>
  </si>
  <si>
    <t>Erik Lowes</t>
  </si>
  <si>
    <t>Tancredo Ibañez Ibero</t>
  </si>
  <si>
    <t>Jesus Ballada</t>
  </si>
  <si>
    <t>Vador Divins</t>
  </si>
  <si>
    <t>Juan Antón Sánchez Dávila</t>
  </si>
  <si>
    <t>Rafael Pedroso</t>
  </si>
  <si>
    <t>Georgi Nakov</t>
  </si>
  <si>
    <t>Tomás Tejada Muro</t>
  </si>
  <si>
    <t>5,7-5,9</t>
  </si>
  <si>
    <t>Casildo Abraldes</t>
  </si>
  <si>
    <t>Manuel Parejo</t>
  </si>
  <si>
    <t>Mauro Vaz</t>
  </si>
  <si>
    <t>Óscar Durand</t>
  </si>
  <si>
    <t>Diego Rincón</t>
  </si>
  <si>
    <t>Xofre Taín</t>
  </si>
  <si>
    <t>3,0-3,9</t>
  </si>
  <si>
    <t>Felipe Agulló</t>
  </si>
  <si>
    <t>Manuel Ruiz Llera</t>
  </si>
  <si>
    <t>Jose de la Dehesa</t>
  </si>
  <si>
    <t>Bastián da Vila</t>
  </si>
  <si>
    <t>Aralar Arrotxa</t>
  </si>
  <si>
    <t>Venancio Lestegas</t>
  </si>
  <si>
    <t>Ignacio Sanseverino</t>
  </si>
  <si>
    <t>Seran Aranguren</t>
  </si>
  <si>
    <t>Luis Lama Alvarez</t>
  </si>
  <si>
    <t>Oscar Rufin</t>
  </si>
  <si>
    <t>Norberto Sepúlveda</t>
  </si>
  <si>
    <t>Aniceto Olivos</t>
  </si>
  <si>
    <t>Marcos Solana</t>
  </si>
  <si>
    <t>Simón Gil Negrete</t>
  </si>
  <si>
    <t>Francisco Pinedo Acevedo</t>
  </si>
  <si>
    <t>Mauro Entrena</t>
  </si>
  <si>
    <t>Marco Echecón</t>
  </si>
  <si>
    <t>Marco Antonio Corvinos</t>
  </si>
  <si>
    <t>Carlos Picabea</t>
  </si>
  <si>
    <t>Osián Mágoa</t>
  </si>
  <si>
    <t>Carlos Poncela</t>
  </si>
  <si>
    <t>Marc Marsal</t>
  </si>
  <si>
    <t>V.49</t>
  </si>
  <si>
    <t>Desde</t>
  </si>
  <si>
    <t>Region</t>
  </si>
  <si>
    <t>MejorLiga</t>
  </si>
  <si>
    <t>Compres</t>
  </si>
  <si>
    <t>Vendes</t>
  </si>
  <si>
    <t>Trans</t>
  </si>
  <si>
    <t>Sueldos</t>
  </si>
  <si>
    <t>TSI11</t>
  </si>
  <si>
    <t>Sueldo11</t>
  </si>
  <si>
    <t>Forma11</t>
  </si>
  <si>
    <t>Res11</t>
  </si>
  <si>
    <t>Exp11</t>
  </si>
  <si>
    <t>Edad11</t>
  </si>
  <si>
    <t>Tot</t>
  </si>
  <si>
    <t>Entrenador</t>
  </si>
  <si>
    <t>Tacticas</t>
  </si>
  <si>
    <t>Real club de la Aviación</t>
  </si>
  <si>
    <t>Ceuta y Melilla</t>
  </si>
  <si>
    <t>V (8)</t>
  </si>
  <si>
    <t>27(44)</t>
  </si>
  <si>
    <t>Notable - Neutro - Aceptable</t>
  </si>
  <si>
    <t>352-253</t>
  </si>
  <si>
    <t>GLADIATORS 96</t>
  </si>
  <si>
    <t>La Rioja</t>
  </si>
  <si>
    <t>IV (1)</t>
  </si>
  <si>
    <t>26(4)</t>
  </si>
  <si>
    <t>Excelent - Def - Notable</t>
  </si>
  <si>
    <t>541 - 442 CA</t>
  </si>
  <si>
    <t>FormigonArmado2.0</t>
  </si>
  <si>
    <t>Galicia</t>
  </si>
  <si>
    <t>V (5)</t>
  </si>
  <si>
    <t>27(83)</t>
  </si>
  <si>
    <t>Notable - Def - Debil</t>
  </si>
  <si>
    <t>352-253-343</t>
  </si>
  <si>
    <t>R.C. Deportivo da Coruña</t>
  </si>
  <si>
    <t>V (4)</t>
  </si>
  <si>
    <t>28(108)</t>
  </si>
  <si>
    <t>Notable - Neutro - Insuf</t>
  </si>
  <si>
    <t>253-343</t>
  </si>
  <si>
    <t>Squandrago C.F.</t>
  </si>
  <si>
    <t>Andalucia</t>
  </si>
  <si>
    <t>28(9)</t>
  </si>
  <si>
    <t>Notable - Of - Pobre</t>
  </si>
  <si>
    <t>352-343-433</t>
  </si>
  <si>
    <t>Omailovy's</t>
  </si>
  <si>
    <t>Catalunya</t>
  </si>
  <si>
    <t>27(70)</t>
  </si>
  <si>
    <t>Notable - Of - Insuf</t>
  </si>
  <si>
    <t>Gades F.C.</t>
  </si>
  <si>
    <t>VI (10)</t>
  </si>
  <si>
    <t>28(8)</t>
  </si>
  <si>
    <t>Notable - Of - Debil</t>
  </si>
  <si>
    <t>V@der SC</t>
  </si>
  <si>
    <t>III (4)</t>
  </si>
  <si>
    <t>23(51)</t>
  </si>
  <si>
    <t>Excelent - Neutro - Pobre</t>
  </si>
  <si>
    <t>532-541 CA</t>
  </si>
  <si>
    <t>V.252</t>
  </si>
  <si>
    <t>Profesioteam.</t>
  </si>
  <si>
    <t>Murcia</t>
  </si>
  <si>
    <t>V (1)</t>
  </si>
  <si>
    <t>253 AiM</t>
  </si>
  <si>
    <t>FC Kalambrazo</t>
  </si>
  <si>
    <t>Aragón</t>
  </si>
  <si>
    <t>V (6)</t>
  </si>
  <si>
    <t>Notable - Of - Horrible</t>
  </si>
  <si>
    <t>Los Recios de Gonzus</t>
  </si>
  <si>
    <t>29(26)</t>
  </si>
  <si>
    <t>CuatroK</t>
  </si>
  <si>
    <t>Madrid</t>
  </si>
  <si>
    <t>IV (2)</t>
  </si>
  <si>
    <t>28(78)</t>
  </si>
  <si>
    <t>352 Normal</t>
  </si>
  <si>
    <t>FC Los Urrutias</t>
  </si>
  <si>
    <t>VI (6)</t>
  </si>
  <si>
    <t>27(15)</t>
  </si>
  <si>
    <t>Notable - Neutro - Pobre</t>
  </si>
  <si>
    <t>532 CA</t>
  </si>
  <si>
    <t>Baden5400</t>
  </si>
  <si>
    <t>Navarra</t>
  </si>
  <si>
    <t>27(86)</t>
  </si>
  <si>
    <t>Notable - Neutre - Bueno</t>
  </si>
  <si>
    <t>532 Normal</t>
  </si>
  <si>
    <t>HotNumbers</t>
  </si>
  <si>
    <t>VI (4)</t>
  </si>
  <si>
    <t>23(62)</t>
  </si>
  <si>
    <t>Aceptable - Neutro - Aceptable</t>
  </si>
  <si>
    <t>Num</t>
  </si>
  <si>
    <t>ESP</t>
  </si>
  <si>
    <t>Año</t>
  </si>
  <si>
    <t>Dia</t>
  </si>
  <si>
    <t>Sueldo</t>
  </si>
  <si>
    <t>E_Po</t>
  </si>
  <si>
    <t>E_De</t>
  </si>
  <si>
    <t>E_Cr</t>
  </si>
  <si>
    <t>E_Ex</t>
  </si>
  <si>
    <t>E_Ps</t>
  </si>
  <si>
    <t>E_An</t>
  </si>
  <si>
    <t>E_PA</t>
  </si>
  <si>
    <t>E_TOTAL</t>
  </si>
  <si>
    <t>C. Fonteboa</t>
  </si>
  <si>
    <t>M. Fernandez</t>
  </si>
  <si>
    <t>B. Abandero</t>
  </si>
  <si>
    <t>I. R. Figueroa</t>
  </si>
  <si>
    <t>G. Pedrajas</t>
  </si>
  <si>
    <t>Tem</t>
  </si>
  <si>
    <t>V. Oset</t>
  </si>
  <si>
    <t>F. Añigas</t>
  </si>
  <si>
    <t>V. Gomis</t>
  </si>
  <si>
    <t>INN</t>
  </si>
  <si>
    <t>J. Gräbitz</t>
  </si>
  <si>
    <t>#10</t>
  </si>
  <si>
    <t>EXT</t>
  </si>
  <si>
    <t>E. Cubas</t>
  </si>
  <si>
    <t>#12</t>
  </si>
  <si>
    <t>W. Duffill</t>
  </si>
  <si>
    <t>J.G. Peñuela</t>
  </si>
  <si>
    <t>PS</t>
  </si>
  <si>
    <t>IMP/RAP</t>
  </si>
  <si>
    <t>Inners</t>
  </si>
  <si>
    <t>BALANCE DE SITUACION Temporada 61</t>
  </si>
  <si>
    <t xml:space="preserve">a cierre de ejercicio </t>
  </si>
  <si>
    <t>IV.11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</si>
  <si>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</si>
  <si>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</si>
  <si>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</si>
  <si>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</si>
  <si>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</si>
  <si>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</si>
  <si>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</si>
  <si>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</si>
  <si>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</si>
  <si>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</si>
  <si>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</si>
  <si>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</si>
  <si>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</si>
  <si>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</si>
  <si>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</si>
  <si>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</si>
  <si>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ACTIVO</t>
  </si>
  <si>
    <t>PASIVO</t>
  </si>
  <si>
    <t>Socios</t>
  </si>
  <si>
    <t>RESERVAS</t>
  </si>
  <si>
    <t>Inmobilizado</t>
  </si>
  <si>
    <t>Patrimonio</t>
  </si>
  <si>
    <t>SALDO INICIAL</t>
  </si>
  <si>
    <t>Estadio</t>
  </si>
  <si>
    <t>Capital Inicial</t>
  </si>
  <si>
    <t>Taquillas</t>
  </si>
  <si>
    <t>ByP Acum</t>
  </si>
  <si>
    <t>Patrocinadores</t>
  </si>
  <si>
    <t>Amortizaciones</t>
  </si>
  <si>
    <t>Venta de jugadores</t>
  </si>
  <si>
    <t>Ventas</t>
  </si>
  <si>
    <t>VentasCantera</t>
  </si>
  <si>
    <t>Reservas Final</t>
  </si>
  <si>
    <t>B/P</t>
  </si>
  <si>
    <t>Comisiones</t>
  </si>
  <si>
    <t>Reservas Inicio</t>
  </si>
  <si>
    <t>B/P Jugadores</t>
  </si>
  <si>
    <t>Otros</t>
  </si>
  <si>
    <t>Nuevos Socios</t>
  </si>
  <si>
    <t>B/P Step</t>
  </si>
  <si>
    <t>Premios</t>
  </si>
  <si>
    <t>B/P Cantera</t>
  </si>
  <si>
    <t>Ing Reservas</t>
  </si>
  <si>
    <t>B/P Entrenables</t>
  </si>
  <si>
    <t>TOTAL INGRESOS</t>
  </si>
  <si>
    <t>Jugadores</t>
  </si>
  <si>
    <t>B/P Mercadeo</t>
  </si>
  <si>
    <t>Step</t>
  </si>
  <si>
    <t>B/P Act</t>
  </si>
  <si>
    <t xml:space="preserve">Mantenimiento </t>
  </si>
  <si>
    <t>Construcción del estadio</t>
  </si>
  <si>
    <t>Entrenables</t>
  </si>
  <si>
    <t>Compras</t>
  </si>
  <si>
    <t>Empleados</t>
  </si>
  <si>
    <t>Mercadeo</t>
  </si>
  <si>
    <t>Compra</t>
  </si>
  <si>
    <t>Juveniles</t>
  </si>
  <si>
    <t>Compra de jugadores*</t>
  </si>
  <si>
    <t>Pagos LP</t>
  </si>
  <si>
    <t>Viajes+Venta</t>
  </si>
  <si>
    <t>Pago Reservas</t>
  </si>
  <si>
    <t>Cash Final</t>
  </si>
  <si>
    <t>Intereses</t>
  </si>
  <si>
    <t>Cash Incial</t>
  </si>
  <si>
    <t>TOTAL GASTOS</t>
  </si>
  <si>
    <t>Pagos CP</t>
  </si>
  <si>
    <t>SALDO FINAL</t>
  </si>
  <si>
    <t>Salarios</t>
  </si>
  <si>
    <t>Ingresos</t>
  </si>
  <si>
    <t>Plantilla Medias (mirar antes entreno) (sin entrenador)</t>
  </si>
  <si>
    <t>23(15)</t>
  </si>
  <si>
    <t>23(19)</t>
  </si>
  <si>
    <t>23(22)</t>
  </si>
  <si>
    <t>23(36)</t>
  </si>
  <si>
    <t>23(40)</t>
  </si>
  <si>
    <t>23(46)</t>
  </si>
  <si>
    <t>23(67)</t>
  </si>
  <si>
    <t>23(75)</t>
  </si>
  <si>
    <t>23(12)</t>
  </si>
  <si>
    <t>23(43)</t>
  </si>
  <si>
    <t>23(54)</t>
  </si>
  <si>
    <t>TOTAL</t>
  </si>
  <si>
    <t>Resistencia11</t>
  </si>
  <si>
    <t>Experiencia11</t>
  </si>
  <si>
    <t>Hibridación</t>
  </si>
  <si>
    <t>BALANCE DE SITUACION Temporada 60</t>
  </si>
  <si>
    <t>23(109)</t>
  </si>
  <si>
    <t>Min</t>
  </si>
  <si>
    <t>Max</t>
  </si>
  <si>
    <t>edad</t>
  </si>
  <si>
    <t>LS</t>
  </si>
  <si>
    <t>Capitan</t>
  </si>
  <si>
    <t>xpe/17 + (xpc * lid^2) ^ (2/3) / 30</t>
  </si>
  <si>
    <t>Xpe</t>
  </si>
  <si>
    <t>Xpe/17</t>
  </si>
  <si>
    <t>donde</t>
  </si>
  <si>
    <t>lid^2</t>
  </si>
  <si>
    <t>xpe es la suma de la experiencia de todos los jugadores</t>
  </si>
  <si>
    <t>Xpc*lid^2</t>
  </si>
  <si>
    <t>xpc es la experiencia del capitán</t>
  </si>
  <si>
    <t>(xpc * lid^2) ^ (2/3) / 30</t>
  </si>
  <si>
    <t>lid es el liderazgo del capitán</t>
  </si>
  <si>
    <t>Total</t>
  </si>
  <si>
    <t>liderazgo x liderazgo x experiencia</t>
  </si>
  <si>
    <t>N_CA</t>
  </si>
  <si>
    <t>Defensas</t>
  </si>
  <si>
    <t>Local</t>
  </si>
  <si>
    <t>Visitante</t>
  </si>
  <si>
    <t>NivelTactica</t>
  </si>
  <si>
    <t>NivelMedioVader</t>
  </si>
  <si>
    <t>OcasionesFalladas</t>
  </si>
  <si>
    <t>CAs</t>
  </si>
  <si>
    <t>%_Conversión</t>
  </si>
  <si>
    <t>Etiquetas de fila</t>
  </si>
  <si>
    <t>partidos</t>
  </si>
  <si>
    <t>Suma de OcasionesFalladas</t>
  </si>
  <si>
    <t>Suma de CAs</t>
  </si>
  <si>
    <t>%</t>
  </si>
  <si>
    <t>Fernando de Rojas</t>
  </si>
  <si>
    <t>Prodigy Sucany</t>
  </si>
  <si>
    <t>white widow</t>
  </si>
  <si>
    <t>mehmet</t>
  </si>
  <si>
    <t>Splug Team</t>
  </si>
  <si>
    <t>Los amiguitos de Don Pimpon</t>
  </si>
  <si>
    <t>John Rebus F.c</t>
  </si>
  <si>
    <t>VINATIKA FC 2</t>
  </si>
  <si>
    <t>Total general</t>
  </si>
  <si>
    <t>Basil444</t>
  </si>
  <si>
    <t>konary</t>
  </si>
  <si>
    <t>Ladány City</t>
  </si>
  <si>
    <t>Nie Zjednoczeni Kaczory</t>
  </si>
  <si>
    <t>Cuchufritos F.C.</t>
  </si>
  <si>
    <t>Ju.far72</t>
  </si>
  <si>
    <t>Mks Pilica PEDEZET</t>
  </si>
  <si>
    <t>FC Bayern München 16</t>
  </si>
  <si>
    <t>Grasshopper Club Nidwalden</t>
  </si>
  <si>
    <t>CD Castalia</t>
  </si>
  <si>
    <t>Cogollos F.C</t>
  </si>
  <si>
    <t>Ulls de Gat Mesquer</t>
  </si>
  <si>
    <t>iRatlle</t>
  </si>
  <si>
    <t>Hakom</t>
  </si>
  <si>
    <t>Santa Barbosa Aludosa</t>
  </si>
  <si>
    <t>Fc De Rositas</t>
  </si>
  <si>
    <t>Insulae Atlantis</t>
  </si>
  <si>
    <t>Bar Karakas C.F.</t>
  </si>
  <si>
    <t>Dzsoni Valkur</t>
  </si>
  <si>
    <t>Wisla Skawina</t>
  </si>
  <si>
    <t>Ornitorrincos Purpura</t>
  </si>
  <si>
    <t>USC Olaf Football</t>
  </si>
  <si>
    <t>Refucilo CF</t>
  </si>
  <si>
    <t>Kersky</t>
  </si>
  <si>
    <t>Menkoko C.F.</t>
  </si>
  <si>
    <t>Tuviejahuelemal</t>
  </si>
  <si>
    <t>CSD Avengers</t>
  </si>
  <si>
    <t>Lobos del Viento</t>
  </si>
  <si>
    <t>US Women National Tema</t>
  </si>
  <si>
    <t>S.H.M.Piast Gliwice</t>
  </si>
  <si>
    <t>TOERS TEAM</t>
  </si>
  <si>
    <t>Proxibecas</t>
  </si>
  <si>
    <t>I treni di Tozeur</t>
  </si>
  <si>
    <t>The Pyramid Mystery</t>
  </si>
  <si>
    <t>Wing Men</t>
  </si>
  <si>
    <t>FC BvB</t>
  </si>
  <si>
    <t>Mendibil</t>
  </si>
  <si>
    <t>TOWERS TEAM</t>
  </si>
  <si>
    <t>Romdi</t>
  </si>
  <si>
    <t>Babbu team</t>
  </si>
  <si>
    <t>Club de Catalunya</t>
  </si>
  <si>
    <t>Atletico ius</t>
  </si>
  <si>
    <t>Funkickers zwarte Schapen</t>
  </si>
  <si>
    <t>Bandurrias del Sur</t>
  </si>
  <si>
    <t>von der veck</t>
  </si>
  <si>
    <t>P.C.N</t>
  </si>
  <si>
    <t>Nacidos de la Bruma</t>
  </si>
  <si>
    <t>F.c. de Rositas</t>
  </si>
  <si>
    <t>La Pobla FC</t>
  </si>
  <si>
    <t>Dinamo skiejef</t>
  </si>
  <si>
    <t>Athletic MSS</t>
  </si>
  <si>
    <t>Demos returns</t>
  </si>
  <si>
    <t>P.E.C. Zwolle</t>
  </si>
  <si>
    <t>Luso Futebol do Dafundo</t>
  </si>
  <si>
    <t>FC FLEW</t>
  </si>
  <si>
    <t>CF Crystynho 07</t>
  </si>
  <si>
    <t>Start Rudnik</t>
  </si>
  <si>
    <t>Vicers PS</t>
  </si>
  <si>
    <t>Organización</t>
  </si>
  <si>
    <t>Legazpi de Maputo</t>
  </si>
  <si>
    <t>CMM Canoa Polo Triste</t>
  </si>
  <si>
    <t>Gälka Warriors</t>
  </si>
  <si>
    <t>Jyderups Jubelasnor</t>
  </si>
  <si>
    <t>Die Nashorner Logans</t>
  </si>
  <si>
    <t>CabaretVoltaire</t>
  </si>
  <si>
    <t>UF_United</t>
  </si>
  <si>
    <t>Estado de ánimo de los aficionados</t>
  </si>
  <si>
    <t>Grada general</t>
  </si>
  <si>
    <t>Preferente</t>
  </si>
  <si>
    <t>Tribuna</t>
  </si>
  <si>
    <t>Palco</t>
  </si>
  <si>
    <t>Multiplicador</t>
  </si>
  <si>
    <t>(asistencia = socios X multiplicador)</t>
  </si>
  <si>
    <t>Tribuna original</t>
  </si>
  <si>
    <t>Nuevo</t>
  </si>
  <si>
    <t>CosteContrucción</t>
  </si>
  <si>
    <t>CosteMantenimiento</t>
  </si>
  <si>
    <t>IngresoVenta</t>
  </si>
  <si>
    <t>Capacidad total:</t>
  </si>
  <si>
    <t>por asiento</t>
  </si>
  <si>
    <t>Coste</t>
  </si>
  <si>
    <t>CosteSemanal</t>
  </si>
  <si>
    <t>1Partido</t>
  </si>
  <si>
    <t>completo</t>
  </si>
  <si>
    <t>Mantenimiento</t>
  </si>
  <si>
    <t>Grada general:</t>
  </si>
  <si>
    <t>Preferentes:</t>
  </si>
  <si>
    <t>Tribunas:</t>
  </si>
  <si>
    <t>Palcos:</t>
  </si>
  <si>
    <t>Coste Inicial</t>
  </si>
  <si>
    <t>Coste de Contrucción</t>
  </si>
  <si>
    <t>Aficionados</t>
  </si>
  <si>
    <t>MaxGrada Llena</t>
  </si>
  <si>
    <t>MaxPreferente Lleno</t>
  </si>
  <si>
    <t>MaxTribuna Lleno</t>
  </si>
  <si>
    <t>MaxPalco Lleno</t>
  </si>
  <si>
    <t>Real Grada</t>
  </si>
  <si>
    <t>Real Preferente</t>
  </si>
  <si>
    <t>Real Tribuna</t>
  </si>
  <si>
    <t>Real Palco</t>
  </si>
  <si>
    <t>Ingresos Extra Grada general:</t>
  </si>
  <si>
    <t>Ingresos Extre Preferentes:</t>
  </si>
  <si>
    <t>Ingresos Extra Tribunas:</t>
  </si>
  <si>
    <t>Ingresos Extra Palcos:</t>
  </si>
  <si>
    <t>Coste de Mantenimiento Extra</t>
  </si>
  <si>
    <t>Beneficio Neto Semanal</t>
  </si>
  <si>
    <t>Beneficio Acumulado</t>
  </si>
  <si>
    <t xml:space="preserve">Nivel de Entrenador </t>
  </si>
  <si>
    <t>XP</t>
  </si>
  <si>
    <t>COMPRA</t>
  </si>
  <si>
    <t>SEM</t>
  </si>
  <si>
    <t>CosteTRA_BUENO</t>
  </si>
  <si>
    <t>COSTETOTAL_BUENO</t>
  </si>
  <si>
    <t>T_Desast</t>
  </si>
  <si>
    <t>COSTE_TEMP</t>
  </si>
  <si>
    <t>CosteTRA_EX</t>
  </si>
  <si>
    <t>COSTETOTAL_EX</t>
  </si>
  <si>
    <t>Experiencia</t>
  </si>
  <si>
    <t xml:space="preserve">Aceptable </t>
  </si>
  <si>
    <t xml:space="preserve">Bueno </t>
  </si>
  <si>
    <t xml:space="preserve">Excelente </t>
  </si>
  <si>
    <t>Thomas Ruelle</t>
  </si>
  <si>
    <t>Karl-Uwe Mose</t>
  </si>
  <si>
    <t xml:space="preserve">235.200 - 277.700 € </t>
  </si>
  <si>
    <t xml:space="preserve">- </t>
  </si>
  <si>
    <t>Werner Mayer</t>
  </si>
  <si>
    <t xml:space="preserve">202.000 - 235.200 € </t>
  </si>
  <si>
    <t xml:space="preserve">681.800 - 794 100 € </t>
  </si>
  <si>
    <t>Giovanni Bellavite Pellegrini</t>
  </si>
  <si>
    <t xml:space="preserve">176.900 - 200.000 € </t>
  </si>
  <si>
    <t xml:space="preserve">597.300 - 675.000 € </t>
  </si>
  <si>
    <t xml:space="preserve">4.247.700- 4.800.000 € </t>
  </si>
  <si>
    <t>Gilad Domb</t>
  </si>
  <si>
    <t xml:space="preserve">Formidable </t>
  </si>
  <si>
    <t xml:space="preserve">157.400 - 175.400 € </t>
  </si>
  <si>
    <t xml:space="preserve">531.400 - 592.100 € </t>
  </si>
  <si>
    <t xml:space="preserve">3.779.500 - 4.210.500 € </t>
  </si>
  <si>
    <t xml:space="preserve">Destacado </t>
  </si>
  <si>
    <t xml:space="preserve">140.800 - 156.200 € </t>
  </si>
  <si>
    <t xml:space="preserve">475.300 - 527.300 € </t>
  </si>
  <si>
    <t xml:space="preserve">3.380.200 - 3.750.000 € </t>
  </si>
  <si>
    <t>Frederic Ekster</t>
  </si>
  <si>
    <t xml:space="preserve">Brillante </t>
  </si>
  <si>
    <t xml:space="preserve">128.200 - 139.800 € </t>
  </si>
  <si>
    <t xml:space="preserve">432.600 -472.000 € </t>
  </si>
  <si>
    <t xml:space="preserve">3.076.900 - 3.356.600 € </t>
  </si>
  <si>
    <t xml:space="preserve">功志 (Koji) 森 (Mori) </t>
  </si>
  <si>
    <t xml:space="preserve">Magnífico </t>
  </si>
  <si>
    <t xml:space="preserve">117.600 - 127.300 € </t>
  </si>
  <si>
    <t xml:space="preserve">397.000 - 429.900 € </t>
  </si>
  <si>
    <t xml:space="preserve">2.823.500 - 3.057.300 € </t>
  </si>
  <si>
    <t>Belmiro Marques Jr.</t>
  </si>
  <si>
    <t xml:space="preserve">Clase Mundial </t>
  </si>
  <si>
    <t xml:space="preserve">108.600 - 116.900 € </t>
  </si>
  <si>
    <t xml:space="preserve">366.800 - 394.700 € </t>
  </si>
  <si>
    <t xml:space="preserve">2.608.600 - 2.807.000 € </t>
  </si>
  <si>
    <t>Zoltán Nyilas</t>
  </si>
  <si>
    <t xml:space="preserve">Sobrenatural </t>
  </si>
  <si>
    <t xml:space="preserve">100.500 - 108.100 € </t>
  </si>
  <si>
    <t xml:space="preserve">339.100 - 364.800 € </t>
  </si>
  <si>
    <t xml:space="preserve">2.412.000 - 2.594.500 € </t>
  </si>
  <si>
    <t>Radko Kravaev</t>
  </si>
  <si>
    <t xml:space="preserve">Titánico </t>
  </si>
  <si>
    <t xml:space="preserve">93.800 - 100.000 € </t>
  </si>
  <si>
    <t xml:space="preserve">316.900 - 337.500 € </t>
  </si>
  <si>
    <t xml:space="preserve">2.253.500 - 2.400.000 € </t>
  </si>
  <si>
    <t>Ioannis Avramopoulos</t>
  </si>
  <si>
    <t xml:space="preserve">Extra Terrestre </t>
  </si>
  <si>
    <t xml:space="preserve">88.100 - 93.400 € </t>
  </si>
  <si>
    <t xml:space="preserve">297.300 - 315.400 € </t>
  </si>
  <si>
    <t xml:space="preserve">2.114.500 - 2.242.290 € </t>
  </si>
  <si>
    <t xml:space="preserve">Mítico </t>
  </si>
  <si>
    <t xml:space="preserve">82.600 - 87.700 € </t>
  </si>
  <si>
    <t xml:space="preserve">278.900 - 296.000 € </t>
  </si>
  <si>
    <t xml:space="preserve">1.983.400 - 2.105.200 € </t>
  </si>
  <si>
    <t>Filip Antonijevic</t>
  </si>
  <si>
    <t xml:space="preserve">Mágico </t>
  </si>
  <si>
    <t xml:space="preserve">78.100 - 82.300 € </t>
  </si>
  <si>
    <t xml:space="preserve">263.600 - 277.700 € </t>
  </si>
  <si>
    <t xml:space="preserve">1.875.000 - 1.975.300 € </t>
  </si>
  <si>
    <t>Namazbek Baktygazyuly</t>
  </si>
  <si>
    <t xml:space="preserve">Utópico </t>
  </si>
  <si>
    <t xml:space="preserve">74.000 - 77.800 € </t>
  </si>
  <si>
    <t xml:space="preserve">250.000 - 262.600 € </t>
  </si>
  <si>
    <t xml:space="preserve">1.777.700 - 1.867.700 € </t>
  </si>
  <si>
    <t>Winfred Wetterich</t>
  </si>
  <si>
    <t xml:space="preserve">Divino </t>
  </si>
  <si>
    <t xml:space="preserve">47.900 - 73.800 € </t>
  </si>
  <si>
    <t xml:space="preserve">161 800 - 249.000 € </t>
  </si>
  <si>
    <t xml:space="preserve">1 150 800 - 1.771.200 € </t>
  </si>
  <si>
    <t>Cambio</t>
  </si>
  <si>
    <t>TempMedia</t>
  </si>
  <si>
    <t>Primer Nivel</t>
  </si>
  <si>
    <t>des-ho</t>
  </si>
  <si>
    <t>ho-po</t>
  </si>
  <si>
    <t>po-de</t>
  </si>
  <si>
    <t>de-insif</t>
  </si>
  <si>
    <t>ins-acep</t>
  </si>
  <si>
    <t>Nil</t>
  </si>
  <si>
    <t>T_Des</t>
  </si>
  <si>
    <t>Bueno</t>
  </si>
  <si>
    <t>Aceptable</t>
  </si>
  <si>
    <t>Insuficiente</t>
  </si>
  <si>
    <t>Debil</t>
  </si>
  <si>
    <t>Pobre</t>
  </si>
  <si>
    <t>Horrible</t>
  </si>
  <si>
    <t>Desastroso</t>
  </si>
  <si>
    <t>Portero</t>
  </si>
  <si>
    <t>DCNormal</t>
  </si>
  <si>
    <t>DCOff</t>
  </si>
  <si>
    <t>DLNormal</t>
  </si>
  <si>
    <t>DCtW</t>
  </si>
  <si>
    <t>MDEF</t>
  </si>
  <si>
    <t>Mnor</t>
  </si>
  <si>
    <t>IHL</t>
  </si>
  <si>
    <t>EXTDEF</t>
  </si>
  <si>
    <t>EXTOF</t>
  </si>
  <si>
    <t>EHM</t>
  </si>
  <si>
    <t>DD</t>
  </si>
  <si>
    <t>Años</t>
  </si>
  <si>
    <t>FechaCompra</t>
  </si>
  <si>
    <t>FOR</t>
  </si>
  <si>
    <t>BPI_A</t>
  </si>
  <si>
    <t>BPI_D</t>
  </si>
  <si>
    <t>BPMin</t>
  </si>
  <si>
    <t>BPMax</t>
  </si>
  <si>
    <t>DEFLAT</t>
  </si>
  <si>
    <t>DEFCEN</t>
  </si>
  <si>
    <t>ATLAT</t>
  </si>
  <si>
    <t>ATCEN</t>
  </si>
  <si>
    <t>Zona</t>
  </si>
  <si>
    <t>Def Central</t>
  </si>
  <si>
    <t>Def Lat</t>
  </si>
  <si>
    <t>Medio</t>
  </si>
  <si>
    <t>At Lateral</t>
  </si>
  <si>
    <t>At Central</t>
  </si>
  <si>
    <t>F.Actu</t>
  </si>
  <si>
    <t>R16,6%</t>
  </si>
  <si>
    <t>ChL</t>
  </si>
  <si>
    <t>WBN</t>
  </si>
  <si>
    <t>EXN</t>
  </si>
  <si>
    <t>Dhl</t>
  </si>
  <si>
    <t>DhL</t>
  </si>
  <si>
    <t>LID</t>
  </si>
  <si>
    <t>Precio</t>
  </si>
  <si>
    <t>V_36</t>
  </si>
  <si>
    <t>V_34</t>
  </si>
  <si>
    <t>V_32</t>
  </si>
  <si>
    <t>Coste_36</t>
  </si>
  <si>
    <t>Coste_34</t>
  </si>
  <si>
    <t>Coste_32</t>
  </si>
  <si>
    <t>C_T36</t>
  </si>
  <si>
    <t>C_T34</t>
  </si>
  <si>
    <t>C_T32</t>
  </si>
  <si>
    <t>Hannes Seewald</t>
  </si>
  <si>
    <t>Matteo Grammatico</t>
  </si>
  <si>
    <t>Nathan Pierret</t>
  </si>
  <si>
    <t>Said Azizi Khairul Aiman</t>
  </si>
  <si>
    <t>Raffael Mosberger</t>
  </si>
  <si>
    <t>Tim van Tol</t>
  </si>
  <si>
    <t>Cristi David</t>
  </si>
  <si>
    <t>Ciriaco Deitler</t>
  </si>
  <si>
    <t>Kautik Patil</t>
  </si>
  <si>
    <t>Ernie Barclay</t>
  </si>
  <si>
    <t>Quentin Veillon</t>
  </si>
  <si>
    <t>Hugo Cosatabella</t>
  </si>
  <si>
    <t>Juan Jesús Patiño</t>
  </si>
  <si>
    <t xml:space="preserve">Ramón Xavier Villanueva </t>
  </si>
  <si>
    <t>Tautginas Tydikas</t>
  </si>
  <si>
    <t>Jeremies Creixems</t>
  </si>
  <si>
    <t>Pablo Ignacio Venet</t>
  </si>
  <si>
    <t>Ludovico Galfrè</t>
  </si>
  <si>
    <t>Hanno Pajur</t>
  </si>
  <si>
    <t>Tomas Solsona</t>
  </si>
  <si>
    <t>雄太 (Takehiro) 小野塚 (Onozuka)</t>
  </si>
  <si>
    <t>Sean Zahren</t>
  </si>
  <si>
    <t>Kasper Marszołek</t>
  </si>
  <si>
    <t>Slobodan Lončar</t>
  </si>
  <si>
    <t>Tranquillo Schlüchter</t>
  </si>
  <si>
    <t>Roey Moshckovitz</t>
  </si>
  <si>
    <t>Miro Henzmann</t>
  </si>
  <si>
    <t>Tomasz Rybka</t>
  </si>
  <si>
    <t>Guillermo Pineda</t>
  </si>
  <si>
    <t>Marian Tyka</t>
  </si>
  <si>
    <t>Michael Pilotto</t>
  </si>
  <si>
    <t>Artur Putilin</t>
  </si>
  <si>
    <t>Shaheen Al-Hajiri</t>
  </si>
  <si>
    <t xml:space="preserve"> Calixto Vázquez</t>
  </si>
  <si>
    <t>Luca Seethaler</t>
  </si>
  <si>
    <t>Héctor Rodolfo Valentini</t>
  </si>
  <si>
    <t>Trond Berge</t>
  </si>
  <si>
    <t>Caetano João Nogueira</t>
  </si>
  <si>
    <t>Cem Kuren</t>
  </si>
  <si>
    <t>Ralph Fendler</t>
  </si>
  <si>
    <t>Clemente Nassano</t>
  </si>
  <si>
    <t>Venance Egal</t>
  </si>
  <si>
    <t>Boris Vulkov</t>
  </si>
  <si>
    <t>Dominik Talaska</t>
  </si>
  <si>
    <t>Francisco Espasens</t>
  </si>
  <si>
    <t>Sergio Riaza</t>
  </si>
  <si>
    <t>Taisto Matikainen</t>
  </si>
  <si>
    <t>Jo Schepers</t>
  </si>
  <si>
    <t>Francesc d'Assís Gallardet</t>
  </si>
  <si>
    <t>Albert Sabater</t>
  </si>
  <si>
    <t>Fernando Flórez</t>
  </si>
  <si>
    <t>Cristian Rinnaudo</t>
  </si>
  <si>
    <t>Arvid Paulissen</t>
  </si>
  <si>
    <t>Jose Naalisvaara</t>
  </si>
  <si>
    <t>莫 (Mo) 世兴 (Shixing)</t>
  </si>
  <si>
    <t xml:space="preserve">Iulian Pavlovschi </t>
  </si>
  <si>
    <t>Pedro Baute</t>
  </si>
  <si>
    <t>Antonio Aguado Orea</t>
  </si>
  <si>
    <t>Ferenc Hancz</t>
  </si>
  <si>
    <t>Nahuel Ducoing</t>
  </si>
  <si>
    <t>Jae-Kwon Kim</t>
  </si>
  <si>
    <t>EPOR</t>
  </si>
  <si>
    <t>EDEF</t>
  </si>
  <si>
    <t>EPAS</t>
  </si>
  <si>
    <t>EBP</t>
  </si>
  <si>
    <t>Francisco Granados</t>
  </si>
  <si>
    <t>Pablo Soto</t>
  </si>
  <si>
    <t>Nazir Zaydi</t>
  </si>
  <si>
    <t>Roman Makiela</t>
  </si>
  <si>
    <t>Juan Castaño</t>
  </si>
  <si>
    <t>Gonzalo Ayza</t>
  </si>
  <si>
    <t>Joan Josep Carull</t>
  </si>
  <si>
    <t>Alejandro Ayelo</t>
  </si>
  <si>
    <t>Ignacio Alemparte Gallardo</t>
  </si>
  <si>
    <t>Abdelhakim Temsamani</t>
  </si>
  <si>
    <t>imp</t>
  </si>
</sst>
</file>

<file path=xl/styles.xml><?xml version="1.0" encoding="utf-8"?>
<styleSheet xmlns="http://schemas.openxmlformats.org/spreadsheetml/2006/main">
  <numFmts count="30">
    <numFmt numFmtId="5" formatCode="#,##0\ &quot;€&quot;;\-#,##0\ &quot;€&quot;"/>
    <numFmt numFmtId="6" formatCode="#,##0\ &quot;€&quot;;[Red]\-#,##0\ &quot;€&quot;"/>
    <numFmt numFmtId="7" formatCode="#,##0.00\ &quot;€&quot;;\-#,##0.00\ &quot;€&quot;"/>
    <numFmt numFmtId="8" formatCode="#,##0.00\ &quot;€&quot;;[Red]\-#,##0.00\ &quot;€&quot;"/>
    <numFmt numFmtId="42" formatCode="_-* #,##0\ &quot;€&quot;_-;\-* #,##0\ &quot;€&quot;_-;_-* &quot;-&quot;\ &quot;€&quot;_-;_-@_-"/>
    <numFmt numFmtId="41" formatCode="_-* #,##0\ _€_-;\-* #,##0\ _€_-;_-* &quot;-&quot;\ _€_-;_-@_-"/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_-* #,##0.00\ &quot;€&quot;_-;\-* #,##0.00\ &quot;€&quot;_-;_-* &quot;-&quot;??\ &quot;€&quot;_-;_-@_-"/>
    <numFmt numFmtId="165" formatCode="_-* #,##0.00\ _€_-;\-* #,##0.00\ _€_-;_-* &quot;-&quot;??\ _€_-;_-@_-"/>
    <numFmt numFmtId="166" formatCode="0.0"/>
    <numFmt numFmtId="167" formatCode="_-* #,##0\ _€_-;\-* #,##0\ _€_-;_-* &quot;-&quot;??\ _€_-;_-@_-"/>
    <numFmt numFmtId="168" formatCode="_-* #,##0.0\ _€_-;\-* #,##0.0\ _€_-;_-* &quot;-&quot;??\ _€_-;_-@_-"/>
    <numFmt numFmtId="169" formatCode="0.000"/>
    <numFmt numFmtId="170" formatCode="_-* #,##0\ &quot;€&quot;_-;\-* #,##0\ &quot;€&quot;_-;_-* &quot;-&quot;??\ &quot;€&quot;_-;_-@_-"/>
    <numFmt numFmtId="171" formatCode="0.0%"/>
    <numFmt numFmtId="172" formatCode="_-* #,##0.0\ &quot;€&quot;_-;\-* #,##0.0\ &quot;€&quot;_-;_-* &quot;-&quot;??\ &quot;€&quot;_-;_-@_-"/>
    <numFmt numFmtId="173" formatCode="DD/MMM"/>
    <numFmt numFmtId="174" formatCode="_-* #,##0\ [$€-C0A]_-;\-* #,##0\ [$€-C0A]_-;_-* &quot;-&quot;??\ [$€-C0A]_-;_-@_-"/>
    <numFmt numFmtId="175" formatCode="_-* #,##0\ [$€-C0A]_-;\-* #,##0\ [$€-C0A]_-;_-* \-??\ [$€-C0A]_-;_-@_-"/>
    <numFmt numFmtId="176" formatCode="_-* #,##0.00\ [$€-C0A]_-;\-* #,##0.00\ [$€-C0A]_-;_-* \-??\ [$€-C0A]_-;_-@_-"/>
    <numFmt numFmtId="177" formatCode="_-* #,##0\ _€_-;\-* #,##0\ _€_-;_-* \-??\ _€_-;_-@_-"/>
    <numFmt numFmtId="178" formatCode="_-* #,##0&quot; €&quot;_-;\-* #,##0&quot; €&quot;_-;_-* \-??&quot; €&quot;_-;_-@_-"/>
    <numFmt numFmtId="9" formatCode="0%"/>
    <numFmt numFmtId="1" formatCode="0"/>
    <numFmt numFmtId="2" formatCode="0.00"/>
    <numFmt numFmtId="14" formatCode="M/D/YYYY"/>
    <numFmt numFmtId="10" formatCode="0.00%"/>
    <numFmt numFmtId="3" formatCode="#,##0"/>
    <numFmt numFmtId="179" formatCode="DD/MM/YYYY"/>
  </numFmts>
  <fonts count="57">
    <font>
      <name val="Calibri"/>
      <family val="2"/>
      <color rgb="FF000000"/>
      <sz val="11"/>
      <extLst>
        <ext uri="smNativeData">
          <pm:charSpec xmlns:pm="smNativeData" id="1591683921" ulstyle="none" kern="1">
            <pm:latin face="Calibri" sz="220" lang="default"/>
            <pm:cs face="Basic Roman" sz="220" lang="default"/>
            <pm:ea face="Basic Roman" sz="220" lang="default"/>
          </pm:charSpec>
        </ext>
      </extLst>
    </font>
    <font>
      <name val="Basic Sans"/>
      <family val="1"/>
      <color rgb="FF000000"/>
      <sz val="10"/>
      <extLst>
        <ext uri="smNativeData">
          <pm:charSpec xmlns:pm="smNativeData" id="1591683921" ulstyle="none" kern="1">
            <pm:latin face="Basic Sans" sz="200" lang="default"/>
            <pm:cs face="Basic Roman" sz="200" lang="default"/>
            <pm:ea face="Basic Roman" sz="200" lang="default"/>
          </pm:charSpec>
        </ext>
      </extLst>
    </font>
    <font>
      <name val="Verdana"/>
      <b/>
      <i/>
      <color rgb="FFFFFFFF"/>
      <sz val="8"/>
      <u val="single"/>
      <extLst>
        <ext uri="smNativeData">
          <pm:charSpec xmlns:pm="smNativeData" id="1591683921" fgClr="FFFFFF" ulstyle="single" kern="1">
            <pm:latin face="Verdana" sz="160" lang="default" weight="bold" i="1"/>
            <pm:cs face="Basic Roman" sz="160" lang="default" weight="bold" i="1"/>
            <pm:ea face="Basic Roman" sz="160" lang="default" weight="bold" i="1"/>
          </pm:charSpec>
        </ext>
      </extLst>
    </font>
    <font>
      <name val="Verdana"/>
      <color rgb="FF000000"/>
      <sz val="8"/>
      <extLst>
        <ext uri="smNativeData">
          <pm:charSpec xmlns:pm="smNativeData" id="1591683921" ulstyle="none" kern="1">
            <pm:latin face="Verdana" sz="160" lang="default"/>
            <pm:cs face="Basic Roman" sz="160" lang="default"/>
            <pm:ea face="Basic Roman" sz="160" lang="default"/>
          </pm:charSpec>
        </ext>
      </extLst>
    </font>
    <font>
      <name val="Verdana"/>
      <b/>
      <color rgb="FFFFFFFF"/>
      <sz val="8"/>
      <extLst>
        <ext uri="smNativeData">
          <pm:charSpec xmlns:pm="smNativeData" id="1591683921" fgClr="FFFFFF" ulstyle="none" kern="1">
            <pm:latin face="Verdana" sz="160" lang="default" weight="bold"/>
            <pm:cs face="Basic Roman" sz="160" lang="default" weight="bold"/>
            <pm:ea face="Basic Roman" sz="160" lang="default" weight="bold"/>
          </pm:charSpec>
        </ext>
      </extLst>
    </font>
    <font>
      <name val="Verdana"/>
      <b/>
      <color rgb="FF000000"/>
      <sz val="8"/>
      <extLst>
        <ext uri="smNativeData">
          <pm:charSpec xmlns:pm="smNativeData" id="1591683921" ulstyle="none" kern="1">
            <pm:latin face="Verdana" sz="160" lang="default" weight="bold"/>
            <pm:cs face="Basic Roman" sz="160" lang="default" weight="bold"/>
            <pm:ea face="Basic Roman" sz="160" lang="default" weight="bold"/>
          </pm:charSpec>
        </ext>
      </extLst>
    </font>
    <font>
      <name val="Calibri"/>
      <family val="2"/>
      <i/>
      <color rgb="FF000000"/>
      <sz val="11"/>
      <u val="single"/>
      <extLst>
        <ext uri="smNativeData">
          <pm:charSpec xmlns:pm="smNativeData" id="1591683921" ulstyle="single" kern="1">
            <pm:latin face="Calibri" sz="220" lang="default" i="1"/>
            <pm:cs face="Basic Roman" sz="220" lang="default" i="1"/>
            <pm:ea face="Basic Roman" sz="220" lang="default" i="1"/>
          </pm:charSpec>
        </ext>
      </extLst>
    </font>
    <font>
      <name val="Calibri"/>
      <family val="2"/>
      <color rgb="FF000000"/>
      <sz val="10"/>
      <extLst>
        <ext uri="smNativeData">
          <pm:charSpec xmlns:pm="smNativeData" id="1591683921" ulstyle="none" kern="1">
            <pm:latin face="Calibri" sz="200" lang="default"/>
            <pm:cs face="Basic Roman" sz="200" lang="default"/>
            <pm:ea face="Basic Roman" sz="200" lang="default"/>
          </pm:charSpec>
        </ext>
      </extLst>
    </font>
    <font>
      <name val="Calibri"/>
      <family val="2"/>
      <b/>
      <color rgb="FF000000"/>
      <sz val="11"/>
      <extLst>
        <ext uri="smNativeData">
          <pm:charSpec xmlns:pm="smNativeData" id="1591683921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Verdana"/>
      <b/>
      <color rgb="FFFF0000"/>
      <sz val="8"/>
      <extLst>
        <ext uri="smNativeData">
          <pm:charSpec xmlns:pm="smNativeData" id="1591683921" fgClr="FF0000" ulstyle="none" kern="1">
            <pm:latin face="Verdana" sz="160" lang="default" weight="bold"/>
            <pm:cs face="Basic Roman" sz="160" lang="default" weight="bold"/>
            <pm:ea face="Basic Roman" sz="160" lang="default" weight="bold"/>
          </pm:charSpec>
        </ext>
      </extLst>
    </font>
    <font>
      <name val="Calibri"/>
      <family val="2"/>
      <b/>
      <color rgb="FFFFFFFF"/>
      <sz val="11"/>
      <extLst>
        <ext uri="smNativeData">
          <pm:charSpec xmlns:pm="smNativeData" id="1591683921" fgClr="FFFFFF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b/>
      <color rgb="FF000000"/>
      <sz val="14"/>
      <extLst>
        <ext uri="smNativeData">
          <pm:charSpec xmlns:pm="smNativeData" id="1591683921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b/>
      <color rgb="FFFF0000"/>
      <sz val="14"/>
      <extLst>
        <ext uri="smNativeData">
          <pm:charSpec xmlns:pm="smNativeData" id="1591683921" fgClr="FF0000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b/>
      <color rgb="FF000000"/>
      <sz val="10"/>
      <extLst>
        <ext uri="smNativeData">
          <pm:charSpec xmlns:pm="smNativeData" id="1591683921" ulstyle="none" kern="1">
            <pm:latin face="Calibri" sz="200" lang="default" weight="bold"/>
            <pm:cs face="Basic Roman" sz="200" lang="default" weight="bold"/>
            <pm:ea face="Basic Roman" sz="200" lang="default" weight="bold"/>
          </pm:charSpec>
        </ext>
      </extLst>
    </font>
    <font>
      <name val="Calibri"/>
      <family val="2"/>
      <b/>
      <color rgb="FFFF0000"/>
      <sz val="10"/>
      <extLst>
        <ext uri="smNativeData">
          <pm:charSpec xmlns:pm="smNativeData" id="1591683921" fgClr="FF0000" ulstyle="none" kern="1">
            <pm:latin face="Calibri" sz="200" lang="default" weight="bold"/>
            <pm:cs face="Basic Roman" sz="200" lang="default" weight="bold"/>
            <pm:ea face="Basic Roman" sz="200" lang="default" weight="bold"/>
          </pm:charSpec>
        </ext>
      </extLst>
    </font>
    <font>
      <name val="Calibri"/>
      <family val="2"/>
      <b/>
      <i/>
      <color rgb="FF000000"/>
      <sz val="11"/>
      <u val="single"/>
      <extLst>
        <ext uri="smNativeData">
          <pm:charSpec xmlns:pm="smNativeData" id="1591683921" ulstyle="single" kern="1">
            <pm:latin face="Calibri" sz="220" lang="default" weight="bold" i="1"/>
            <pm:cs face="Basic Roman" sz="220" lang="default" weight="bold" i="1"/>
            <pm:ea face="Basic Roman" sz="220" lang="default" weight="bold" i="1"/>
          </pm:charSpec>
        </ext>
      </extLst>
    </font>
    <font>
      <name val="Verdana"/>
      <color rgb="FF000000"/>
      <sz val="16"/>
      <extLst>
        <ext uri="smNativeData">
          <pm:charSpec xmlns:pm="smNativeData" id="1591683921" ulstyle="none" kern="1">
            <pm:latin face="Verdana" sz="320" lang="default"/>
            <pm:cs face="Basic Roman" sz="320" lang="default"/>
            <pm:ea face="Basic Roman" sz="320" lang="default"/>
          </pm:charSpec>
        </ext>
      </extLst>
    </font>
    <font>
      <name val="Verdana"/>
      <color rgb="FF000000"/>
      <sz val="14"/>
      <extLst>
        <ext uri="smNativeData">
          <pm:charSpec xmlns:pm="smNativeData" id="1591683921" ulstyle="none" kern="1">
            <pm:latin face="Verdana" sz="280" lang="default"/>
            <pm:cs face="Basic Roman" sz="280" lang="default"/>
            <pm:ea face="Basic Roman" sz="280" lang="default"/>
          </pm:charSpec>
        </ext>
      </extLst>
    </font>
    <font>
      <name val="Verdana"/>
      <color rgb="FF000000"/>
      <sz val="10"/>
      <extLst>
        <ext uri="smNativeData">
          <pm:charSpec xmlns:pm="smNativeData" id="1591683921" ulstyle="none" kern="1">
            <pm:latin face="Verdana" sz="200" lang="default"/>
            <pm:cs face="Basic Roman" sz="200" lang="default"/>
            <pm:ea face="Basic Roman" sz="200" lang="default"/>
          </pm:charSpec>
        </ext>
      </extLst>
    </font>
    <font>
      <name val="Verdana"/>
      <color rgb="FF000000"/>
      <sz val="8.50"/>
      <extLst>
        <ext uri="smNativeData">
          <pm:charSpec xmlns:pm="smNativeData" id="1591683921" ulstyle="none" kern="1">
            <pm:latin face="Verdana" sz="170" lang="default"/>
            <pm:cs face="Basic Roman" sz="170" lang="default"/>
            <pm:ea face="Basic Roman" sz="170" lang="default"/>
          </pm:charSpec>
        </ext>
      </extLst>
    </font>
    <font>
      <name val="Calibri"/>
      <family val="2"/>
      <b/>
      <color rgb="FFFF0000"/>
      <sz val="11"/>
      <extLst>
        <ext uri="smNativeData">
          <pm:charSpec xmlns:pm="smNativeData" id="1591683921" fgClr="FF0000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Verdana"/>
      <b/>
      <color rgb="FFE26B0A"/>
      <sz val="8"/>
      <extLst>
        <ext uri="smNativeData">
          <pm:charSpec xmlns:pm="smNativeData" id="1591683921" fgClr="E26B0A" ulstyle="none" kern="1">
            <pm:latin face="Verdana" sz="160" lang="default" weight="bold"/>
            <pm:cs face="Basic Roman" sz="160" lang="default" weight="bold"/>
            <pm:ea face="Basic Roman" sz="160" lang="default" weight="bold"/>
          </pm:charSpec>
        </ext>
      </extLst>
    </font>
    <font>
      <name val="Calibri"/>
      <family val="2"/>
      <i/>
      <color rgb="FF000000"/>
      <sz val="11"/>
      <extLst>
        <ext uri="smNativeData">
          <pm:charSpec xmlns:pm="smNativeData" id="1591683921" ulstyle="none" kern="1">
            <pm:latin face="Calibri" sz="220" lang="default" i="1"/>
            <pm:cs face="Basic Roman" sz="220" lang="default" i="1"/>
            <pm:ea face="Basic Roman" sz="220" lang="default" i="1"/>
          </pm:charSpec>
        </ext>
      </extLst>
    </font>
    <font>
      <name val="Calibri"/>
      <family val="2"/>
      <color rgb="FFFF0000"/>
      <sz val="11"/>
      <extLst>
        <ext uri="smNativeData">
          <pm:charSpec xmlns:pm="smNativeData" id="1591683921" fgClr="FF0000" ulstyle="none" kern="1">
            <pm:latin face="Calibri" sz="220" lang="default"/>
            <pm:cs face="Basic Roman" sz="220" lang="default"/>
            <pm:ea face="Basic Roman" sz="220" lang="default"/>
          </pm:charSpec>
        </ext>
      </extLst>
    </font>
    <font>
      <name val="Arial"/>
      <family val="2"/>
      <b/>
      <color rgb="FFFFFFFF"/>
      <sz val="11"/>
      <u val="single"/>
      <extLst>
        <ext uri="smNativeData">
          <pm:charSpec xmlns:pm="smNativeData" id="1591683921" fgClr="FFFFFF" ulstyle="single" kern="1">
            <pm:latin face="Arial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Arial"/>
      <family val="2"/>
      <b/>
      <color rgb="FFFFFFFF"/>
      <sz val="10"/>
      <u val="single"/>
      <extLst>
        <ext uri="smNativeData">
          <pm:charSpec xmlns:pm="smNativeData" id="1591683921" fgClr="FFFFFF" ulstyle="single" kern="1">
            <pm:latin face="Arial" sz="200" lang="default" weight="bold"/>
            <pm:cs face="Basic Roman" sz="200" lang="default" weight="bold"/>
            <pm:ea face="Basic Roman" sz="200" lang="default" weight="bold"/>
          </pm:charSpec>
        </ext>
      </extLst>
    </font>
    <font>
      <name val="Arial"/>
      <family val="2"/>
      <b/>
      <color rgb="FFFFFFFF"/>
      <sz val="11"/>
      <extLst>
        <ext uri="smNativeData">
          <pm:charSpec xmlns:pm="smNativeData" id="1591683921" fgClr="FFFFFF" ulstyle="none" kern="1">
            <pm:latin face="Arial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Arial"/>
      <family val="2"/>
      <b/>
      <color rgb="FFFFFFFF"/>
      <sz val="10"/>
      <extLst>
        <ext uri="smNativeData">
          <pm:charSpec xmlns:pm="smNativeData" id="1591683921" fgClr="FFFFFF" ulstyle="none" kern="1">
            <pm:latin face="Arial" sz="200" lang="default" weight="bold"/>
            <pm:cs face="Basic Roman" sz="200" lang="default" weight="bold"/>
            <pm:ea face="Basic Roman" sz="200" lang="default" weight="bold"/>
          </pm:charSpec>
        </ext>
      </extLst>
    </font>
    <font>
      <name val="Arial"/>
      <family val="2"/>
      <b/>
      <i/>
      <color rgb="FF000000"/>
      <sz val="10"/>
      <u val="single"/>
      <extLst>
        <ext uri="smNativeData">
          <pm:charSpec xmlns:pm="smNativeData" id="1591683921" ulstyle="single" kern="1">
            <pm:latin face="Arial" sz="200" lang="default" weight="bold" i="1"/>
            <pm:cs face="Basic Roman" sz="200" lang="default" weight="bold" i="1"/>
            <pm:ea face="Basic Roman" sz="200" lang="default" weight="bold" i="1"/>
          </pm:charSpec>
        </ext>
      </extLst>
    </font>
    <font>
      <name val="Arial"/>
      <family val="2"/>
      <color rgb="FF000000"/>
      <sz val="11"/>
      <extLst>
        <ext uri="smNativeData">
          <pm:charSpec xmlns:pm="smNativeData" id="1591683921" ulstyle="none" kern="1">
            <pm:latin face="Arial" sz="220" lang="default"/>
            <pm:cs face="Basic Roman" sz="220" lang="default"/>
            <pm:ea face="Basic Roman" sz="220" lang="default"/>
          </pm:charSpec>
        </ext>
      </extLst>
    </font>
    <font>
      <name val="Arial"/>
      <family val="2"/>
      <b/>
      <color rgb="FF000000"/>
      <sz val="11"/>
      <extLst>
        <ext uri="smNativeData">
          <pm:charSpec xmlns:pm="smNativeData" id="1591683921" ulstyle="none" kern="1">
            <pm:latin face="Arial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Arial"/>
      <family val="2"/>
      <b/>
      <i/>
      <color rgb="FF000000"/>
      <sz val="11"/>
      <extLst>
        <ext uri="smNativeData">
          <pm:charSpec xmlns:pm="smNativeData" id="1591683921" ulstyle="none" kern="1">
            <pm:latin face="Arial" sz="220" lang="default" weight="bold" i="1"/>
            <pm:cs face="Basic Roman" sz="220" lang="default" weight="bold" i="1"/>
            <pm:ea face="Basic Roman" sz="220" lang="default" weight="bold" i="1"/>
          </pm:charSpec>
        </ext>
      </extLst>
    </font>
    <font>
      <name val="Arial"/>
      <family val="2"/>
      <b/>
      <i/>
      <color rgb="FF000000"/>
      <sz val="11"/>
      <u val="single"/>
      <extLst>
        <ext uri="smNativeData">
          <pm:charSpec xmlns:pm="smNativeData" id="1591683921" ulstyle="single" kern="1">
            <pm:latin face="Arial" sz="220" lang="default" weight="bold" i="1"/>
            <pm:cs face="Basic Roman" sz="220" lang="default" weight="bold" i="1"/>
            <pm:ea face="Basic Roman" sz="220" lang="default" weight="bold" i="1"/>
          </pm:charSpec>
        </ext>
      </extLst>
    </font>
    <font>
      <name val="Arial"/>
      <family val="2"/>
      <color rgb="FFFF0000"/>
      <sz val="11"/>
      <extLst>
        <ext uri="smNativeData">
          <pm:charSpec xmlns:pm="smNativeData" id="1591683921" fgClr="FF0000" ulstyle="none" kern="1">
            <pm:latin face="Arial" sz="220" lang="default"/>
            <pm:cs face="Basic Roman" sz="220" lang="default"/>
            <pm:ea face="Basic Roman" sz="220" lang="default"/>
          </pm:charSpec>
        </ext>
      </extLst>
    </font>
    <font>
      <name val="Arial"/>
      <family val="2"/>
      <color rgb="FF000000"/>
      <sz val="10"/>
      <extLst>
        <ext uri="smNativeData">
          <pm:charSpec xmlns:pm="smNativeData" id="1591683921" ulstyle="none" kern="1">
            <pm:latin face="Arial" sz="200" lang="default"/>
            <pm:cs face="Basic Roman" sz="200" lang="default"/>
            <pm:ea face="Basic Roman" sz="200" lang="default"/>
          </pm:charSpec>
        </ext>
      </extLst>
    </font>
    <font>
      <name val="Arial"/>
      <family val="2"/>
      <b/>
      <color rgb="FF000000"/>
      <sz val="10"/>
      <extLst>
        <ext uri="smNativeData">
          <pm:charSpec xmlns:pm="smNativeData" id="1591683921" ulstyle="none" kern="1">
            <pm:latin face="Arial" sz="200" lang="default" weight="bold"/>
            <pm:cs face="Basic Roman" sz="200" lang="default" weight="bold"/>
            <pm:ea face="Basic Roman" sz="200" lang="default" weight="bold"/>
          </pm:charSpec>
        </ext>
      </extLst>
    </font>
    <font>
      <name val="Arial"/>
      <family val="2"/>
      <color rgb="FF000000"/>
      <sz val="7.50"/>
      <extLst>
        <ext uri="smNativeData">
          <pm:charSpec xmlns:pm="smNativeData" id="1591683921" ulstyle="none" kern="1">
            <pm:latin face="Arial" sz="150" lang="default"/>
            <pm:cs face="Basic Roman" sz="150" lang="default"/>
            <pm:ea face="Basic Roman" sz="150" lang="default"/>
          </pm:charSpec>
        </ext>
      </extLst>
    </font>
    <font>
      <name val="Arial"/>
      <family val="2"/>
      <i/>
      <color rgb="FF000000"/>
      <sz val="8"/>
      <extLst>
        <ext uri="smNativeData">
          <pm:charSpec xmlns:pm="smNativeData" id="1591683921" ulstyle="none" kern="1">
            <pm:latin face="Arial" sz="160" lang="default" i="1"/>
            <pm:cs face="Basic Roman" sz="160" lang="default" i="1"/>
            <pm:ea face="Basic Roman" sz="160" lang="default" i="1"/>
          </pm:charSpec>
        </ext>
      </extLst>
    </font>
    <font>
      <name val="Calibri"/>
      <family val="2"/>
      <b/>
      <color rgb="FFFFFFFF"/>
      <sz val="11"/>
      <u val="single"/>
      <extLst>
        <ext uri="smNativeData">
          <pm:charSpec xmlns:pm="smNativeData" id="1591683921" fgClr="FFFFFF" ulstyle="singl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b/>
      <i/>
      <color rgb="FFFF0000"/>
      <sz val="11"/>
      <u val="single"/>
      <extLst>
        <ext uri="smNativeData">
          <pm:charSpec xmlns:pm="smNativeData" id="1591683921" fgClr="FF0000" ulstyle="single" kern="1">
            <pm:latin face="Calibri" sz="220" lang="default" weight="bold" i="1"/>
            <pm:cs face="Basic Roman" sz="220" lang="default" weight="bold" i="1"/>
            <pm:ea face="Basic Roman" sz="220" lang="default" weight="bold" i="1"/>
          </pm:charSpec>
        </ext>
      </extLst>
    </font>
    <font>
      <name val="Arial"/>
      <family val="2"/>
      <b/>
      <i/>
      <color rgb="FFFF0000"/>
      <sz val="11"/>
      <u val="single"/>
      <extLst>
        <ext uri="smNativeData">
          <pm:charSpec xmlns:pm="smNativeData" id="1591683921" fgClr="FF0000" ulstyle="single" kern="1">
            <pm:latin face="Arial" sz="220" lang="default" weight="bold" i="1"/>
            <pm:cs face="Basic Roman" sz="220" lang="default" weight="bold" i="1"/>
            <pm:ea face="Basic Roman" sz="220" lang="default" weight="bold" i="1"/>
          </pm:charSpec>
        </ext>
      </extLst>
    </font>
    <font>
      <name val="Arial"/>
      <family val="2"/>
      <b/>
      <color rgb="FFFF0000"/>
      <sz val="11"/>
      <extLst>
        <ext uri="smNativeData">
          <pm:charSpec xmlns:pm="smNativeData" id="1591683921" fgClr="FF0000" ulstyle="none" kern="1">
            <pm:latin face="Arial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b/>
      <color rgb="FF000000"/>
      <sz val="16"/>
      <extLst>
        <ext uri="smNativeData">
          <pm:charSpec xmlns:pm="smNativeData" id="1591683921" ulstyle="none" kern="1">
            <pm:latin face="Calibri" sz="320" lang="default" weight="bold"/>
            <pm:cs face="Basic Roman" sz="320" lang="default" weight="bold"/>
            <pm:ea face="Basic Roman" sz="320" lang="default" weight="bold"/>
          </pm:charSpec>
        </ext>
      </extLst>
    </font>
    <font>
      <name val="Calibri"/>
      <family val="2"/>
      <b/>
      <color rgb="FFFFFFFF"/>
      <sz val="14"/>
      <extLst>
        <ext uri="smNativeData">
          <pm:charSpec xmlns:pm="smNativeData" id="1591683921" fgClr="FFFFFF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b/>
      <color rgb="FF00B050"/>
      <sz val="14"/>
      <extLst>
        <ext uri="smNativeData">
          <pm:charSpec xmlns:pm="smNativeData" id="1591683921" fgClr="00B050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color rgb="FF00B050"/>
      <sz val="11"/>
      <extLst>
        <ext uri="smNativeData">
          <pm:charSpec xmlns:pm="smNativeData" id="1591683921" fgClr="00B050" ulstyle="none" kern="1">
            <pm:latin face="Calibri" sz="220" lang="default"/>
            <pm:cs face="Basic Roman" sz="220" lang="default"/>
            <pm:ea face="Basic Roman" sz="220" lang="default"/>
          </pm:charSpec>
        </ext>
      </extLst>
    </font>
    <font>
      <name val="Calibri"/>
      <family val="2"/>
      <b/>
      <color rgb="FF535353"/>
      <sz val="14"/>
      <extLst>
        <ext uri="smNativeData">
          <pm:charSpec xmlns:pm="smNativeData" id="1591683921" fgClr="535353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b/>
      <color rgb="FF000000"/>
      <sz val="12"/>
      <extLst>
        <ext uri="smNativeData">
          <pm:charSpec xmlns:pm="smNativeData" id="1591683921" ulstyle="none" kern="1">
            <pm:latin face="Calibri" sz="240" lang="default" weight="bold"/>
            <pm:cs face="Basic Roman" sz="240" lang="default" weight="bold"/>
            <pm:ea face="Basic Roman" sz="240" lang="default" weight="bold"/>
          </pm:charSpec>
        </ext>
      </extLst>
    </font>
    <font>
      <name val="Calibri"/>
      <family val="2"/>
      <b/>
      <color rgb="FF548235"/>
      <sz val="11"/>
      <extLst>
        <ext uri="smNativeData">
          <pm:charSpec xmlns:pm="smNativeData" id="1591683921" fgClr="548235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b/>
      <color rgb="FF385724"/>
      <sz val="11"/>
      <extLst>
        <ext uri="smNativeData">
          <pm:charSpec xmlns:pm="smNativeData" id="1591683921" fgClr="385724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Arial"/>
      <family val="2"/>
      <i/>
      <color rgb="FF000000"/>
      <sz val="11"/>
      <extLst>
        <ext uri="smNativeData">
          <pm:charSpec xmlns:pm="smNativeData" id="1591683921" ulstyle="none" kern="1">
            <pm:latin face="Arial" sz="220" lang="default" i="1"/>
            <pm:cs face="Basic Roman" sz="220" lang="default" i="1"/>
            <pm:ea face="Basic Roman" sz="220" lang="default" i="1"/>
          </pm:charSpec>
        </ext>
      </extLst>
    </font>
    <font>
      <name val="Calibri"/>
      <family val="2"/>
      <b/>
      <color rgb="FFFFFFFF"/>
      <sz val="7.50"/>
      <extLst>
        <ext uri="smNativeData">
          <pm:charSpec xmlns:pm="smNativeData" id="1591683921" fgClr="FFFFFF" ulstyle="none" kern="1">
            <pm:latin face="Calibri" sz="150" lang="default" weight="bold"/>
            <pm:cs face="Basic Roman" sz="150" lang="default" weight="bold"/>
            <pm:ea face="Basic Roman" sz="150" lang="default" weight="bold"/>
          </pm:charSpec>
        </ext>
      </extLst>
    </font>
    <font>
      <name val="Calibri"/>
      <family val="2"/>
      <b/>
      <color rgb="FF000000"/>
      <sz val="7.50"/>
      <extLst>
        <ext uri="smNativeData">
          <pm:charSpec xmlns:pm="smNativeData" id="1591683921" ulstyle="none" kern="1">
            <pm:latin face="Calibri" sz="150" lang="default" weight="bold"/>
            <pm:cs face="Basic Roman" sz="150" lang="default" weight="bold"/>
            <pm:ea face="Basic Roman" sz="150" lang="default" weight="bold"/>
          </pm:charSpec>
        </ext>
      </extLst>
    </font>
    <font>
      <name val="Calibri"/>
      <family val="2"/>
      <color rgb="FF000000"/>
      <sz val="7.50"/>
      <extLst>
        <ext uri="smNativeData">
          <pm:charSpec xmlns:pm="smNativeData" id="1591683921" ulstyle="none" kern="1">
            <pm:latin face="Calibri" sz="150" lang="default"/>
            <pm:cs face="Basic Roman" sz="150" lang="default"/>
            <pm:ea face="Basic Roman" sz="150" lang="default"/>
          </pm:charSpec>
        </ext>
      </extLst>
    </font>
    <font>
      <name val="Calibri"/>
      <family val="2"/>
      <b/>
      <color rgb="FF000000"/>
      <sz val="11"/>
      <u val="single"/>
      <extLst>
        <ext uri="smNativeData">
          <pm:charSpec xmlns:pm="smNativeData" id="1591683921" ulstyle="singl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b/>
      <color rgb="FF000000"/>
      <sz val="9"/>
      <extLst>
        <ext uri="smNativeData">
          <pm:charSpec xmlns:pm="smNativeData" id="1591683921" ulstyle="none" kern="1">
            <pm:latin face="Calibri" sz="180" lang="default" weight="bold"/>
            <pm:cs face="Basic Roman" sz="180" lang="default" weight="bold"/>
            <pm:ea face="Basic Roman" sz="180" lang="default" weight="bold"/>
          </pm:charSpec>
        </ext>
      </extLst>
    </font>
    <font>
      <name val="Verdana"/>
      <b/>
      <color rgb="FFFFFFFF"/>
      <sz val="9"/>
      <extLst>
        <ext uri="smNativeData">
          <pm:charSpec xmlns:pm="smNativeData" id="1591683921" fgClr="FFFFFF" ulstyle="none" kern="1">
            <pm:latin face="Verdana" sz="180" lang="default" weight="bold"/>
            <pm:cs face="Basic Roman" sz="180" lang="default" weight="bold"/>
            <pm:ea face="Basic Roman" sz="180" lang="default" weight="bold"/>
          </pm:charSpec>
        </ext>
      </extLst>
    </font>
  </fonts>
  <fills count="163">
    <fill>
      <patternFill patternType="none"/>
    </fill>
    <fill>
      <patternFill patternType="gray125"/>
    </fill>
    <fill>
      <patternFill patternType="solid">
        <fgColor rgb="FFFFFFFF"/>
        <bgColor rgb="FFFFFFFF"/>
        <extLst>
          <ext uri="smNativeData">
            <pm:shade xmlns:pm="smNativeData" id="1591683921" type="1" fgLvl="100" fgClr="00FFFFFF" bgLvl="0" bgClr="00000000"/>
          </ext>
        </extLst>
      </patternFill>
    </fill>
    <fill>
      <patternFill patternType="solid">
        <fgColor rgb="FFEEEEEE"/>
        <bgColor rgb="FFFFFFFF"/>
        <extLst>
          <ext uri="smNativeData">
            <pm:shade xmlns:pm="smNativeData" id="1591683921" type="1" fgLvl="100" fgClr="00EEEEEE" bgLvl="0" bgClr="00000000"/>
          </ext>
        </extLst>
      </patternFill>
    </fill>
    <fill>
      <patternFill patternType="none"/>
    </fill>
    <fill>
      <patternFill patternType="solid">
        <fgColor rgb="FFDAEEF3"/>
        <bgColor rgb="FFFFFFFF"/>
        <extLst>
          <ext uri="smNativeData">
            <pm:shade xmlns:pm="smNativeData" id="1591683921" type="1" fgLvl="100" fgClr="00DAEEF3" bgLvl="0" bgClr="00000000"/>
          </ext>
        </extLst>
      </patternFill>
    </fill>
    <fill>
      <patternFill patternType="solid">
        <fgColor rgb="FF366092"/>
        <bgColor rgb="FFFFFFFF"/>
        <extLst>
          <ext uri="smNativeData">
            <pm:shade xmlns:pm="smNativeData" id="1591683921" type="1" fgLvl="100" fgClr="00366092" bgLvl="0" bgClr="00000000"/>
          </ext>
        </extLst>
      </patternFill>
    </fill>
    <fill>
      <patternFill patternType="solid">
        <fgColor rgb="FFB7DEE8"/>
        <bgColor rgb="FFFFFFFF"/>
        <extLst>
          <ext uri="smNativeData">
            <pm:shade xmlns:pm="smNativeData" id="1591683921" type="1" fgLvl="100" fgClr="00B7DEE8" bgLvl="0" bgClr="00000000"/>
          </ext>
        </extLst>
      </patternFill>
    </fill>
    <fill>
      <patternFill patternType="solid">
        <fgColor rgb="FFFABF8F"/>
        <bgColor rgb="FFFFFFFF"/>
        <extLst>
          <ext uri="smNativeData">
            <pm:shade xmlns:pm="smNativeData" id="1591683921" type="1" fgLvl="100" fgClr="00FABF8F" bgLvl="0" bgClr="00000000"/>
          </ext>
        </extLst>
      </patternFill>
    </fill>
    <fill>
      <patternFill patternType="solid">
        <fgColor rgb="FF366092"/>
        <bgColor rgb="FFFFFFFF"/>
        <extLst>
          <ext uri="smNativeData">
            <pm:shade xmlns:pm="smNativeData" id="1591683921" type="1" fgLvl="100" fgClr="00366092" bgLvl="0" bgClr="00000000"/>
          </ext>
        </extLst>
      </patternFill>
    </fill>
    <fill>
      <patternFill patternType="solid">
        <fgColor rgb="FFFFC000"/>
        <bgColor rgb="FFFFFFFF"/>
        <extLst>
          <ext uri="smNativeData">
            <pm:shade xmlns:pm="smNativeData" id="1591683921" type="1" fgLvl="100" fgClr="00FFC000" bgLvl="0" bgClr="00000000"/>
          </ext>
        </extLst>
      </patternFill>
    </fill>
    <fill>
      <patternFill patternType="solid">
        <fgColor rgb="FF0070C0"/>
        <bgColor rgb="FFFFFFFF"/>
        <extLst>
          <ext uri="smNativeData">
            <pm:shade xmlns:pm="smNativeData" id="1591683921" type="1" fgLvl="100" fgClr="000070C0" bgLvl="0" bgClr="00000000"/>
          </ext>
        </extLst>
      </patternFill>
    </fill>
    <fill>
      <patternFill patternType="solid">
        <fgColor rgb="FF002060"/>
        <bgColor rgb="FFFFFFFF"/>
        <extLst>
          <ext uri="smNativeData">
            <pm:shade xmlns:pm="smNativeData" id="1591683921" type="1" fgLvl="100" fgClr="00002060" bgLvl="0" bgClr="00000000"/>
          </ext>
        </extLst>
      </patternFill>
    </fill>
    <fill>
      <patternFill patternType="solid">
        <fgColor rgb="FF7030A0"/>
        <bgColor rgb="FFFFFFFF"/>
        <extLst>
          <ext uri="smNativeData">
            <pm:shade xmlns:pm="smNativeData" id="1591683921" type="1" fgLvl="100" fgClr="007030A0" bgLvl="0" bgClr="00000000"/>
          </ext>
        </extLst>
      </patternFill>
    </fill>
    <fill>
      <patternFill patternType="solid">
        <fgColor rgb="FF00B050"/>
        <bgColor rgb="FFFFFFFF"/>
        <extLst>
          <ext uri="smNativeData">
            <pm:shade xmlns:pm="smNativeData" id="1591683921" type="1" fgLvl="100" fgClr="0000B050" bgLvl="0" bgClr="00000000"/>
          </ext>
        </extLst>
      </patternFill>
    </fill>
    <fill>
      <patternFill patternType="solid">
        <fgColor rgb="FFE26B0A"/>
        <bgColor rgb="FFFFFFFF"/>
        <extLst>
          <ext uri="smNativeData">
            <pm:shade xmlns:pm="smNativeData" id="1591683921" type="1" fgLvl="100" fgClr="00E26B0A" bgLvl="0" bgClr="00000000"/>
          </ext>
        </extLst>
      </patternFill>
    </fill>
    <fill>
      <patternFill patternType="solid">
        <fgColor rgb="FF76933C"/>
        <bgColor rgb="FFFFFFFF"/>
        <extLst>
          <ext uri="smNativeData">
            <pm:shade xmlns:pm="smNativeData" id="1591683921" type="1" fgLvl="100" fgClr="0076933C" bgLvl="0" bgClr="00000000"/>
          </ext>
        </extLst>
      </patternFill>
    </fill>
    <fill>
      <patternFill patternType="solid">
        <fgColor rgb="FFD8D8D8"/>
        <bgColor rgb="FFFFFFFF"/>
        <extLst>
          <ext uri="smNativeData">
            <pm:shade xmlns:pm="smNativeData" id="1591683921" type="1" fgLvl="100" fgClr="00D8D8D8" bgLvl="0" bgClr="00000000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1683921" type="1" fgLvl="100" fgClr="00FFFF00" bgLvl="0" bgClr="00000000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1683921" type="1" fgLvl="100" fgClr="00FFFF00" bgLvl="0" bgClr="00000000"/>
          </ext>
        </extLst>
      </patternFill>
    </fill>
    <fill>
      <patternFill patternType="solid">
        <fgColor rgb="FFE26B0A"/>
        <bgColor rgb="FFFFFFFF"/>
        <extLst>
          <ext uri="smNativeData">
            <pm:shade xmlns:pm="smNativeData" id="1591683921" type="1" fgLvl="100" fgClr="00E26B0A" bgLvl="0" bgClr="00000000"/>
          </ext>
        </extLst>
      </patternFill>
    </fill>
    <fill>
      <patternFill patternType="solid">
        <fgColor rgb="FF963634"/>
        <bgColor rgb="FFFFFFFF"/>
        <extLst>
          <ext uri="smNativeData">
            <pm:shade xmlns:pm="smNativeData" id="1591683921" type="1" fgLvl="100" fgClr="00963634" bgLvl="0" bgClr="00000000"/>
          </ext>
        </extLst>
      </patternFill>
    </fill>
    <fill>
      <patternFill patternType="solid">
        <fgColor rgb="FFF2F2F2"/>
        <bgColor rgb="FFFFFFFF"/>
        <extLst>
          <ext uri="smNativeData">
            <pm:shade xmlns:pm="smNativeData" id="1591683921" type="1" fgLvl="100" fgClr="00F2F2F2" bgLvl="0" bgClr="00000000"/>
          </ext>
        </extLst>
      </patternFill>
    </fill>
    <fill>
      <patternFill patternType="solid">
        <fgColor rgb="FFFFFFDD"/>
        <bgColor rgb="FFFFFFFF"/>
        <extLst>
          <ext uri="smNativeData">
            <pm:shade xmlns:pm="smNativeData" id="1591683921" type="1" fgLvl="100" fgClr="00FFFFDD" bgLvl="0" bgClr="00FFFF00"/>
          </ext>
        </extLst>
      </patternFill>
    </fill>
    <fill>
      <patternFill patternType="solid">
        <fgColor rgb="FFD8D8D8"/>
        <bgColor rgb="FFFFFFFF"/>
        <extLst>
          <ext uri="smNativeData">
            <pm:shade xmlns:pm="smNativeData" id="1591683921" type="1" fgLvl="100" fgClr="00D8D8D8" bgLvl="0" bgClr="00000000"/>
          </ext>
        </extLst>
      </patternFill>
    </fill>
    <fill>
      <patternFill patternType="solid">
        <fgColor rgb="FFC2D69A"/>
        <bgColor rgb="FFFFFFFF"/>
        <extLst>
          <ext uri="smNativeData">
            <pm:shade xmlns:pm="smNativeData" id="1591683921" type="1" fgLvl="100" fgClr="00C2D69A" bgLvl="0" bgClr="00000000"/>
          </ext>
        </extLst>
      </patternFill>
    </fill>
    <fill>
      <patternFill patternType="solid">
        <fgColor rgb="FFB8CCE4"/>
        <bgColor rgb="FFFFFFFF"/>
        <extLst>
          <ext uri="smNativeData">
            <pm:shade xmlns:pm="smNativeData" id="1591683921" type="1" fgLvl="100" fgClr="00B8CCE4" bgLvl="0" bgClr="00000000"/>
          </ext>
        </extLst>
      </patternFill>
    </fill>
    <fill>
      <patternFill patternType="solid">
        <fgColor rgb="FFFFFFDD"/>
        <bgColor rgb="FFFFFFFF"/>
        <extLst>
          <ext uri="smNativeData">
            <pm:shade xmlns:pm="smNativeData" id="1591683921" type="1" fgLvl="100" fgClr="00FFFFDD" bgLvl="0" bgClr="00FFFF00"/>
          </ext>
        </extLst>
      </patternFill>
    </fill>
    <fill>
      <patternFill patternType="solid">
        <fgColor rgb="FFEBF1DC"/>
        <bgColor rgb="FFFFFFFF"/>
        <extLst>
          <ext uri="smNativeData">
            <pm:shade xmlns:pm="smNativeData" id="1591683921" type="1" fgLvl="100" fgClr="00EBF1DC" bgLvl="0" bgClr="00000000"/>
          </ext>
        </extLst>
      </patternFill>
    </fill>
    <fill>
      <patternFill patternType="solid">
        <fgColor rgb="FF00B050"/>
        <bgColor rgb="FFFFFFFF"/>
        <extLst>
          <ext uri="smNativeData">
            <pm:shade xmlns:pm="smNativeData" id="1591683921" type="1" fgLvl="100" fgClr="0000B050" bgLvl="0" bgClr="00000000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1683921" type="1" fgLvl="100" fgClr="00FFFF00" bgLvl="0" bgClr="00000000"/>
          </ext>
        </extLst>
      </patternFill>
    </fill>
    <fill>
      <patternFill patternType="solid">
        <fgColor rgb="FFFDE9D9"/>
        <bgColor rgb="FFFFFFFF"/>
        <extLst>
          <ext uri="smNativeData">
            <pm:shade xmlns:pm="smNativeData" id="1591683921" type="1" fgLvl="100" fgClr="00FDE9D9" bgLvl="0" bgClr="00000000"/>
          </ext>
        </extLst>
      </patternFill>
    </fill>
    <fill>
      <patternFill patternType="solid">
        <fgColor rgb="FFE26B0A"/>
        <bgColor rgb="FFFFFFFF"/>
        <extLst>
          <ext uri="smNativeData">
            <pm:shade xmlns:pm="smNativeData" id="1591683921" type="1" fgLvl="100" fgClr="00E26B0A" bgLvl="0" bgClr="00000000"/>
          </ext>
        </extLst>
      </patternFill>
    </fill>
    <fill>
      <patternFill patternType="solid">
        <fgColor rgb="FF60497A"/>
        <bgColor rgb="FFFFFFFF"/>
        <extLst>
          <ext uri="smNativeData">
            <pm:shade xmlns:pm="smNativeData" id="1591683921" type="1" fgLvl="100" fgClr="0060497A" bgLvl="0" bgClr="00000000"/>
          </ext>
        </extLst>
      </patternFill>
    </fill>
    <fill>
      <patternFill patternType="solid">
        <fgColor rgb="FFB1A0C7"/>
        <bgColor rgb="FFFFFFFF"/>
        <extLst>
          <ext uri="smNativeData">
            <pm:shade xmlns:pm="smNativeData" id="1591683921" type="1" fgLvl="100" fgClr="00B1A0C7" bgLvl="0" bgClr="00000000"/>
          </ext>
        </extLst>
      </patternFill>
    </fill>
    <fill>
      <patternFill patternType="solid">
        <fgColor rgb="FFDAEEF3"/>
        <bgColor rgb="FFFFFFFF"/>
        <extLst>
          <ext uri="smNativeData">
            <pm:shade xmlns:pm="smNativeData" id="1591683921" type="1" fgLvl="100" fgClr="00DAEEF3" bgLvl="0" bgClr="00000000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1683921" type="1" fgLvl="100" fgClr="00FFFF00" bgLvl="0" bgClr="00969696"/>
          </ext>
        </extLst>
      </patternFill>
    </fill>
    <fill>
      <patternFill patternType="solid">
        <fgColor rgb="FF99CC00"/>
        <bgColor rgb="FFFFFFFF"/>
        <extLst>
          <ext uri="smNativeData">
            <pm:shade xmlns:pm="smNativeData" id="1591683921" type="1" fgLvl="100" fgClr="0099CC00" bgLvl="0" bgClr="00969696"/>
          </ext>
        </extLst>
      </patternFill>
    </fill>
    <fill>
      <patternFill patternType="solid">
        <fgColor rgb="FF00B050"/>
        <bgColor rgb="FFFFFFFF"/>
        <extLst>
          <ext uri="smNativeData">
            <pm:shade xmlns:pm="smNativeData" id="1591683921" type="1" fgLvl="100" fgClr="0000B050" bgLvl="0" bgClr="00FF99CC"/>
          </ext>
        </extLst>
      </patternFill>
    </fill>
    <fill>
      <patternFill patternType="solid">
        <fgColor rgb="FF00B050"/>
        <bgColor rgb="FFFFFFFF"/>
        <extLst>
          <ext uri="smNativeData">
            <pm:shade xmlns:pm="smNativeData" id="1591683921" type="1" fgLvl="100" fgClr="0000B050" bgLvl="0" bgClr="00CC99FF"/>
          </ext>
        </extLst>
      </patternFill>
    </fill>
    <fill>
      <patternFill patternType="solid">
        <fgColor rgb="FF00B050"/>
        <bgColor rgb="FFFFFFFF"/>
        <extLst>
          <ext uri="smNativeData">
            <pm:shade xmlns:pm="smNativeData" id="1591683921" type="1" fgLvl="100" fgClr="0000B050" bgLvl="0" bgClr="00CCFFFF"/>
          </ext>
        </extLst>
      </patternFill>
    </fill>
    <fill>
      <patternFill patternType="solid">
        <fgColor rgb="FFC2D69A"/>
        <bgColor rgb="FFFFFFFF"/>
        <extLst>
          <ext uri="smNativeData">
            <pm:shade xmlns:pm="smNativeData" id="1591683921" type="1" fgLvl="100" fgClr="00C2D69A" bgLvl="0" bgClr="00000000"/>
          </ext>
        </extLst>
      </patternFill>
    </fill>
    <fill>
      <patternFill patternType="solid">
        <fgColor rgb="FFC5D9F1"/>
        <bgColor rgb="FFFFFFFF"/>
        <extLst>
          <ext uri="smNativeData">
            <pm:shade xmlns:pm="smNativeData" id="1591683921" type="1" fgLvl="100" fgClr="00C5D9F1" bgLvl="0" bgClr="00969696"/>
          </ext>
        </extLst>
      </patternFill>
    </fill>
    <fill>
      <patternFill patternType="solid">
        <fgColor rgb="FF963634"/>
        <bgColor rgb="FFFFFFFF"/>
        <extLst>
          <ext uri="smNativeData">
            <pm:shade xmlns:pm="smNativeData" id="1591683921" type="1" fgLvl="100" fgClr="00963634" bgLvl="0" bgClr="00000000"/>
          </ext>
        </extLst>
      </patternFill>
    </fill>
    <fill>
      <patternFill patternType="solid">
        <fgColor rgb="FF963634"/>
        <bgColor rgb="FFFFFFFF"/>
        <extLst>
          <ext uri="smNativeData">
            <pm:shade xmlns:pm="smNativeData" id="1591683921" type="1" fgLvl="100" fgClr="00963634" bgLvl="0" bgClr="00FF99CC"/>
          </ext>
        </extLst>
      </patternFill>
    </fill>
    <fill>
      <patternFill patternType="solid">
        <fgColor rgb="FF963634"/>
        <bgColor rgb="FFFFFFFF"/>
        <extLst>
          <ext uri="smNativeData">
            <pm:shade xmlns:pm="smNativeData" id="1591683921" type="1" fgLvl="100" fgClr="00963634" bgLvl="0" bgClr="00CC99FF"/>
          </ext>
        </extLst>
      </patternFill>
    </fill>
    <fill>
      <patternFill patternType="solid">
        <fgColor rgb="FF963634"/>
        <bgColor rgb="FFFFFFFF"/>
        <extLst>
          <ext uri="smNativeData">
            <pm:shade xmlns:pm="smNativeData" id="1591683921" type="1" fgLvl="100" fgClr="00963634" bgLvl="0" bgClr="00CCFFFF"/>
          </ext>
        </extLst>
      </patternFill>
    </fill>
    <fill>
      <patternFill patternType="solid">
        <fgColor rgb="FFDA9694"/>
        <bgColor rgb="FFFFFFFF"/>
        <extLst>
          <ext uri="smNativeData">
            <pm:shade xmlns:pm="smNativeData" id="1591683921" type="1" fgLvl="100" fgClr="00DA9694" bgLvl="0" bgClr="00000000"/>
          </ext>
        </extLst>
      </patternFill>
    </fill>
    <fill>
      <patternFill patternType="solid">
        <fgColor rgb="FF000000"/>
        <bgColor rgb="FFFFFFFF"/>
        <extLst>
          <ext uri="smNativeData">
            <pm:shade xmlns:pm="smNativeData" id="1591683921" type="1" fgLvl="100" fgClr="00000000" bgLvl="0" bgClr="00FF99CC"/>
          </ext>
        </extLst>
      </patternFill>
    </fill>
    <fill>
      <patternFill patternType="solid">
        <fgColor rgb="FF000000"/>
        <bgColor rgb="FFFFFFFF"/>
        <extLst>
          <ext uri="smNativeData">
            <pm:shade xmlns:pm="smNativeData" id="1591683921" type="1" fgLvl="100" fgClr="00000000" bgLvl="0" bgClr="00CC99FF"/>
          </ext>
        </extLst>
      </patternFill>
    </fill>
    <fill>
      <patternFill patternType="solid">
        <fgColor rgb="FF000000"/>
        <bgColor rgb="FFFFFFFF"/>
        <extLst>
          <ext uri="smNativeData">
            <pm:shade xmlns:pm="smNativeData" id="1591683921" type="1" fgLvl="100" fgClr="00000000" bgLvl="0" bgClr="00CCFFFF"/>
          </ext>
        </extLst>
      </patternFill>
    </fill>
    <fill>
      <patternFill patternType="solid">
        <fgColor rgb="FF000000"/>
        <bgColor rgb="FFFFFFFF"/>
        <extLst>
          <ext uri="smNativeData">
            <pm:shade xmlns:pm="smNativeData" id="1591683921" type="1" fgLvl="100" fgClr="00000000" bgLvl="0" bgClr="00000000"/>
          </ext>
        </extLst>
      </patternFill>
    </fill>
    <fill>
      <patternFill patternType="solid">
        <fgColor rgb="FF585858"/>
        <bgColor rgb="FFFFFFFF"/>
        <extLst>
          <ext uri="smNativeData">
            <pm:shade xmlns:pm="smNativeData" id="1591683921" type="1" fgLvl="100" fgClr="00585858" bgLvl="0" bgClr="00000000"/>
          </ext>
        </extLst>
      </patternFill>
    </fill>
    <fill>
      <patternFill patternType="solid">
        <fgColor rgb="FF3E3E3E"/>
        <bgColor rgb="FFFFFFFF"/>
        <extLst>
          <ext uri="smNativeData">
            <pm:shade xmlns:pm="smNativeData" id="1591683921" type="1" fgLvl="100" fgClr="003E3E3E" bgLvl="0" bgClr="00000000"/>
          </ext>
        </extLst>
      </patternFill>
    </fill>
    <fill>
      <patternFill patternType="solid">
        <fgColor rgb="FF60497A"/>
        <bgColor rgb="FFFFFFFF"/>
        <extLst>
          <ext uri="smNativeData">
            <pm:shade xmlns:pm="smNativeData" id="1591683921" type="1" fgLvl="100" fgClr="0060497A" bgLvl="0" bgClr="00000000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1683921" type="1" fgLvl="100" fgClr="00FFFF00" bgLvl="0" bgClr="00969696"/>
          </ext>
        </extLst>
      </patternFill>
    </fill>
    <fill>
      <patternFill patternType="solid">
        <fgColor rgb="FF99CC00"/>
        <bgColor rgb="FFFFFFFF"/>
        <extLst>
          <ext uri="smNativeData">
            <pm:shade xmlns:pm="smNativeData" id="1591683921" type="1" fgLvl="100" fgClr="0099CC00" bgLvl="0" bgClr="00969696"/>
          </ext>
        </extLst>
      </patternFill>
    </fill>
    <fill>
      <patternFill patternType="solid">
        <fgColor rgb="FFC5D9F1"/>
        <bgColor rgb="FFFFFFFF"/>
        <extLst>
          <ext uri="smNativeData">
            <pm:shade xmlns:pm="smNativeData" id="1591683921" type="1" fgLvl="100" fgClr="00C5D9F1" bgLvl="0" bgClr="00969696"/>
          </ext>
        </extLst>
      </patternFill>
    </fill>
    <fill>
      <patternFill patternType="solid">
        <fgColor rgb="FF60497A"/>
        <bgColor rgb="FFFFFFFF"/>
        <extLst>
          <ext uri="smNativeData">
            <pm:shade xmlns:pm="smNativeData" id="1591683921" type="1" fgLvl="100" fgClr="0060497A" bgLvl="0" bgClr="00000000"/>
          </ext>
        </extLst>
      </patternFill>
    </fill>
    <fill>
      <patternFill patternType="solid">
        <fgColor rgb="FF60497A"/>
        <bgColor rgb="FFFFFFFF"/>
        <extLst>
          <ext uri="smNativeData">
            <pm:shade xmlns:pm="smNativeData" id="1591683921" type="1" fgLvl="100" fgClr="0060497A" bgLvl="0" bgClr="00000000"/>
          </ext>
        </extLst>
      </patternFill>
    </fill>
    <fill>
      <patternFill patternType="solid">
        <fgColor rgb="FF60497A"/>
        <bgColor rgb="FFFFFFFF"/>
        <extLst>
          <ext uri="smNativeData">
            <pm:shade xmlns:pm="smNativeData" id="1591683921" type="1" fgLvl="100" fgClr="0060497A" bgLvl="0" bgClr="00000000"/>
          </ext>
        </extLst>
      </patternFill>
    </fill>
    <fill>
      <patternFill patternType="none"/>
    </fill>
    <fill>
      <patternFill patternType="solid">
        <fgColor rgb="FF60497A"/>
        <bgColor rgb="FFFFFFFF"/>
        <extLst>
          <ext uri="smNativeData">
            <pm:shade xmlns:pm="smNativeData" id="1591683921" type="1" fgLvl="100" fgClr="0060497A" bgLvl="0" bgClr="00000000"/>
          </ext>
        </extLst>
      </patternFill>
    </fill>
    <fill>
      <patternFill patternType="solid">
        <fgColor rgb="FFEBF1DC"/>
        <bgColor rgb="FFFFFFFF"/>
        <extLst>
          <ext uri="smNativeData">
            <pm:shade xmlns:pm="smNativeData" id="1591683921" type="1" fgLvl="100" fgClr="00EBF1DC" bgLvl="0" bgClr="00FFEB9C"/>
          </ext>
        </extLst>
      </patternFill>
    </fill>
    <fill>
      <patternFill patternType="solid">
        <fgColor rgb="FFFFE699"/>
        <bgColor rgb="FFFFFFFF"/>
        <extLst>
          <ext uri="smNativeData">
            <pm:shade xmlns:pm="smNativeData" id="1591683921" type="1" fgLvl="100" fgClr="00FFE699" bgLvl="0" bgClr="00FFEB9C"/>
          </ext>
        </extLst>
      </patternFill>
    </fill>
    <fill>
      <patternFill patternType="none"/>
    </fill>
    <fill>
      <patternFill patternType="solid">
        <fgColor rgb="FFFFE699"/>
        <bgColor rgb="FFFFFFFF"/>
        <extLst>
          <ext uri="smNativeData">
            <pm:shade xmlns:pm="smNativeData" id="1591683921" type="1" fgLvl="100" fgClr="00FFE699" bgLvl="0" bgClr="00FFEB9C"/>
          </ext>
        </extLst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solid">
        <fgColor rgb="FF215967"/>
        <bgColor rgb="FFFFFFFF"/>
        <extLst>
          <ext uri="smNativeData">
            <pm:shade xmlns:pm="smNativeData" id="1591683921" type="1" fgLvl="100" fgClr="00215967" bgLvl="0" bgClr="00000080"/>
          </ext>
        </extLst>
      </patternFill>
    </fill>
    <fill>
      <patternFill patternType="solid">
        <fgColor rgb="FF215967"/>
        <bgColor rgb="FFFFFFFF"/>
        <extLst>
          <ext uri="smNativeData">
            <pm:shade xmlns:pm="smNativeData" id="1591683921" type="1" fgLvl="100" fgClr="00215967" bgLvl="0" bgClr="00000080"/>
          </ext>
        </extLst>
      </patternFill>
    </fill>
    <fill>
      <patternFill patternType="none"/>
    </fill>
    <fill>
      <patternFill patternType="solid">
        <fgColor rgb="FF000000"/>
        <bgColor rgb="FFFFFFFF"/>
        <extLst>
          <ext uri="smNativeData">
            <pm:shade xmlns:pm="smNativeData" id="1591683921" type="1" fgLvl="100" fgClr="00000000" bgLvl="0" bgClr="00000080"/>
          </ext>
        </extLst>
      </patternFill>
    </fill>
    <fill>
      <patternFill patternType="solid">
        <fgColor rgb="FF000000"/>
        <bgColor rgb="FFFFFFFF"/>
        <extLst>
          <ext uri="smNativeData">
            <pm:shade xmlns:pm="smNativeData" id="1591683921" type="1" fgLvl="100" fgClr="00000000" bgLvl="0" bgClr="00000080"/>
          </ext>
        </extLst>
      </patternFill>
    </fill>
    <fill>
      <patternFill patternType="solid">
        <fgColor rgb="FFDAE3F3"/>
        <bgColor rgb="FFFFFFFF"/>
        <extLst>
          <ext uri="smNativeData">
            <pm:shade xmlns:pm="smNativeData" id="1591683921" type="1" fgLvl="100" fgClr="00DAE3F3" bgLvl="0" bgClr="00DBDBDB"/>
          </ext>
        </extLst>
      </patternFill>
    </fill>
    <fill>
      <patternFill patternType="solid">
        <fgColor rgb="FFDBDBDB"/>
        <bgColor rgb="FFFFFFFF"/>
        <extLst>
          <ext uri="smNativeData">
            <pm:shade xmlns:pm="smNativeData" id="1591683921" type="1" fgLvl="100" fgClr="00DBDBDB" bgLvl="0" bgClr="00D9D9D9"/>
          </ext>
        </extLst>
      </patternFill>
    </fill>
    <fill>
      <patternFill patternType="solid">
        <fgColor rgb="FFB8CCE4"/>
        <bgColor rgb="FFFFFFFF"/>
        <extLst>
          <ext uri="smNativeData">
            <pm:shade xmlns:pm="smNativeData" id="1591683921" type="1" fgLvl="100" fgClr="00B8CCE4" bgLvl="0" bgClr="00000000"/>
          </ext>
        </extLst>
      </patternFill>
    </fill>
    <fill>
      <patternFill patternType="solid">
        <fgColor rgb="FFB8CCE4"/>
        <bgColor rgb="FFFFFFFF"/>
        <extLst>
          <ext uri="smNativeData">
            <pm:shade xmlns:pm="smNativeData" id="1591683921" type="1" fgLvl="100" fgClr="00B8CCE4" bgLvl="0" bgClr="00000000"/>
          </ext>
        </extLst>
      </patternFill>
    </fill>
    <fill>
      <patternFill patternType="solid">
        <fgColor rgb="FFD8D8D8"/>
        <bgColor rgb="FFFFFFFF"/>
        <extLst>
          <ext uri="smNativeData">
            <pm:shade xmlns:pm="smNativeData" id="1591683921" type="1" fgLvl="100" fgClr="00D8D8D8" bgLvl="0" bgClr="00000000"/>
          </ext>
        </extLst>
      </patternFill>
    </fill>
    <fill>
      <patternFill patternType="solid">
        <fgColor rgb="FFEBF1DC"/>
        <bgColor rgb="FFFFFFFF"/>
        <extLst>
          <ext uri="smNativeData">
            <pm:shade xmlns:pm="smNativeData" id="1591683921" type="1" fgLvl="100" fgClr="00EBF1DC" bgLvl="0" bgClr="00DBDBDB"/>
          </ext>
        </extLst>
      </patternFill>
    </fill>
    <fill>
      <patternFill patternType="solid">
        <fgColor rgb="FFD7E3BB"/>
        <bgColor rgb="FFFFFFFF"/>
        <extLst>
          <ext uri="smNativeData">
            <pm:shade xmlns:pm="smNativeData" id="1591683921" type="1" fgLvl="100" fgClr="00D7E3BB" bgLvl="0" bgClr="00D9D9D9"/>
          </ext>
        </extLst>
      </patternFill>
    </fill>
    <fill>
      <patternFill patternType="solid">
        <fgColor rgb="FFF2DCDB"/>
        <bgColor rgb="FFFFFFFF"/>
        <extLst>
          <ext uri="smNativeData">
            <pm:shade xmlns:pm="smNativeData" id="1591683921" type="1" fgLvl="100" fgClr="00F2DCDB" bgLvl="0" bgClr="00000000"/>
          </ext>
        </extLst>
      </patternFill>
    </fill>
    <fill>
      <patternFill patternType="solid">
        <fgColor rgb="FFF2DCDB"/>
        <bgColor rgb="FFFFFFFF"/>
        <extLst>
          <ext uri="smNativeData">
            <pm:shade xmlns:pm="smNativeData" id="1591683921" type="1" fgLvl="100" fgClr="00F2DCDB" bgLvl="0" bgClr="00000000"/>
          </ext>
        </extLst>
      </patternFill>
    </fill>
    <fill>
      <patternFill patternType="solid">
        <fgColor rgb="FFEBF1DC"/>
        <bgColor rgb="FFFFFFFF"/>
        <extLst>
          <ext uri="smNativeData">
            <pm:shade xmlns:pm="smNativeData" id="1591683921" type="1" fgLvl="100" fgClr="00EBF1DC" bgLvl="0" bgClr="00000000"/>
          </ext>
        </extLst>
      </patternFill>
    </fill>
    <fill>
      <patternFill patternType="solid">
        <fgColor rgb="FFEBF1DC"/>
        <bgColor rgb="FFFFFFFF"/>
        <extLst>
          <ext uri="smNativeData">
            <pm:shade xmlns:pm="smNativeData" id="1591683921" type="1" fgLvl="100" fgClr="00EBF1DC" bgLvl="0" bgClr="00000000"/>
          </ext>
        </extLst>
      </patternFill>
    </fill>
    <fill>
      <patternFill patternType="solid">
        <fgColor rgb="FFDAEEF3"/>
        <bgColor rgb="FFFFFFFF"/>
        <extLst>
          <ext uri="smNativeData">
            <pm:shade xmlns:pm="smNativeData" id="1591683921" type="1" fgLvl="100" fgClr="00DAEEF3" bgLvl="0" bgClr="00000000"/>
          </ext>
        </extLst>
      </patternFill>
    </fill>
    <fill>
      <patternFill patternType="solid">
        <fgColor rgb="FFFDE9D9"/>
        <bgColor rgb="FFFFFFFF"/>
        <extLst>
          <ext uri="smNativeData">
            <pm:shade xmlns:pm="smNativeData" id="1591683921" type="1" fgLvl="100" fgClr="00FDE9D9" bgLvl="0" bgClr="00B4C7E7"/>
          </ext>
        </extLst>
      </patternFill>
    </fill>
    <fill>
      <patternFill patternType="solid">
        <fgColor rgb="FFF8CBAD"/>
        <bgColor rgb="FFFFFFFF"/>
        <extLst>
          <ext uri="smNativeData">
            <pm:shade xmlns:pm="smNativeData" id="1591683921" type="1" fgLvl="100" fgClr="00F8CBAD" bgLvl="0" bgClr="00FFC7CE"/>
          </ext>
        </extLst>
      </patternFill>
    </fill>
    <fill>
      <patternFill patternType="solid">
        <fgColor rgb="FFC2D69A"/>
        <bgColor rgb="FFFFFFFF"/>
        <extLst>
          <ext uri="smNativeData">
            <pm:shade xmlns:pm="smNativeData" id="1591683921" type="1" fgLvl="100" fgClr="00C2D69A" bgLvl="0" bgClr="00000000"/>
          </ext>
        </extLst>
      </patternFill>
    </fill>
    <fill>
      <patternFill patternType="solid">
        <fgColor rgb="FFE4DFEC"/>
        <bgColor rgb="FFFFFFFF"/>
        <extLst>
          <ext uri="smNativeData">
            <pm:shade xmlns:pm="smNativeData" id="1591683921" type="1" fgLvl="100" fgClr="00E4DFEC" bgLvl="0" bgClr="00000000"/>
          </ext>
        </extLst>
      </patternFill>
    </fill>
    <fill>
      <patternFill patternType="solid">
        <fgColor rgb="FFE4DFEC"/>
        <bgColor rgb="FFFFFFFF"/>
        <extLst>
          <ext uri="smNativeData">
            <pm:shade xmlns:pm="smNativeData" id="1591683921" type="1" fgLvl="100" fgClr="00E4DFEC" bgLvl="0" bgClr="00000000"/>
          </ext>
        </extLst>
      </patternFill>
    </fill>
    <fill>
      <patternFill patternType="solid">
        <fgColor rgb="FFBDD7EE"/>
        <bgColor rgb="FFFFFFFF"/>
        <extLst>
          <ext uri="smNativeData">
            <pm:shade xmlns:pm="smNativeData" id="1591683921" type="1" fgLvl="100" fgClr="00BDD7EE" bgLvl="0" bgClr="00B4C7E7"/>
          </ext>
        </extLst>
      </patternFill>
    </fill>
    <fill>
      <patternFill patternType="solid">
        <fgColor rgb="FFDAEEF3"/>
        <bgColor rgb="FFFFFFFF"/>
        <extLst>
          <ext uri="smNativeData">
            <pm:shade xmlns:pm="smNativeData" id="1591683921" type="1" fgLvl="100" fgClr="00DAEEF3" bgLvl="0" bgClr="00000000"/>
          </ext>
        </extLst>
      </patternFill>
    </fill>
    <fill>
      <patternFill patternType="solid">
        <fgColor rgb="FFD0CECE"/>
        <bgColor rgb="FFFFFFFF"/>
        <extLst>
          <ext uri="smNativeData">
            <pm:shade xmlns:pm="smNativeData" id="1591683921" type="1" fgLvl="100" fgClr="00D0CECE" bgLvl="0" bgClr="00CCCCCC"/>
          </ext>
        </extLst>
      </patternFill>
    </fill>
    <fill>
      <patternFill patternType="solid">
        <fgColor rgb="FFDAEEF3"/>
        <bgColor rgb="FFFFFFFF"/>
        <extLst>
          <ext uri="smNativeData">
            <pm:shade xmlns:pm="smNativeData" id="1591683921" type="1" fgLvl="100" fgClr="00DAEEF3" bgLvl="0" bgClr="00000000"/>
          </ext>
        </extLst>
      </patternFill>
    </fill>
    <fill>
      <patternFill patternType="solid">
        <fgColor rgb="FFDAEEF3"/>
        <bgColor rgb="FFFFFFFF"/>
        <extLst>
          <ext uri="smNativeData">
            <pm:shade xmlns:pm="smNativeData" id="1591683921" type="1" fgLvl="100" fgClr="00DAEEF3" bgLvl="0" bgClr="00000000"/>
          </ext>
        </extLst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solid">
        <fgColor rgb="FFEBF1DC"/>
        <bgColor rgb="FFFFFFFF"/>
        <extLst>
          <ext uri="smNativeData">
            <pm:shade xmlns:pm="smNativeData" id="1591683921" type="1" fgLvl="100" fgClr="00EBF1DC" bgLvl="0" bgClr="00000000"/>
          </ext>
        </extLst>
      </patternFill>
    </fill>
    <fill>
      <patternFill patternType="solid">
        <fgColor rgb="FF000000"/>
        <bgColor rgb="FFFFFFFF"/>
        <extLst>
          <ext uri="smNativeData">
            <pm:shade xmlns:pm="smNativeData" id="1591683921" type="1" fgLvl="100" fgClr="00000000" bgLvl="0" bgClr="00000080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1683921" type="1" fgLvl="100" fgClr="00FFFF00" bgLvl="0" bgClr="00FFC000"/>
          </ext>
        </extLst>
      </patternFill>
    </fill>
    <fill>
      <patternFill patternType="solid">
        <fgColor rgb="FFFFFFCC"/>
        <bgColor rgb="FFFFFFFF"/>
        <extLst>
          <ext uri="smNativeData">
            <pm:shade xmlns:pm="smNativeData" id="1591683921" type="1" fgLvl="100" fgClr="00FFFFCC" bgLvl="0" bgClr="00FFFFFF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591683921" type="1" fgLvl="100" fgClr="00CCCCCC" bgLvl="0" bgClr="00D0CECE"/>
          </ext>
        </extLst>
      </patternFill>
    </fill>
    <fill>
      <patternFill patternType="solid">
        <fgColor rgb="FF548235"/>
        <bgColor rgb="FFFFFFFF"/>
        <extLst>
          <ext uri="smNativeData">
            <pm:shade xmlns:pm="smNativeData" id="1591683921" type="1" fgLvl="100" fgClr="00548235" bgLvl="0" bgClr="00639A3F"/>
          </ext>
        </extLst>
      </patternFill>
    </fill>
    <fill>
      <patternFill patternType="solid">
        <fgColor rgb="FF548235"/>
        <bgColor rgb="FFFFFFFF"/>
        <extLst>
          <ext uri="smNativeData">
            <pm:shade xmlns:pm="smNativeData" id="1591683921" type="1" fgLvl="100" fgClr="00548235" bgLvl="0" bgClr="00639A3F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591683921" type="1" fgLvl="100" fgClr="00CCCCCC" bgLvl="0" bgClr="00D0CECE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591683921" type="1" fgLvl="100" fgClr="00CCCCCC" bgLvl="0" bgClr="00D0CECE"/>
          </ext>
        </extLst>
      </patternFill>
    </fill>
    <fill>
      <patternFill patternType="solid">
        <fgColor rgb="FF548235"/>
        <bgColor rgb="FFFFFFFF"/>
        <extLst>
          <ext uri="smNativeData">
            <pm:shade xmlns:pm="smNativeData" id="1591683921" type="1" fgLvl="100" fgClr="00548235" bgLvl="0" bgClr="00639A3F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91683921" type="1" fgLvl="100" fgClr="0092D050" bgLvl="0" bgClr="00A9D18E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91683921" type="1" fgLvl="100" fgClr="0092D050" bgLvl="0" bgClr="00A9D18E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1683921" type="1" fgLvl="100" fgClr="00FFFF00" bgLvl="0" bgClr="00FFC000"/>
          </ext>
        </extLst>
      </patternFill>
    </fill>
    <fill>
      <patternFill patternType="solid">
        <fgColor rgb="FFD9D9D9"/>
        <bgColor rgb="FFFFFFFF"/>
        <extLst>
          <ext uri="smNativeData">
            <pm:shade xmlns:pm="smNativeData" id="1591683921" type="1" fgLvl="100" fgClr="00D9D9D9" bgLvl="0" bgClr="00DBDBDB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1683921" type="1" fgLvl="100" fgClr="00FFFF00" bgLvl="0" bgClr="00FFC000"/>
          </ext>
        </extLst>
      </patternFill>
    </fill>
    <fill>
      <patternFill patternType="solid">
        <fgColor rgb="FFFFC000"/>
        <bgColor rgb="FFFFFFFF"/>
        <extLst>
          <ext uri="smNativeData">
            <pm:shade xmlns:pm="smNativeData" id="1591683921" type="1" fgLvl="100" fgClr="00FFC000" bgLvl="0" bgClr="00E3AB00"/>
          </ext>
        </extLst>
      </patternFill>
    </fill>
    <fill>
      <patternFill patternType="solid">
        <fgColor rgb="FFADB9CA"/>
        <bgColor rgb="FFFFFFFF"/>
        <extLst>
          <ext uri="smNativeData">
            <pm:shade xmlns:pm="smNativeData" id="1591683921" type="1" fgLvl="100" fgClr="00ADB9CA" bgLvl="0" bgClr="00BFBFBF"/>
          </ext>
        </extLst>
      </patternFill>
    </fill>
    <fill>
      <patternFill patternType="solid">
        <fgColor rgb="FFC9C9C9"/>
        <bgColor rgb="FFFFFFFF"/>
        <extLst>
          <ext uri="smNativeData">
            <pm:shade xmlns:pm="smNativeData" id="1591683921" type="1" fgLvl="100" fgClr="00C9C9C9" bgLvl="0" bgClr="00CCCCCC"/>
          </ext>
        </extLst>
      </patternFill>
    </fill>
    <fill>
      <patternFill patternType="solid">
        <fgColor rgb="FFF8CBAD"/>
        <bgColor rgb="FFFFFFFF"/>
        <extLst>
          <ext uri="smNativeData">
            <pm:shade xmlns:pm="smNativeData" id="1591683921" type="1" fgLvl="100" fgClr="00F8CBAD" bgLvl="0" bgClr="00FFC7CE"/>
          </ext>
        </extLst>
      </patternFill>
    </fill>
    <fill>
      <patternFill patternType="solid">
        <fgColor rgb="FFDAEEF3"/>
        <bgColor rgb="FFFFFFFF"/>
        <extLst>
          <ext uri="smNativeData">
            <pm:shade xmlns:pm="smNativeData" id="1591683921" type="1" fgLvl="100" fgClr="00DAEEF3" bgLvl="0" bgClr="00FFEB9C"/>
          </ext>
        </extLst>
      </patternFill>
    </fill>
    <fill>
      <patternFill patternType="solid">
        <fgColor rgb="FFDAEEF3"/>
        <bgColor rgb="FFFFFFFF"/>
        <extLst>
          <ext uri="smNativeData">
            <pm:shade xmlns:pm="smNativeData" id="1591683921" type="1" fgLvl="100" fgClr="00DAEEF3" bgLvl="0" bgClr="00FFEB9C"/>
          </ext>
        </extLst>
      </patternFill>
    </fill>
    <fill>
      <patternFill patternType="solid">
        <fgColor rgb="FFDAEEF3"/>
        <bgColor rgb="FFFFFFFF"/>
        <extLst>
          <ext uri="smNativeData">
            <pm:shade xmlns:pm="smNativeData" id="1591683921" type="1" fgLvl="100" fgClr="00DAEEF3" bgLvl="0" bgClr="00DBDBDB"/>
          </ext>
        </extLst>
      </patternFill>
    </fill>
    <fill>
      <patternFill patternType="solid">
        <fgColor rgb="FFDAEEF3"/>
        <bgColor rgb="FFFFFFFF"/>
        <extLst>
          <ext uri="smNativeData">
            <pm:shade xmlns:pm="smNativeData" id="1591683921" type="1" fgLvl="100" fgClr="00DAEEF3" bgLvl="0" bgClr="00B4C7E7"/>
          </ext>
        </extLst>
      </patternFill>
    </fill>
    <fill>
      <patternFill patternType="solid">
        <fgColor rgb="FFDAEEF3"/>
        <bgColor rgb="FFFFFFFF"/>
        <extLst>
          <ext uri="smNativeData">
            <pm:shade xmlns:pm="smNativeData" id="1591683921" type="1" fgLvl="100" fgClr="00DAEEF3" bgLvl="0" bgClr="00000080"/>
          </ext>
        </extLst>
      </patternFill>
    </fill>
    <fill>
      <patternFill patternType="solid">
        <fgColor rgb="FFEBF1DC"/>
        <bgColor rgb="FFFFFFFF"/>
        <extLst>
          <ext uri="smNativeData">
            <pm:shade xmlns:pm="smNativeData" id="1591683921" type="1" fgLvl="100" fgClr="00EBF1DC" bgLvl="0" bgClr="00000000"/>
          </ext>
        </extLst>
      </patternFill>
    </fill>
    <fill>
      <patternFill patternType="solid">
        <fgColor rgb="FFFDE9D9"/>
        <bgColor rgb="FFFFFFFF"/>
        <extLst>
          <ext uri="smNativeData">
            <pm:shade xmlns:pm="smNativeData" id="1591683921" type="1" fgLvl="100" fgClr="00FDE9D9" bgLvl="0" bgClr="00B4C7E7"/>
          </ext>
        </extLst>
      </patternFill>
    </fill>
    <fill>
      <patternFill patternType="solid">
        <fgColor rgb="FFFDE9D9"/>
        <bgColor rgb="FFFFFFFF"/>
        <extLst>
          <ext uri="smNativeData">
            <pm:shade xmlns:pm="smNativeData" id="1591683921" type="1" fgLvl="100" fgClr="00FDE9D9" bgLvl="0" bgClr="00B4C7E7"/>
          </ext>
        </extLst>
      </patternFill>
    </fill>
    <fill>
      <patternFill patternType="solid">
        <fgColor rgb="FFFDE9D9"/>
        <bgColor rgb="FFFFFFFF"/>
        <extLst>
          <ext uri="smNativeData">
            <pm:shade xmlns:pm="smNativeData" id="1591683921" type="1" fgLvl="100" fgClr="00FDE9D9" bgLvl="0" bgClr="00B4C7E7"/>
          </ext>
        </extLst>
      </patternFill>
    </fill>
    <fill>
      <patternFill patternType="solid">
        <fgColor rgb="FFD0CECE"/>
        <bgColor rgb="FFFFFFFF"/>
        <extLst>
          <ext uri="smNativeData">
            <pm:shade xmlns:pm="smNativeData" id="1591683921" type="1" fgLvl="100" fgClr="00D0CECE" bgLvl="0" bgClr="00CCCCCC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1683921" type="1" fgLvl="100" fgClr="00FFFF00" bgLvl="0" bgClr="00000000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1683921" type="1" fgLvl="100" fgClr="00FFFF00" bgLvl="0" bgClr="00000000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1683921" type="1" fgLvl="100" fgClr="00FFFF00" bgLvl="0" bgClr="00000000"/>
          </ext>
        </extLst>
      </patternFill>
    </fill>
    <fill>
      <patternFill patternType="none"/>
    </fill>
    <fill>
      <patternFill patternType="solid">
        <fgColor rgb="FF92D050"/>
        <bgColor rgb="FFFFFFFF"/>
        <extLst>
          <ext uri="smNativeData">
            <pm:shade xmlns:pm="smNativeData" id="1591683921" type="1" fgLvl="100" fgClr="0092D050" bgLvl="0" bgClr="00000000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91683921" type="1" fgLvl="100" fgClr="0092D050" bgLvl="0" bgClr="00000000"/>
          </ext>
        </extLst>
      </patternFill>
    </fill>
    <fill>
      <patternFill patternType="solid">
        <fgColor rgb="FFFF0000"/>
        <bgColor rgb="FFFFFFFF"/>
        <extLst>
          <ext uri="smNativeData">
            <pm:shade xmlns:pm="smNativeData" id="1591683921" type="1" fgLvl="100" fgClr="00FF0000" bgLvl="0" bgClr="00000000"/>
          </ext>
        </extLst>
      </patternFill>
    </fill>
    <fill>
      <patternFill patternType="solid">
        <fgColor rgb="FFFF0000"/>
        <bgColor rgb="FFFFFFFF"/>
        <extLst>
          <ext uri="smNativeData">
            <pm:shade xmlns:pm="smNativeData" id="1591683921" type="1" fgLvl="100" fgClr="00FF0000" bgLvl="0" bgClr="00000000"/>
          </ext>
        </extLst>
      </patternFill>
    </fill>
    <fill>
      <patternFill patternType="solid">
        <fgColor rgb="FFEBF1DC"/>
        <bgColor rgb="FFFFFFFF"/>
        <extLst>
          <ext uri="smNativeData">
            <pm:shade xmlns:pm="smNativeData" id="1591683921" type="1" fgLvl="100" fgClr="00EBF1DC" bgLvl="0" bgClr="00DBDBDB"/>
          </ext>
        </extLst>
      </patternFill>
    </fill>
    <fill>
      <patternFill patternType="solid">
        <fgColor rgb="FFEBF1DC"/>
        <bgColor rgb="FFFFFFFF"/>
        <extLst>
          <ext uri="smNativeData">
            <pm:shade xmlns:pm="smNativeData" id="1591683921" type="1" fgLvl="100" fgClr="00EBF1DC" bgLvl="0" bgClr="00DBDBDB"/>
          </ext>
        </extLst>
      </patternFill>
    </fill>
    <fill>
      <patternFill patternType="solid">
        <fgColor rgb="FFEBF1DC"/>
        <bgColor rgb="FFFFFFFF"/>
        <extLst>
          <ext uri="smNativeData">
            <pm:shade xmlns:pm="smNativeData" id="1591683921" type="1" fgLvl="100" fgClr="00EBF1DC" bgLvl="0" bgClr="00DBDBDB"/>
          </ext>
        </extLst>
      </patternFill>
    </fill>
    <fill>
      <patternFill patternType="solid">
        <fgColor rgb="FFAFABAB"/>
        <bgColor rgb="FFFFFFFF"/>
        <extLst>
          <ext uri="smNativeData">
            <pm:shade xmlns:pm="smNativeData" id="1591683921" type="1" fgLvl="100" fgClr="00AFABAB" bgLvl="0" bgClr="00ADB9CA"/>
          </ext>
        </extLst>
      </patternFill>
    </fill>
    <fill>
      <patternFill patternType="solid">
        <fgColor rgb="FFADB9CA"/>
        <bgColor rgb="FFFFFFFF"/>
        <extLst>
          <ext uri="smNativeData">
            <pm:shade xmlns:pm="smNativeData" id="1591683921" type="1" fgLvl="100" fgClr="00ADB9CA" bgLvl="0" bgClr="00BFBFBF"/>
          </ext>
        </extLst>
      </patternFill>
    </fill>
    <fill>
      <patternFill patternType="solid">
        <fgColor rgb="FFFDE9D9"/>
        <bgColor rgb="FFFFFFFF"/>
        <extLst>
          <ext uri="smNativeData">
            <pm:shade xmlns:pm="smNativeData" id="1591683921" type="1" fgLvl="100" fgClr="00FDE9D9" bgLvl="0" bgClr="00000000"/>
          </ext>
        </extLst>
      </patternFill>
    </fill>
    <fill>
      <patternFill patternType="solid">
        <fgColor rgb="FFFDE9D9"/>
        <bgColor rgb="FFFFFFFF"/>
        <extLst>
          <ext uri="smNativeData">
            <pm:shade xmlns:pm="smNativeData" id="1591683921" type="1" fgLvl="100" fgClr="00FDE9D9" bgLvl="0" bgClr="00000000"/>
          </ext>
        </extLst>
      </patternFill>
    </fill>
    <fill>
      <patternFill patternType="solid">
        <fgColor rgb="FF0070C0"/>
        <bgColor rgb="FFFFFFFF"/>
        <extLst>
          <ext uri="smNativeData">
            <pm:shade xmlns:pm="smNativeData" id="1591683921" type="1" fgLvl="100" fgClr="000070C0" bgLvl="0" bgClr="00000000"/>
          </ext>
        </extLst>
      </patternFill>
    </fill>
    <fill>
      <patternFill patternType="solid">
        <fgColor rgb="FF0070C0"/>
        <bgColor rgb="FFFFFFFF"/>
        <extLst>
          <ext uri="smNativeData">
            <pm:shade xmlns:pm="smNativeData" id="1591683921" type="1" fgLvl="100" fgClr="000070C0" bgLvl="0" bgClr="00000000"/>
          </ext>
        </extLst>
      </patternFill>
    </fill>
    <fill>
      <patternFill patternType="solid">
        <fgColor rgb="FF0070C0"/>
        <bgColor rgb="FFFFFFFF"/>
        <extLst>
          <ext uri="smNativeData">
            <pm:shade xmlns:pm="smNativeData" id="1591683921" type="1" fgLvl="100" fgClr="000070C0" bgLvl="0" bgClr="00000000"/>
          </ext>
        </extLst>
      </patternFill>
    </fill>
    <fill>
      <patternFill patternType="solid">
        <fgColor rgb="FF76933C"/>
        <bgColor rgb="FFFFFFFF"/>
        <extLst>
          <ext uri="smNativeData">
            <pm:shade xmlns:pm="smNativeData" id="1591683921" type="1" fgLvl="100" fgClr="0076933C" bgLvl="0" bgClr="00000000"/>
          </ext>
        </extLst>
      </patternFill>
    </fill>
    <fill>
      <patternFill patternType="solid">
        <fgColor rgb="FF76933C"/>
        <bgColor rgb="FFFFFFFF"/>
        <extLst>
          <ext uri="smNativeData">
            <pm:shade xmlns:pm="smNativeData" id="1591683921" type="1" fgLvl="100" fgClr="0076933C" bgLvl="0" bgClr="00000000"/>
          </ext>
        </extLst>
      </patternFill>
    </fill>
    <fill>
      <patternFill patternType="solid">
        <fgColor rgb="FF002060"/>
        <bgColor rgb="FFFFFFFF"/>
        <extLst>
          <ext uri="smNativeData">
            <pm:shade xmlns:pm="smNativeData" id="1591683921" type="1" fgLvl="100" fgClr="00002060" bgLvl="0" bgClr="00000000"/>
          </ext>
        </extLst>
      </patternFill>
    </fill>
    <fill>
      <patternFill patternType="solid">
        <fgColor rgb="FF002060"/>
        <bgColor rgb="FFFFFFFF"/>
        <extLst>
          <ext uri="smNativeData">
            <pm:shade xmlns:pm="smNativeData" id="1591683921" type="1" fgLvl="100" fgClr="00002060" bgLvl="0" bgClr="00000000"/>
          </ext>
        </extLst>
      </patternFill>
    </fill>
    <fill>
      <patternFill patternType="solid">
        <fgColor rgb="FF7030A0"/>
        <bgColor rgb="FFFFFFFF"/>
        <extLst>
          <ext uri="smNativeData">
            <pm:shade xmlns:pm="smNativeData" id="1591683921" type="1" fgLvl="100" fgClr="007030A0" bgLvl="0" bgClr="00000000"/>
          </ext>
        </extLst>
      </patternFill>
    </fill>
    <fill>
      <patternFill patternType="solid">
        <fgColor rgb="FF7030A0"/>
        <bgColor rgb="FFFFFFFF"/>
        <extLst>
          <ext uri="smNativeData">
            <pm:shade xmlns:pm="smNativeData" id="1591683921" type="1" fgLvl="100" fgClr="007030A0" bgLvl="0" bgClr="00000000"/>
          </ext>
        </extLst>
      </patternFill>
    </fill>
    <fill>
      <patternFill patternType="solid">
        <fgColor rgb="FF00B050"/>
        <bgColor rgb="FFFFFFFF"/>
        <extLst>
          <ext uri="smNativeData">
            <pm:shade xmlns:pm="smNativeData" id="1591683921" type="1" fgLvl="100" fgClr="0000B050" bgLvl="0" bgClr="00000000"/>
          </ext>
        </extLst>
      </patternFill>
    </fill>
    <fill>
      <patternFill patternType="solid">
        <fgColor rgb="FF00B050"/>
        <bgColor rgb="FFFFFFFF"/>
        <extLst>
          <ext uri="smNativeData">
            <pm:shade xmlns:pm="smNativeData" id="1591683921" type="1" fgLvl="100" fgClr="0000B050" bgLvl="0" bgClr="00000000"/>
          </ext>
        </extLst>
      </patternFill>
    </fill>
    <fill>
      <patternFill patternType="solid">
        <fgColor rgb="FFFFFFFF"/>
        <bgColor rgb="FFFFFFFF"/>
        <extLst>
          <ext uri="smNativeData">
            <pm:shade xmlns:pm="smNativeData" id="1591683921" type="1" fgLvl="100" fgClr="00FFFFFF" bgLvl="100" bgClr="00000000"/>
          </ext>
        </extLst>
      </patternFill>
    </fill>
    <fill>
      <patternFill patternType="solid">
        <fgColor rgb="FF4F81BD"/>
        <bgColor rgb="FFFFFFFF"/>
        <extLst>
          <ext uri="smNativeData">
            <pm:shade xmlns:pm="smNativeData" id="1591683921" type="1" fgLvl="100" fgClr="004F81BD" bgLvl="100" bgClr="004F81BD"/>
          </ext>
        </extLst>
      </patternFill>
    </fill>
    <fill>
      <patternFill patternType="none"/>
    </fill>
    <fill>
      <patternFill patternType="none"/>
    </fill>
    <fill>
      <patternFill patternType="solid">
        <fgColor rgb="FFEEEEEE"/>
        <bgColor rgb="FFFFFFFF"/>
        <extLst>
          <ext uri="smNativeData">
            <pm:shade xmlns:pm="smNativeData" id="1591683921" type="1" fgLvl="100" fgClr="00EEEEEE" bgLvl="0" bgClr="00000000"/>
          </ext>
        </extLst>
      </patternFill>
    </fill>
  </fills>
  <borders count="162"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683921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68392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68392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68392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68392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68392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68392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68392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683921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683921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683921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683921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683921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683921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683921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683921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1683921">
            <pm:line position="top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1683921">
            <pm:line position="top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68392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683921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683921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68392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68392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683921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68392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68392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683921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68392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68392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683921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683921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68392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683921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683921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683921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683921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683921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683921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683921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683921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683921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683921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683921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683921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683921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683921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683921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683921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683921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683921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683921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683921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683921"/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683921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68392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68392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68392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1683921"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1683921">
            <pm:line position="bottom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683921">
            <pm:line position="lef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68392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68392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68392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683921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683921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68392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683921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683921"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1683921">
            <pm:line position="top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1683921">
            <pm:line position="top" type="1" style="0" width="20" dist="20" width2="20" rgb="000000"/>
            <pm:line position="lef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1683921">
            <pm:line position="top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1683921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68392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683921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1683921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68392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68392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68392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683921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683921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683921">
            <pm:line position="lef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68392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68392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683921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683921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683921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683921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683921">
            <pm:line position="lef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68392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68392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683921">
            <pm:line position="lef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683921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683921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68392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683921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68392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1683921"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1683921"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1683921"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1683921">
            <pm:line position="bottom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1683921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1683921"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683921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683921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68392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683921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683921"/>
        </ext>
      </extLst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extLst>
        <ext uri="smNativeData">
          <pm:border xmlns:pm="smNativeData" id="1591683921">
            <pm:line position="top" type="1" style="0" width="30" dist="20" width2="20" rgb="000000"/>
            <pm:line position="bottom" type="1" style="0" width="2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683921">
            <pm:line position="top" type="1" style="0" width="20" dist="20" width2="20" rgb="000000"/>
            <pm:line position="bottom" type="1" style="0" width="2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683921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68392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extLst>
        <ext uri="smNativeData">
          <pm:border xmlns:pm="smNativeData" id="1591683921">
            <pm:line position="top" type="1" style="0" width="20" dist="20" width2="20" rgb="000000"/>
            <pm:line position="bottom" type="1" style="0" width="3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1683921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68392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683921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683921"/>
        </ext>
      </extLst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91683921">
            <pm:line position="top" type="1" style="0" width="30" dist="20" width2="20" rgb="000000"/>
            <pm:line position="bottom" type="1" style="0" width="3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683921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683921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683921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683921"/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683921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68392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68392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68392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68392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1683921">
            <pm:line position="top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1683921">
            <pm:line position="top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683921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1683921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683921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68392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683921">
            <pm:line position="top" type="1" style="0" width="20" dist="20" width2="20" rgb="000000"/>
            <pm:line position="bottom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683921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683921">
            <pm:line position="top" type="1" style="0" width="20" dist="20" width2="20" rgb="000000"/>
            <pm:line position="bottom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1683921">
            <pm:line position="top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1683921">
            <pm:line position="top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1683921">
            <pm:line position="top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1683921">
            <pm:line position="top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1683921">
            <pm:line position="top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683921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1683921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68392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68392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683921">
            <pm:line position="lef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1683921"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68392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683921">
            <pm:line position="top" type="1" style="0" width="20" dist="20" width2="20" rgb="000000"/>
            <pm:line position="bottom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683921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683921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683921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683921">
            <pm:line position="top" type="1" style="0" width="20" dist="20" width2="20" rgb="000000"/>
            <pm:line position="bottom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683921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683921">
            <pm:line position="top" type="1" style="0" width="20" dist="20" width2="20" rgb="000000"/>
            <pm:line position="bottom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683921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683921">
            <pm:line position="top" type="1" style="0" width="20" dist="20" width2="20" rgb="000000"/>
            <pm:line position="bottom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1683921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683921"/>
        </ext>
      </extLst>
    </border>
    <border>
      <left style="none">
        <color rgb="FF000000"/>
      </left>
      <right style="none">
        <color rgb="FF000000"/>
      </right>
      <top style="medium">
        <color rgb="FF366092"/>
      </top>
      <bottom style="none">
        <color rgb="FF000000"/>
      </bottom>
      <extLst>
        <ext uri="smNativeData">
          <pm:border xmlns:pm="smNativeData" id="1591683921">
            <pm:line position="top" type="1" style="0" width="30" dist="20" width2="20" rgb="366092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366092"/>
      </bottom>
      <extLst>
        <ext uri="smNativeData">
          <pm:border xmlns:pm="smNativeData" id="1591683921">
            <pm:line position="bottom" type="1" style="0" width="20" dist="20" width2="20" rgb="366092"/>
          </pm:border>
        </ext>
      </extLst>
    </border>
    <border>
      <left style="none">
        <color rgb="FF000000"/>
      </left>
      <right style="none">
        <color rgb="FF000000"/>
      </right>
      <top style="thin">
        <color rgb="FF366092"/>
      </top>
      <bottom style="medium">
        <color rgb="FF366092"/>
      </bottom>
      <extLst>
        <ext uri="smNativeData">
          <pm:border xmlns:pm="smNativeData" id="1591683921">
            <pm:line position="top" type="1" style="0" width="20" dist="20" width2="20" rgb="366092"/>
            <pm:line position="bottom" type="1" style="0" width="30" dist="20" width2="20" rgb="366092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1683921"/>
        </ext>
      </extLst>
    </border>
  </borders>
  <cellStyleXfs count="5">
    <xf numFmtId="0" fontId="0" fillId="0" borderId="0" applyNumberFormat="1" applyFont="1" applyFill="1" applyBorder="1" applyAlignment="1" applyProtection="1"/>
    <xf numFmtId="165" fontId="0" fillId="0" borderId="0" applyNumberFormat="1" applyFont="0" applyFill="0" applyBorder="0" applyAlignment="0" applyProtection="0"/>
    <xf numFmtId="9" fontId="0" fillId="0" borderId="0" applyNumberFormat="1" applyFont="0" applyFill="0" applyBorder="0" applyAlignment="0" applyProtection="0"/>
    <xf numFmtId="0" fontId="0" fillId="0" borderId="0" applyNumberFormat="1" applyFont="1" applyFill="1" applyBorder="1" applyAlignment="1" applyProtection="1"/>
    <xf numFmtId="164" fontId="0" fillId="0" borderId="0" applyNumberFormat="1" applyFont="0" applyFill="0" applyBorder="0" applyAlignment="0" applyProtection="0"/>
  </cellStyleXfs>
  <cellXfs count="488">
    <xf numFmtId="0" fontId="0" fillId="0" borderId="0" xfId="0"/>
    <xf numFmtId="165" fontId="0" fillId="0" borderId="0" xfId="1"/>
    <xf numFmtId="9" fontId="0" fillId="0" borderId="0" xfId="2"/>
    <xf numFmtId="0" fontId="0" fillId="0" borderId="0" xfId="3"/>
    <xf numFmtId="164" fontId="0" fillId="0" borderId="0" xfId="4"/>
    <xf numFmtId="0" fontId="3" fillId="2" borderId="1" xfId="0" applyFont="1" applyFill="1" applyBorder="1" applyAlignment="1">
      <alignment horizontal="left" vertical="center"/>
    </xf>
    <xf numFmtId="1" fontId="3" fillId="2" borderId="1" xfId="0" applyNumberFormat="1" applyFont="1" applyFill="1" applyBorder="1" applyAlignment="1">
      <alignment horizontal="left" vertical="center"/>
    </xf>
    <xf numFmtId="0" fontId="3" fillId="3" borderId="2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left" vertical="center"/>
    </xf>
    <xf numFmtId="166" fontId="3" fillId="3" borderId="2" xfId="0" applyNumberFormat="1" applyFont="1" applyFill="1" applyBorder="1" applyAlignment="1">
      <alignment horizontal="left" vertical="center"/>
    </xf>
    <xf numFmtId="1" fontId="3" fillId="5" borderId="4" xfId="0" applyNumberFormat="1" applyFont="1" applyFill="1" applyBorder="1" applyAlignment="1">
      <alignment horizontal="left" vertical="center"/>
    </xf>
    <xf numFmtId="0" fontId="3" fillId="3" borderId="2" xfId="0" applyFont="1" applyFill="1" applyBorder="1" applyAlignment="1">
      <alignment horizontal="right" vertical="center"/>
    </xf>
    <xf numFmtId="168" fontId="3" fillId="3" borderId="2" xfId="1" applyNumberFormat="1" applyFont="1" applyFill="1" applyBorder="1" applyAlignment="1">
      <alignment horizontal="right" vertical="center"/>
    </xf>
    <xf numFmtId="167" fontId="3" fillId="3" borderId="2" xfId="1" applyNumberFormat="1" applyFont="1" applyFill="1" applyBorder="1" applyAlignment="1">
      <alignment horizontal="right" vertical="center"/>
    </xf>
    <xf numFmtId="0" fontId="4" fillId="6" borderId="5" xfId="0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/>
    </xf>
    <xf numFmtId="0" fontId="4" fillId="6" borderId="5" xfId="0" applyFont="1" applyFill="1" applyBorder="1" applyAlignment="1">
      <alignment horizontal="right" vertical="center"/>
    </xf>
    <xf numFmtId="0" fontId="5" fillId="7" borderId="6" xfId="0" applyFont="1" applyFill="1" applyBorder="1" applyAlignment="1">
      <alignment horizontal="center" vertical="center"/>
    </xf>
    <xf numFmtId="0" fontId="5" fillId="8" borderId="7" xfId="0" applyFont="1" applyFill="1" applyBorder="1" applyAlignment="1">
      <alignment horizontal="center" vertical="center"/>
    </xf>
    <xf numFmtId="0" fontId="0" fillId="0" borderId="3" xfId="0" applyBorder="1"/>
    <xf numFmtId="166" fontId="3" fillId="3" borderId="2" xfId="0" applyNumberFormat="1" applyFont="1" applyFill="1" applyBorder="1" applyAlignment="1">
      <alignment horizontal="center" vertical="center"/>
    </xf>
    <xf numFmtId="1" fontId="3" fillId="3" borderId="2" xfId="0" applyNumberFormat="1" applyFont="1" applyFill="1" applyBorder="1" applyAlignment="1">
      <alignment horizontal="center" vertical="center"/>
    </xf>
    <xf numFmtId="2" fontId="3" fillId="2" borderId="1" xfId="0" applyNumberFormat="1" applyFont="1" applyFill="1" applyBorder="1" applyAlignment="1">
      <alignment horizontal="left" vertical="center"/>
    </xf>
    <xf numFmtId="2" fontId="3" fillId="3" borderId="2" xfId="0" applyNumberFormat="1" applyFont="1" applyFill="1" applyBorder="1" applyAlignment="1">
      <alignment horizontal="left" vertical="center"/>
    </xf>
    <xf numFmtId="168" fontId="7" fillId="0" borderId="3" xfId="1" applyNumberFormat="1" applyFont="1" applyBorder="1" applyAlignment="1">
      <alignment horizontal="center"/>
    </xf>
    <xf numFmtId="14" fontId="0" fillId="0" borderId="0" xfId="0" applyNumberFormat="1"/>
    <xf numFmtId="166" fontId="0" fillId="0" borderId="0" xfId="0" applyNumberFormat="1"/>
    <xf numFmtId="1" fontId="0" fillId="0" borderId="0" xfId="0" applyNumberFormat="1"/>
    <xf numFmtId="0" fontId="4" fillId="9" borderId="8" xfId="0" applyFont="1" applyFill="1" applyBorder="1" applyAlignment="1">
      <alignment horizontal="center" vertical="center"/>
    </xf>
    <xf numFmtId="2" fontId="0" fillId="0" borderId="0" xfId="0" applyNumberFormat="1"/>
    <xf numFmtId="167" fontId="8" fillId="10" borderId="9" xfId="1" applyNumberFormat="1" applyFont="1" applyFill="1"/>
    <xf numFmtId="166" fontId="0" fillId="0" borderId="0" xfId="0" applyNumberFormat="1" applyAlignment="1">
      <alignment horizontal="center"/>
    </xf>
    <xf numFmtId="0" fontId="9" fillId="0" borderId="3" xfId="0" applyFont="1" applyBorder="1" applyAlignment="1">
      <alignment horizontal="left" vertical="center"/>
    </xf>
    <xf numFmtId="0" fontId="10" fillId="11" borderId="10" xfId="0" applyFont="1" applyFill="1"/>
    <xf numFmtId="0" fontId="10" fillId="12" borderId="11" xfId="0" applyFont="1" applyFill="1" applyAlignment="1">
      <alignment horizontal="center"/>
    </xf>
    <xf numFmtId="0" fontId="10" fillId="13" borderId="12" xfId="0" applyFont="1" applyFill="1" applyAlignment="1">
      <alignment horizontal="center"/>
    </xf>
    <xf numFmtId="0" fontId="10" fillId="14" borderId="13" xfId="0" applyFont="1" applyFill="1"/>
    <xf numFmtId="0" fontId="10" fillId="13" borderId="12" xfId="0" applyFont="1" applyFill="1"/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9" fontId="0" fillId="0" borderId="0" xfId="2" applyAlignment="1">
      <alignment horizontal="center"/>
    </xf>
    <xf numFmtId="0" fontId="10" fillId="15" borderId="14" xfId="0" applyFont="1" applyFill="1" applyAlignment="1">
      <alignment horizontal="center"/>
    </xf>
    <xf numFmtId="0" fontId="10" fillId="16" borderId="15" xfId="0" applyFont="1" applyFill="1" applyAlignment="1">
      <alignment horizontal="center"/>
    </xf>
    <xf numFmtId="0" fontId="8" fillId="0" borderId="0" xfId="0" applyFont="1"/>
    <xf numFmtId="0" fontId="0" fillId="0" borderId="0" xfId="0" applyAlignment="1">
      <alignment horizontal="center"/>
    </xf>
    <xf numFmtId="0" fontId="8" fillId="0" borderId="0" xfId="0" applyFont="1" applyAlignment="1">
      <alignment horizontal="center"/>
    </xf>
    <xf numFmtId="167" fontId="0" fillId="0" borderId="0" xfId="0" applyNumberFormat="1"/>
    <xf numFmtId="170" fontId="0" fillId="0" borderId="0" xfId="4" applyNumberFormat="1"/>
    <xf numFmtId="0" fontId="3" fillId="0" borderId="0" xfId="0" applyFont="1"/>
    <xf numFmtId="0" fontId="11" fillId="17" borderId="16" xfId="0" applyFont="1" applyFill="1" applyBorder="1" applyAlignment="1">
      <alignment horizontal="center"/>
    </xf>
    <xf numFmtId="0" fontId="12" fillId="18" borderId="17" xfId="0" applyFont="1" applyFill="1" applyBorder="1" applyAlignment="1">
      <alignment horizontal="center"/>
    </xf>
    <xf numFmtId="0" fontId="0" fillId="0" borderId="3" xfId="0" applyBorder="1" applyAlignment="1">
      <alignment horizontal="center"/>
    </xf>
    <xf numFmtId="9" fontId="0" fillId="0" borderId="3" xfId="0" applyNumberFormat="1" applyBorder="1" applyAlignment="1">
      <alignment horizontal="center"/>
    </xf>
    <xf numFmtId="0" fontId="10" fillId="11" borderId="10" xfId="0" applyFont="1" applyFill="1" applyAlignment="1">
      <alignment horizontal="center"/>
    </xf>
    <xf numFmtId="169" fontId="13" fillId="0" borderId="3" xfId="0" applyNumberFormat="1" applyFont="1" applyBorder="1" applyAlignment="1">
      <alignment horizontal="center"/>
    </xf>
    <xf numFmtId="169" fontId="14" fillId="19" borderId="18" xfId="0" applyNumberFormat="1" applyFont="1" applyFill="1" applyBorder="1" applyAlignment="1">
      <alignment horizontal="center"/>
    </xf>
    <xf numFmtId="0" fontId="0" fillId="0" borderId="0" xfId="0" applyAlignment="1">
      <alignment horizontal="right"/>
    </xf>
    <xf numFmtId="166" fontId="3" fillId="2" borderId="1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9" fontId="3" fillId="3" borderId="2" xfId="2" applyFont="1" applyFill="1" applyBorder="1" applyAlignment="1">
      <alignment horizontal="center" vertical="center"/>
    </xf>
    <xf numFmtId="171" fontId="0" fillId="0" borderId="0" xfId="2" applyNumberFormat="1"/>
    <xf numFmtId="10" fontId="0" fillId="0" borderId="0" xfId="2" applyNumberFormat="1"/>
    <xf numFmtId="169" fontId="0" fillId="0" borderId="0" xfId="0" applyNumberFormat="1"/>
    <xf numFmtId="167" fontId="0" fillId="0" borderId="0" xfId="1" applyNumberFormat="1"/>
    <xf numFmtId="14" fontId="3" fillId="3" borderId="2" xfId="0" applyNumberFormat="1" applyFont="1" applyFill="1" applyBorder="1" applyAlignment="1">
      <alignment horizontal="center" vertical="center"/>
    </xf>
    <xf numFmtId="2" fontId="3" fillId="3" borderId="2" xfId="0" applyNumberFormat="1" applyFont="1" applyFill="1" applyBorder="1" applyAlignment="1">
      <alignment horizontal="center" vertical="center"/>
    </xf>
    <xf numFmtId="0" fontId="4" fillId="20" borderId="19" xfId="0" applyFont="1" applyFill="1" applyBorder="1" applyAlignment="1">
      <alignment horizontal="center" vertical="center"/>
    </xf>
    <xf numFmtId="0" fontId="4" fillId="21" borderId="20" xfId="0" applyFont="1" applyFill="1" applyBorder="1" applyAlignment="1">
      <alignment horizontal="center" vertical="center"/>
    </xf>
    <xf numFmtId="168" fontId="0" fillId="0" borderId="0" xfId="1" applyNumberFormat="1"/>
    <xf numFmtId="168" fontId="0" fillId="0" borderId="0" xfId="0" applyNumberFormat="1"/>
    <xf numFmtId="172" fontId="0" fillId="0" borderId="0" xfId="4" applyNumberFormat="1"/>
    <xf numFmtId="0" fontId="15" fillId="0" borderId="0" xfId="0" applyFont="1"/>
    <xf numFmtId="0" fontId="7" fillId="0" borderId="0" xfId="0" applyFont="1"/>
    <xf numFmtId="2" fontId="8" fillId="0" borderId="0" xfId="0" applyNumberFormat="1" applyFont="1"/>
    <xf numFmtId="0" fontId="18" fillId="22" borderId="21" xfId="0" applyFont="1" applyFill="1" applyBorder="1" applyAlignment="1">
      <alignment horizontal="center" vertical="top" wrapText="1"/>
    </xf>
    <xf numFmtId="0" fontId="19" fillId="22" borderId="21" xfId="0" applyFont="1" applyFill="1" applyBorder="1" applyAlignment="1">
      <alignment horizontal="center" vertical="top" wrapText="1"/>
    </xf>
    <xf numFmtId="0" fontId="18" fillId="23" borderId="22" xfId="0" applyFont="1" applyFill="1" applyBorder="1" applyAlignment="1">
      <alignment horizontal="center" vertical="top" wrapText="1"/>
    </xf>
    <xf numFmtId="0" fontId="19" fillId="23" borderId="22" xfId="0" applyFont="1" applyFill="1" applyBorder="1" applyAlignment="1">
      <alignment horizontal="center" vertical="top" wrapText="1"/>
    </xf>
    <xf numFmtId="170" fontId="0" fillId="24" borderId="23" xfId="4" applyNumberFormat="1" applyFill="1"/>
    <xf numFmtId="1" fontId="8" fillId="0" borderId="0" xfId="0" applyNumberFormat="1" applyFont="1"/>
    <xf numFmtId="0" fontId="0" fillId="25" borderId="24" xfId="0" applyFill="1" applyBorder="1"/>
    <xf numFmtId="0" fontId="0" fillId="26" borderId="25" xfId="0" applyFill="1" applyBorder="1"/>
    <xf numFmtId="0" fontId="0" fillId="19" borderId="18" xfId="0" applyFill="1" applyBorder="1"/>
    <xf numFmtId="0" fontId="8" fillId="25" borderId="24" xfId="0" applyFont="1" applyFill="1" applyBorder="1" applyAlignment="1">
      <alignment horizontal="center"/>
    </xf>
    <xf numFmtId="0" fontId="8" fillId="26" borderId="25" xfId="0" applyFont="1" applyFill="1" applyBorder="1" applyAlignment="1">
      <alignment horizontal="center"/>
    </xf>
    <xf numFmtId="0" fontId="8" fillId="0" borderId="0" xfId="0" applyFont="1" applyAlignment="1">
      <alignment horizontal="center" vertical="center" wrapText="1"/>
    </xf>
    <xf numFmtId="2" fontId="0" fillId="0" borderId="3" xfId="0" applyNumberFormat="1" applyBorder="1" applyAlignment="1">
      <alignment horizontal="center"/>
    </xf>
    <xf numFmtId="1" fontId="8" fillId="0" borderId="3" xfId="0" applyNumberFormat="1" applyFont="1" applyBorder="1" applyAlignment="1">
      <alignment horizontal="center"/>
    </xf>
    <xf numFmtId="1" fontId="20" fillId="0" borderId="0" xfId="0" applyNumberFormat="1" applyFont="1"/>
    <xf numFmtId="2" fontId="8" fillId="0" borderId="3" xfId="0" applyNumberFormat="1" applyFont="1" applyBorder="1" applyAlignment="1">
      <alignment horizontal="center"/>
    </xf>
    <xf numFmtId="0" fontId="19" fillId="27" borderId="26" xfId="0" applyFont="1" applyFill="1" applyAlignment="1">
      <alignment horizontal="center" vertical="top" wrapText="1"/>
    </xf>
    <xf numFmtId="2" fontId="3" fillId="2" borderId="1" xfId="0" applyNumberFormat="1" applyFont="1" applyFill="1" applyBorder="1" applyAlignment="1">
      <alignment horizontal="center" vertical="center"/>
    </xf>
    <xf numFmtId="0" fontId="8" fillId="0" borderId="0" xfId="0" applyFont="1" applyAlignment="1">
      <alignment horizontal="right"/>
    </xf>
    <xf numFmtId="0" fontId="21" fillId="0" borderId="3" xfId="0" applyFont="1" applyBorder="1" applyAlignment="1">
      <alignment horizontal="left" vertical="center"/>
    </xf>
    <xf numFmtId="0" fontId="8" fillId="24" borderId="23" xfId="0" applyFont="1" applyFill="1"/>
    <xf numFmtId="0" fontId="22" fillId="0" borderId="0" xfId="0" applyFont="1" applyAlignment="1">
      <alignment horizontal="right"/>
    </xf>
    <xf numFmtId="0" fontId="8" fillId="24" borderId="23" xfId="0" applyFont="1" applyFill="1" applyAlignment="1">
      <alignment horizontal="center"/>
    </xf>
    <xf numFmtId="0" fontId="0" fillId="28" borderId="27" xfId="3" applyFill="1" applyBorder="1" applyAlignment="1">
      <alignment horizontal="right"/>
    </xf>
    <xf numFmtId="0" fontId="4" fillId="29" borderId="28" xfId="0" applyFont="1" applyFill="1" applyBorder="1" applyAlignment="1">
      <alignment horizontal="center" vertical="center"/>
    </xf>
    <xf numFmtId="2" fontId="0" fillId="0" borderId="0" xfId="0" applyNumberFormat="1" applyAlignment="1">
      <alignment horizontal="right"/>
    </xf>
    <xf numFmtId="2" fontId="8" fillId="0" borderId="0" xfId="0" applyNumberFormat="1" applyFont="1" applyAlignment="1">
      <alignment horizontal="right"/>
    </xf>
    <xf numFmtId="0" fontId="8" fillId="30" borderId="29" xfId="0" applyFont="1" applyFill="1"/>
    <xf numFmtId="0" fontId="8" fillId="30" borderId="29" xfId="0" applyFont="1" applyFill="1" applyAlignment="1">
      <alignment horizontal="center"/>
    </xf>
    <xf numFmtId="166" fontId="12" fillId="0" borderId="0" xfId="0" applyNumberFormat="1" applyFont="1"/>
    <xf numFmtId="0" fontId="20" fillId="31" borderId="30" xfId="0" applyFont="1" applyFill="1"/>
    <xf numFmtId="0" fontId="20" fillId="31" borderId="30" xfId="0" applyFont="1" applyFill="1" applyAlignment="1">
      <alignment horizontal="center"/>
    </xf>
    <xf numFmtId="165" fontId="0" fillId="0" borderId="0" xfId="1" applyAlignment="1">
      <alignment horizontal="center"/>
    </xf>
    <xf numFmtId="169" fontId="8" fillId="0" borderId="0" xfId="0" applyNumberFormat="1" applyFont="1" applyAlignment="1">
      <alignment horizontal="center"/>
    </xf>
    <xf numFmtId="9" fontId="4" fillId="6" borderId="5" xfId="0" applyNumberFormat="1" applyFont="1" applyFill="1" applyBorder="1" applyAlignment="1">
      <alignment horizontal="center" vertical="center"/>
    </xf>
    <xf numFmtId="9" fontId="4" fillId="32" borderId="31" xfId="0" applyNumberFormat="1" applyFont="1" applyFill="1" applyBorder="1" applyAlignment="1">
      <alignment horizontal="center" vertical="center"/>
    </xf>
    <xf numFmtId="0" fontId="4" fillId="32" borderId="31" xfId="0" applyFont="1" applyFill="1" applyBorder="1" applyAlignment="1">
      <alignment horizontal="center" vertical="center"/>
    </xf>
    <xf numFmtId="0" fontId="0" fillId="28" borderId="27" xfId="0" applyFill="1" applyBorder="1"/>
    <xf numFmtId="169" fontId="0" fillId="0" borderId="0" xfId="0" applyNumberFormat="1" applyAlignment="1">
      <alignment horizontal="center"/>
    </xf>
    <xf numFmtId="1" fontId="0" fillId="0" borderId="3" xfId="0" applyNumberFormat="1" applyBorder="1"/>
    <xf numFmtId="9" fontId="4" fillId="20" borderId="19" xfId="0" applyNumberFormat="1" applyFont="1" applyFill="1" applyBorder="1" applyAlignment="1">
      <alignment horizontal="center" vertical="center"/>
    </xf>
    <xf numFmtId="14" fontId="0" fillId="0" borderId="0" xfId="0" applyNumberFormat="1" applyAlignment="1">
      <alignment horizontal="center"/>
    </xf>
    <xf numFmtId="0" fontId="24" fillId="33" borderId="32" xfId="3" applyFont="1" applyFill="1"/>
    <xf numFmtId="0" fontId="24" fillId="33" borderId="32" xfId="3" applyFont="1" applyFill="1" applyAlignment="1">
      <alignment horizontal="center"/>
    </xf>
    <xf numFmtId="0" fontId="25" fillId="33" borderId="32" xfId="3" applyFont="1" applyFill="1" applyAlignment="1">
      <alignment horizontal="center"/>
    </xf>
    <xf numFmtId="0" fontId="25" fillId="33" borderId="32" xfId="3" applyFont="1" applyFill="1"/>
    <xf numFmtId="0" fontId="26" fillId="33" borderId="32" xfId="3" applyFont="1" applyFill="1" applyAlignment="1">
      <alignment horizontal="left"/>
    </xf>
    <xf numFmtId="0" fontId="26" fillId="33" borderId="32" xfId="3" applyFont="1" applyFill="1" applyAlignment="1">
      <alignment horizontal="center"/>
    </xf>
    <xf numFmtId="0" fontId="27" fillId="33" borderId="32" xfId="3" applyFont="1" applyFill="1" applyAlignment="1">
      <alignment horizontal="center"/>
    </xf>
    <xf numFmtId="0" fontId="26" fillId="34" borderId="33" xfId="3" applyFont="1" applyFill="1" applyAlignment="1">
      <alignment horizontal="left"/>
    </xf>
    <xf numFmtId="0" fontId="26" fillId="34" borderId="33" xfId="3" applyFont="1" applyFill="1" applyAlignment="1">
      <alignment horizontal="center"/>
    </xf>
    <xf numFmtId="0" fontId="27" fillId="33" borderId="32" xfId="3" applyFont="1" applyFill="1" applyAlignment="1">
      <alignment horizontal="left"/>
    </xf>
    <xf numFmtId="0" fontId="28" fillId="35" borderId="34" xfId="3" applyFont="1" applyFill="1" applyAlignment="1">
      <alignment horizontal="right"/>
    </xf>
    <xf numFmtId="0" fontId="29" fillId="0" borderId="0" xfId="3" applyFont="1"/>
    <xf numFmtId="1" fontId="29" fillId="0" borderId="0" xfId="3" applyNumberFormat="1" applyFont="1" applyAlignment="1">
      <alignment horizontal="right"/>
    </xf>
    <xf numFmtId="0" fontId="30" fillId="0" borderId="0" xfId="3" applyFont="1" applyAlignment="1">
      <alignment horizontal="center"/>
    </xf>
    <xf numFmtId="1" fontId="31" fillId="0" borderId="0" xfId="3" applyNumberFormat="1" applyFont="1" applyAlignment="1">
      <alignment horizontal="right"/>
    </xf>
    <xf numFmtId="14" fontId="29" fillId="0" borderId="0" xfId="3" applyNumberFormat="1" applyFont="1" applyAlignment="1">
      <alignment horizontal="center"/>
    </xf>
    <xf numFmtId="0" fontId="29" fillId="0" borderId="0" xfId="3" applyFont="1" applyAlignment="1">
      <alignment horizontal="center"/>
    </xf>
    <xf numFmtId="0" fontId="29" fillId="30" borderId="29" xfId="3" applyFont="1" applyFill="1" applyAlignment="1">
      <alignment horizontal="center"/>
    </xf>
    <xf numFmtId="166" fontId="29" fillId="36" borderId="35" xfId="3" applyNumberFormat="1" applyFont="1" applyFill="1" applyAlignment="1">
      <alignment horizontal="center"/>
    </xf>
    <xf numFmtId="2" fontId="29" fillId="36" borderId="35" xfId="3" applyNumberFormat="1" applyFont="1" applyFill="1" applyAlignment="1">
      <alignment horizontal="right"/>
    </xf>
    <xf numFmtId="166" fontId="33" fillId="36" borderId="35" xfId="3" applyNumberFormat="1" applyFont="1" applyFill="1" applyAlignment="1">
      <alignment horizontal="center"/>
    </xf>
    <xf numFmtId="2" fontId="33" fillId="36" borderId="35" xfId="3" applyNumberFormat="1" applyFont="1" applyFill="1" applyAlignment="1">
      <alignment horizontal="right"/>
    </xf>
    <xf numFmtId="2" fontId="29" fillId="37" borderId="36" xfId="3" applyNumberFormat="1" applyFont="1" applyFill="1" applyAlignment="1">
      <alignment horizontal="right"/>
    </xf>
    <xf numFmtId="1" fontId="29" fillId="0" borderId="0" xfId="3" applyNumberFormat="1" applyFont="1" applyAlignment="1">
      <alignment horizontal="center"/>
    </xf>
    <xf numFmtId="0" fontId="34" fillId="31" borderId="30" xfId="3" applyFont="1" applyFill="1" applyAlignment="1">
      <alignment horizontal="center"/>
    </xf>
    <xf numFmtId="0" fontId="24" fillId="14" borderId="13" xfId="3" applyFont="1" applyFill="1"/>
    <xf numFmtId="0" fontId="24" fillId="14" borderId="13" xfId="3" applyFont="1" applyFill="1" applyAlignment="1">
      <alignment horizontal="center"/>
    </xf>
    <xf numFmtId="0" fontId="25" fillId="14" borderId="13" xfId="3" applyFont="1" applyFill="1" applyAlignment="1">
      <alignment horizontal="center"/>
    </xf>
    <xf numFmtId="0" fontId="25" fillId="14" borderId="13" xfId="3" applyFont="1" applyFill="1"/>
    <xf numFmtId="0" fontId="26" fillId="38" borderId="37" xfId="3" applyFont="1" applyFill="1"/>
    <xf numFmtId="0" fontId="26" fillId="38" borderId="37" xfId="3" applyFont="1" applyFill="1" applyAlignment="1">
      <alignment horizontal="center"/>
    </xf>
    <xf numFmtId="0" fontId="26" fillId="39" borderId="38" xfId="3" applyFont="1" applyFill="1" applyAlignment="1">
      <alignment horizontal="center"/>
    </xf>
    <xf numFmtId="0" fontId="27" fillId="39" borderId="38" xfId="3" applyFont="1" applyFill="1" applyAlignment="1">
      <alignment horizontal="center"/>
    </xf>
    <xf numFmtId="0" fontId="26" fillId="39" borderId="38" xfId="3" applyFont="1" applyFill="1"/>
    <xf numFmtId="0" fontId="27" fillId="40" borderId="39" xfId="3" applyFont="1" applyFill="1"/>
    <xf numFmtId="0" fontId="27" fillId="40" borderId="39" xfId="3" applyFont="1" applyFill="1" applyAlignment="1">
      <alignment horizontal="center"/>
    </xf>
    <xf numFmtId="0" fontId="26" fillId="14" borderId="13" xfId="3" applyFont="1" applyFill="1" applyAlignment="1">
      <alignment horizontal="left"/>
    </xf>
    <xf numFmtId="0" fontId="26" fillId="14" borderId="13" xfId="3" applyFont="1" applyFill="1" applyAlignment="1">
      <alignment horizontal="center"/>
    </xf>
    <xf numFmtId="0" fontId="27" fillId="14" borderId="13" xfId="3" applyFont="1" applyFill="1" applyAlignment="1">
      <alignment horizontal="center"/>
    </xf>
    <xf numFmtId="0" fontId="26" fillId="41" borderId="40" xfId="3" applyFont="1" applyFill="1" applyAlignment="1">
      <alignment horizontal="left"/>
    </xf>
    <xf numFmtId="0" fontId="26" fillId="41" borderId="40" xfId="3" applyFont="1" applyFill="1" applyAlignment="1">
      <alignment horizontal="center"/>
    </xf>
    <xf numFmtId="0" fontId="27" fillId="14" borderId="13" xfId="3" applyFont="1" applyFill="1" applyAlignment="1">
      <alignment horizontal="left"/>
    </xf>
    <xf numFmtId="1" fontId="29" fillId="0" borderId="0" xfId="3" applyNumberFormat="1" applyFont="1"/>
    <xf numFmtId="14" fontId="0" fillId="0" borderId="0" xfId="3" applyNumberFormat="1" applyAlignment="1">
      <alignment horizontal="center"/>
    </xf>
    <xf numFmtId="166" fontId="29" fillId="37" borderId="36" xfId="3" applyNumberFormat="1" applyFont="1" applyFill="1" applyAlignment="1">
      <alignment horizontal="center"/>
    </xf>
    <xf numFmtId="2" fontId="32" fillId="37" borderId="36" xfId="3" applyNumberFormat="1" applyFont="1" applyFill="1" applyAlignment="1">
      <alignment horizontal="right"/>
    </xf>
    <xf numFmtId="2" fontId="32" fillId="42" borderId="41" xfId="3" applyNumberFormat="1" applyFont="1" applyFill="1" applyAlignment="1">
      <alignment horizontal="right"/>
    </xf>
    <xf numFmtId="0" fontId="34" fillId="35" borderId="34" xfId="3" applyFont="1" applyFill="1" applyAlignment="1">
      <alignment horizontal="right"/>
    </xf>
    <xf numFmtId="0" fontId="34" fillId="0" borderId="0" xfId="3" applyFont="1" applyAlignment="1">
      <alignment horizontal="center"/>
    </xf>
    <xf numFmtId="0" fontId="24" fillId="43" borderId="42" xfId="3" applyFont="1" applyFill="1"/>
    <xf numFmtId="0" fontId="24" fillId="43" borderId="42" xfId="3" applyFont="1" applyFill="1" applyAlignment="1">
      <alignment horizontal="center"/>
    </xf>
    <xf numFmtId="0" fontId="25" fillId="43" borderId="42" xfId="3" applyFont="1" applyFill="1" applyAlignment="1">
      <alignment horizontal="center"/>
    </xf>
    <xf numFmtId="0" fontId="25" fillId="43" borderId="42" xfId="3" applyFont="1" applyFill="1"/>
    <xf numFmtId="0" fontId="26" fillId="44" borderId="43" xfId="3" applyFont="1" applyFill="1"/>
    <xf numFmtId="0" fontId="26" fillId="44" borderId="43" xfId="3" applyFont="1" applyFill="1" applyAlignment="1">
      <alignment horizontal="center"/>
    </xf>
    <xf numFmtId="0" fontId="26" fillId="45" borderId="44" xfId="3" applyFont="1" applyFill="1" applyAlignment="1">
      <alignment horizontal="center"/>
    </xf>
    <xf numFmtId="0" fontId="27" fillId="45" borderId="44" xfId="3" applyFont="1" applyFill="1" applyAlignment="1">
      <alignment horizontal="center"/>
    </xf>
    <xf numFmtId="0" fontId="26" fillId="45" borderId="44" xfId="3" applyFont="1" applyFill="1"/>
    <xf numFmtId="0" fontId="27" fillId="46" borderId="45" xfId="3" applyFont="1" applyFill="1"/>
    <xf numFmtId="0" fontId="27" fillId="46" borderId="45" xfId="3" applyFont="1" applyFill="1" applyAlignment="1">
      <alignment horizontal="center"/>
    </xf>
    <xf numFmtId="0" fontId="26" fillId="43" borderId="42" xfId="3" applyFont="1" applyFill="1" applyAlignment="1">
      <alignment horizontal="left"/>
    </xf>
    <xf numFmtId="0" fontId="26" fillId="43" borderId="42" xfId="3" applyFont="1" applyFill="1" applyAlignment="1">
      <alignment horizontal="center"/>
    </xf>
    <xf numFmtId="0" fontId="27" fillId="43" borderId="42" xfId="3" applyFont="1" applyFill="1" applyAlignment="1">
      <alignment horizontal="center"/>
    </xf>
    <xf numFmtId="0" fontId="26" fillId="47" borderId="46" xfId="3" applyFont="1" applyFill="1" applyAlignment="1">
      <alignment horizontal="left"/>
    </xf>
    <xf numFmtId="0" fontId="26" fillId="47" borderId="46" xfId="3" applyFont="1" applyFill="1" applyAlignment="1">
      <alignment horizontal="center"/>
    </xf>
    <xf numFmtId="0" fontId="27" fillId="43" borderId="42" xfId="3" applyFont="1" applyFill="1" applyAlignment="1">
      <alignment horizontal="left"/>
    </xf>
    <xf numFmtId="14" fontId="35" fillId="0" borderId="0" xfId="3" applyNumberFormat="1" applyFont="1" applyAlignment="1">
      <alignment horizontal="center"/>
    </xf>
    <xf numFmtId="0" fontId="26" fillId="48" borderId="47" xfId="3" applyFont="1" applyFill="1"/>
    <xf numFmtId="0" fontId="26" fillId="48" borderId="47" xfId="3" applyFont="1" applyFill="1" applyAlignment="1">
      <alignment horizontal="center"/>
    </xf>
    <xf numFmtId="0" fontId="26" fillId="49" borderId="48" xfId="3" applyFont="1" applyFill="1" applyAlignment="1">
      <alignment horizontal="center"/>
    </xf>
    <xf numFmtId="0" fontId="27" fillId="49" borderId="48" xfId="3" applyFont="1" applyFill="1" applyAlignment="1">
      <alignment horizontal="center"/>
    </xf>
    <xf numFmtId="0" fontId="26" fillId="49" borderId="48" xfId="3" applyFont="1" applyFill="1"/>
    <xf numFmtId="0" fontId="27" fillId="50" borderId="49" xfId="3" applyFont="1" applyFill="1"/>
    <xf numFmtId="0" fontId="27" fillId="50" borderId="49" xfId="3" applyFont="1" applyFill="1" applyAlignment="1">
      <alignment horizontal="center"/>
    </xf>
    <xf numFmtId="0" fontId="26" fillId="51" borderId="50" xfId="3" applyFont="1" applyFill="1" applyAlignment="1">
      <alignment horizontal="left"/>
    </xf>
    <xf numFmtId="0" fontId="26" fillId="51" borderId="50" xfId="3" applyFont="1" applyFill="1" applyAlignment="1">
      <alignment horizontal="center"/>
    </xf>
    <xf numFmtId="0" fontId="27" fillId="51" borderId="50" xfId="3" applyFont="1" applyFill="1" applyAlignment="1">
      <alignment horizontal="center"/>
    </xf>
    <xf numFmtId="0" fontId="26" fillId="52" borderId="51" xfId="3" applyFont="1" applyFill="1" applyAlignment="1">
      <alignment horizontal="left"/>
    </xf>
    <xf numFmtId="0" fontId="26" fillId="53" borderId="52" xfId="3" applyFont="1" applyFill="1" applyAlignment="1">
      <alignment horizontal="center"/>
    </xf>
    <xf numFmtId="0" fontId="27" fillId="51" borderId="50" xfId="3" applyFont="1" applyFill="1" applyAlignment="1">
      <alignment horizontal="left"/>
    </xf>
    <xf numFmtId="0" fontId="34" fillId="0" borderId="0" xfId="3" applyFont="1"/>
    <xf numFmtId="0" fontId="7" fillId="0" borderId="0" xfId="3" applyFont="1"/>
    <xf numFmtId="0" fontId="7" fillId="0" borderId="0" xfId="3" applyFont="1" applyAlignment="1">
      <alignment horizontal="center"/>
    </xf>
    <xf numFmtId="0" fontId="30" fillId="0" borderId="3" xfId="3" applyFont="1" applyBorder="1"/>
    <xf numFmtId="14" fontId="30" fillId="0" borderId="3" xfId="3" applyNumberFormat="1" applyFont="1" applyBorder="1"/>
    <xf numFmtId="0" fontId="36" fillId="0" borderId="0" xfId="3" applyFont="1" applyAlignment="1">
      <alignment horizontal="center" wrapText="1"/>
    </xf>
    <xf numFmtId="0" fontId="34" fillId="0" borderId="0" xfId="3" applyFont="1" applyAlignment="1">
      <alignment horizontal="center" wrapText="1"/>
    </xf>
    <xf numFmtId="173" fontId="34" fillId="0" borderId="0" xfId="3" applyNumberFormat="1" applyFont="1"/>
    <xf numFmtId="0" fontId="37" fillId="0" borderId="0" xfId="3" applyFont="1"/>
    <xf numFmtId="0" fontId="10" fillId="54" borderId="53" xfId="3" applyFont="1" applyFill="1" applyBorder="1" applyAlignment="1">
      <alignment horizontal="left"/>
    </xf>
    <xf numFmtId="2" fontId="0" fillId="0" borderId="3" xfId="3" applyNumberFormat="1" applyBorder="1" applyAlignment="1">
      <alignment horizontal="right"/>
    </xf>
    <xf numFmtId="2" fontId="23" fillId="55" borderId="54" xfId="3" applyNumberFormat="1" applyFont="1" applyFill="1" applyBorder="1" applyAlignment="1">
      <alignment horizontal="right"/>
    </xf>
    <xf numFmtId="2" fontId="39" fillId="55" borderId="54" xfId="3" applyNumberFormat="1" applyFont="1" applyFill="1" applyBorder="1" applyAlignment="1">
      <alignment horizontal="right"/>
    </xf>
    <xf numFmtId="2" fontId="0" fillId="56" borderId="55" xfId="3" applyNumberFormat="1" applyFill="1" applyBorder="1" applyAlignment="1">
      <alignment horizontal="right"/>
    </xf>
    <xf numFmtId="14" fontId="0" fillId="0" borderId="3" xfId="0" applyNumberFormat="1" applyBorder="1"/>
    <xf numFmtId="0" fontId="0" fillId="0" borderId="3" xfId="3" applyBorder="1" applyAlignment="1">
      <alignment horizontal="right"/>
    </xf>
    <xf numFmtId="2" fontId="0" fillId="55" borderId="54" xfId="3" applyNumberFormat="1" applyFill="1" applyBorder="1" applyAlignment="1">
      <alignment horizontal="right"/>
    </xf>
    <xf numFmtId="1" fontId="0" fillId="0" borderId="3" xfId="3" applyNumberFormat="1" applyBorder="1" applyAlignment="1">
      <alignment horizontal="right"/>
    </xf>
    <xf numFmtId="2" fontId="29" fillId="0" borderId="3" xfId="3" applyNumberFormat="1" applyFont="1" applyBorder="1" applyAlignment="1">
      <alignment horizontal="right"/>
    </xf>
    <xf numFmtId="2" fontId="29" fillId="56" borderId="55" xfId="3" applyNumberFormat="1" applyFont="1" applyFill="1" applyBorder="1" applyAlignment="1">
      <alignment horizontal="right"/>
    </xf>
    <xf numFmtId="2" fontId="33" fillId="55" borderId="54" xfId="3" applyNumberFormat="1" applyFont="1" applyFill="1" applyBorder="1" applyAlignment="1">
      <alignment horizontal="right"/>
    </xf>
    <xf numFmtId="2" fontId="40" fillId="55" borderId="54" xfId="3" applyNumberFormat="1" applyFont="1" applyFill="1" applyBorder="1" applyAlignment="1">
      <alignment horizontal="right"/>
    </xf>
    <xf numFmtId="2" fontId="29" fillId="55" borderId="54" xfId="3" applyNumberFormat="1" applyFont="1" applyFill="1" applyBorder="1" applyAlignment="1">
      <alignment horizontal="right"/>
    </xf>
    <xf numFmtId="2" fontId="32" fillId="55" borderId="54" xfId="3" applyNumberFormat="1" applyFont="1" applyFill="1" applyBorder="1" applyAlignment="1">
      <alignment horizontal="right"/>
    </xf>
    <xf numFmtId="0" fontId="33" fillId="0" borderId="3" xfId="3" applyFont="1" applyBorder="1" applyAlignment="1">
      <alignment horizontal="right"/>
    </xf>
    <xf numFmtId="2" fontId="32" fillId="56" borderId="55" xfId="3" applyNumberFormat="1" applyFont="1" applyFill="1" applyBorder="1" applyAlignment="1">
      <alignment horizontal="right"/>
    </xf>
    <xf numFmtId="2" fontId="33" fillId="19" borderId="18" xfId="3" applyNumberFormat="1" applyFont="1" applyFill="1" applyBorder="1" applyAlignment="1">
      <alignment horizontal="right"/>
    </xf>
    <xf numFmtId="0" fontId="29" fillId="0" borderId="3" xfId="3" applyFont="1" applyBorder="1"/>
    <xf numFmtId="2" fontId="32" fillId="57" borderId="56" xfId="3" applyNumberFormat="1" applyFont="1" applyFill="1" applyBorder="1" applyAlignment="1">
      <alignment horizontal="right"/>
    </xf>
    <xf numFmtId="14" fontId="29" fillId="0" borderId="3" xfId="3" applyNumberFormat="1" applyFont="1" applyBorder="1" applyAlignment="1">
      <alignment horizontal="center"/>
    </xf>
    <xf numFmtId="14" fontId="0" fillId="0" borderId="3" xfId="3" applyNumberFormat="1" applyBorder="1" applyAlignment="1">
      <alignment horizontal="center"/>
    </xf>
    <xf numFmtId="0" fontId="29" fillId="19" borderId="18" xfId="3" applyFont="1" applyFill="1" applyBorder="1"/>
    <xf numFmtId="0" fontId="38" fillId="58" borderId="57" xfId="3" applyFont="1" applyFill="1" applyBorder="1"/>
    <xf numFmtId="0" fontId="38" fillId="59" borderId="58" xfId="3" applyFont="1" applyFill="1" applyBorder="1"/>
    <xf numFmtId="0" fontId="10" fillId="60" borderId="59" xfId="3" applyFont="1" applyFill="1" applyBorder="1" applyAlignment="1">
      <alignment horizontal="left"/>
    </xf>
    <xf numFmtId="0" fontId="8" fillId="0" borderId="60" xfId="3" applyFont="1" applyBorder="1" applyAlignment="1">
      <alignment horizontal="right"/>
    </xf>
    <xf numFmtId="0" fontId="10" fillId="62" borderId="61" xfId="3" applyFont="1" applyFill="1" applyBorder="1" applyAlignment="1">
      <alignment horizontal="left"/>
    </xf>
    <xf numFmtId="2" fontId="15" fillId="55" borderId="54" xfId="3" applyNumberFormat="1" applyFont="1" applyFill="1" applyBorder="1" applyAlignment="1">
      <alignment horizontal="right"/>
    </xf>
    <xf numFmtId="0" fontId="33" fillId="0" borderId="3" xfId="3" applyFont="1" applyBorder="1"/>
    <xf numFmtId="166" fontId="33" fillId="19" borderId="18" xfId="3" applyNumberFormat="1" applyFont="1" applyFill="1" applyBorder="1" applyAlignment="1">
      <alignment horizontal="center"/>
    </xf>
    <xf numFmtId="166" fontId="33" fillId="55" borderId="54" xfId="3" applyNumberFormat="1" applyFont="1" applyFill="1" applyBorder="1" applyAlignment="1">
      <alignment horizontal="center"/>
    </xf>
    <xf numFmtId="2" fontId="41" fillId="55" borderId="54" xfId="3" applyNumberFormat="1" applyFont="1" applyFill="1" applyBorder="1" applyAlignment="1">
      <alignment horizontal="right"/>
    </xf>
    <xf numFmtId="166" fontId="29" fillId="56" borderId="55" xfId="3" applyNumberFormat="1" applyFont="1" applyFill="1" applyBorder="1" applyAlignment="1">
      <alignment horizontal="center"/>
    </xf>
    <xf numFmtId="166" fontId="29" fillId="55" borderId="54" xfId="3" applyNumberFormat="1" applyFont="1" applyFill="1" applyBorder="1" applyAlignment="1">
      <alignment horizontal="center"/>
    </xf>
    <xf numFmtId="166" fontId="29" fillId="19" borderId="18" xfId="3" applyNumberFormat="1" applyFont="1" applyFill="1" applyBorder="1" applyAlignment="1">
      <alignment horizontal="center"/>
    </xf>
    <xf numFmtId="0" fontId="13" fillId="0" borderId="0" xfId="0" applyFont="1"/>
    <xf numFmtId="14" fontId="13" fillId="0" borderId="0" xfId="0" applyNumberFormat="1" applyFont="1" applyAlignment="1">
      <alignment horizontal="center"/>
    </xf>
    <xf numFmtId="0" fontId="8" fillId="63" borderId="62" xfId="0" applyFont="1" applyFill="1" applyBorder="1" applyAlignment="1">
      <alignment horizontal="center" wrapText="1"/>
    </xf>
    <xf numFmtId="0" fontId="8" fillId="64" borderId="63" xfId="0" applyFont="1" applyFill="1" applyBorder="1" applyAlignment="1">
      <alignment horizontal="center" wrapText="1"/>
    </xf>
    <xf numFmtId="0" fontId="11" fillId="0" borderId="64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1" fontId="8" fillId="63" borderId="62" xfId="0" applyNumberFormat="1" applyFont="1" applyFill="1" applyBorder="1" applyAlignment="1">
      <alignment horizontal="center" wrapText="1"/>
    </xf>
    <xf numFmtId="1" fontId="8" fillId="66" borderId="65" xfId="0" applyNumberFormat="1" applyFont="1" applyFill="1" applyBorder="1" applyAlignment="1">
      <alignment horizontal="center" wrapText="1"/>
    </xf>
    <xf numFmtId="0" fontId="8" fillId="0" borderId="66" xfId="0" applyFont="1" applyBorder="1"/>
    <xf numFmtId="174" fontId="0" fillId="0" borderId="67" xfId="0" applyNumberFormat="1" applyBorder="1"/>
    <xf numFmtId="174" fontId="0" fillId="0" borderId="68" xfId="0" applyNumberFormat="1" applyBorder="1"/>
    <xf numFmtId="0" fontId="8" fillId="0" borderId="69" xfId="0" applyFont="1" applyBorder="1"/>
    <xf numFmtId="174" fontId="0" fillId="0" borderId="70" xfId="0" applyNumberFormat="1" applyBorder="1"/>
    <xf numFmtId="0" fontId="43" fillId="72" borderId="71" xfId="0" applyFont="1" applyFill="1" applyBorder="1"/>
    <xf numFmtId="175" fontId="43" fillId="72" borderId="71" xfId="0" applyNumberFormat="1" applyFont="1" applyFill="1" applyBorder="1"/>
    <xf numFmtId="175" fontId="43" fillId="73" borderId="72" xfId="0" applyNumberFormat="1" applyFont="1" applyFill="1" applyBorder="1"/>
    <xf numFmtId="0" fontId="11" fillId="0" borderId="0" xfId="0" applyFont="1"/>
    <xf numFmtId="174" fontId="8" fillId="0" borderId="67" xfId="0" applyNumberFormat="1" applyFont="1" applyBorder="1"/>
    <xf numFmtId="171" fontId="8" fillId="0" borderId="0" xfId="2" applyNumberFormat="1" applyFont="1"/>
    <xf numFmtId="174" fontId="8" fillId="0" borderId="0" xfId="0" applyNumberFormat="1" applyFont="1"/>
    <xf numFmtId="171" fontId="8" fillId="0" borderId="73" xfId="2" applyNumberFormat="1" applyFont="1" applyBorder="1"/>
    <xf numFmtId="0" fontId="43" fillId="75" borderId="74" xfId="0" applyFont="1" applyFill="1" applyBorder="1"/>
    <xf numFmtId="175" fontId="43" fillId="75" borderId="74" xfId="0" applyNumberFormat="1" applyFont="1" applyFill="1" applyBorder="1"/>
    <xf numFmtId="175" fontId="43" fillId="76" borderId="75" xfId="0" applyNumberFormat="1" applyFont="1" applyFill="1" applyBorder="1"/>
    <xf numFmtId="0" fontId="8" fillId="77" borderId="76" xfId="0" applyFont="1" applyFill="1" applyBorder="1" applyAlignment="1">
      <alignment wrapText="1"/>
    </xf>
    <xf numFmtId="171" fontId="8" fillId="78" borderId="77" xfId="2" applyNumberFormat="1" applyFont="1" applyFill="1" applyBorder="1"/>
    <xf numFmtId="0" fontId="0" fillId="79" borderId="78" xfId="0" applyFill="1" applyBorder="1" applyAlignment="1">
      <alignment horizontal="right"/>
    </xf>
    <xf numFmtId="174" fontId="0" fillId="80" borderId="79" xfId="0" applyNumberFormat="1" applyFill="1" applyBorder="1"/>
    <xf numFmtId="0" fontId="0" fillId="81" borderId="80" xfId="0" applyFill="1" applyBorder="1" applyAlignment="1">
      <alignment horizontal="right"/>
    </xf>
    <xf numFmtId="174" fontId="0" fillId="24" borderId="23" xfId="0" applyNumberFormat="1" applyFill="1"/>
    <xf numFmtId="171" fontId="0" fillId="0" borderId="73" xfId="2" applyNumberFormat="1" applyBorder="1"/>
    <xf numFmtId="0" fontId="8" fillId="82" borderId="81" xfId="0" applyFont="1" applyFill="1" applyBorder="1" applyAlignment="1">
      <alignment wrapText="1"/>
    </xf>
    <xf numFmtId="175" fontId="8" fillId="83" borderId="82" xfId="0" applyNumberFormat="1" applyFont="1" applyFill="1" applyBorder="1"/>
    <xf numFmtId="175" fontId="0" fillId="82" borderId="81" xfId="0" applyNumberFormat="1" applyFill="1" applyBorder="1"/>
    <xf numFmtId="175" fontId="0" fillId="82" borderId="81" xfId="0" applyNumberFormat="1" applyFill="1" applyBorder="1" applyAlignment="1">
      <alignment horizontal="center"/>
    </xf>
    <xf numFmtId="0" fontId="0" fillId="84" borderId="83" xfId="0" applyFill="1" applyBorder="1" applyAlignment="1">
      <alignment horizontal="right"/>
    </xf>
    <xf numFmtId="174" fontId="0" fillId="85" borderId="84" xfId="0" applyNumberFormat="1" applyFill="1" applyBorder="1" applyAlignment="1">
      <alignment horizontal="right"/>
    </xf>
    <xf numFmtId="0" fontId="0" fillId="0" borderId="66" xfId="0" applyBorder="1" applyAlignment="1">
      <alignment horizontal="right"/>
    </xf>
    <xf numFmtId="174" fontId="0" fillId="0" borderId="0" xfId="0" applyNumberFormat="1"/>
    <xf numFmtId="0" fontId="0" fillId="0" borderId="66" xfId="0" applyBorder="1"/>
    <xf numFmtId="0" fontId="0" fillId="86" borderId="85" xfId="0" applyFill="1" applyBorder="1" applyAlignment="1">
      <alignment horizontal="right"/>
    </xf>
    <xf numFmtId="174" fontId="0" fillId="87" borderId="86" xfId="0" applyNumberFormat="1" applyFill="1" applyBorder="1" applyAlignment="1">
      <alignment horizontal="right"/>
    </xf>
    <xf numFmtId="0" fontId="0" fillId="88" borderId="87" xfId="0" applyFill="1" applyBorder="1" applyAlignment="1">
      <alignment horizontal="right"/>
    </xf>
    <xf numFmtId="174" fontId="0" fillId="35" borderId="34" xfId="0" applyNumberFormat="1" applyFill="1" applyAlignment="1">
      <alignment horizontal="right"/>
    </xf>
    <xf numFmtId="0" fontId="44" fillId="0" borderId="0" xfId="0" applyFont="1"/>
    <xf numFmtId="0" fontId="45" fillId="0" borderId="0" xfId="0" applyFont="1"/>
    <xf numFmtId="171" fontId="44" fillId="0" borderId="3" xfId="0" applyNumberFormat="1" applyFont="1" applyBorder="1"/>
    <xf numFmtId="0" fontId="0" fillId="0" borderId="67" xfId="0" applyBorder="1"/>
    <xf numFmtId="0" fontId="44" fillId="82" borderId="81" xfId="0" applyFont="1" applyFill="1" applyBorder="1"/>
    <xf numFmtId="0" fontId="44" fillId="82" borderId="81" xfId="0" applyFont="1" applyFill="1" applyBorder="1" applyAlignment="1">
      <alignment wrapText="1"/>
    </xf>
    <xf numFmtId="175" fontId="44" fillId="83" borderId="82" xfId="0" applyNumberFormat="1" applyFont="1" applyFill="1" applyBorder="1"/>
    <xf numFmtId="175" fontId="44" fillId="82" borderId="81" xfId="0" applyNumberFormat="1" applyFont="1" applyFill="1" applyBorder="1"/>
    <xf numFmtId="0" fontId="8" fillId="89" borderId="88" xfId="0" applyFont="1" applyFill="1" applyBorder="1" applyAlignment="1">
      <alignment wrapText="1"/>
    </xf>
    <xf numFmtId="0" fontId="8" fillId="89" borderId="88" xfId="0" applyFont="1" applyFill="1" applyBorder="1"/>
    <xf numFmtId="175" fontId="8" fillId="90" borderId="89" xfId="0" applyNumberFormat="1" applyFont="1" applyFill="1" applyBorder="1"/>
    <xf numFmtId="175" fontId="0" fillId="89" borderId="88" xfId="0" applyNumberFormat="1" applyFill="1" applyBorder="1"/>
    <xf numFmtId="0" fontId="0" fillId="91" borderId="90" xfId="0" applyFill="1" applyBorder="1" applyAlignment="1">
      <alignment horizontal="right"/>
    </xf>
    <xf numFmtId="174" fontId="0" fillId="41" borderId="40" xfId="0" applyNumberFormat="1" applyFill="1"/>
    <xf numFmtId="174" fontId="0" fillId="0" borderId="73" xfId="0" applyNumberFormat="1" applyBorder="1"/>
    <xf numFmtId="174" fontId="8" fillId="0" borderId="0" xfId="0" applyNumberFormat="1" applyFont="1" applyAlignment="1">
      <alignment horizontal="right"/>
    </xf>
    <xf numFmtId="0" fontId="0" fillId="92" borderId="91" xfId="0" applyFill="1" applyBorder="1" applyAlignment="1">
      <alignment horizontal="right"/>
    </xf>
    <xf numFmtId="174" fontId="0" fillId="93" borderId="92" xfId="0" applyNumberFormat="1" applyFill="1" applyAlignment="1">
      <alignment horizontal="right"/>
    </xf>
    <xf numFmtId="174" fontId="8" fillId="0" borderId="67" xfId="0" applyNumberFormat="1" applyFont="1" applyBorder="1" applyAlignment="1">
      <alignment horizontal="right"/>
    </xf>
    <xf numFmtId="0" fontId="12" fillId="0" borderId="0" xfId="0" applyFont="1"/>
    <xf numFmtId="174" fontId="0" fillId="93" borderId="92" xfId="0" applyNumberFormat="1" applyFill="1"/>
    <xf numFmtId="0" fontId="8" fillId="94" borderId="93" xfId="0" applyFont="1" applyFill="1" applyBorder="1"/>
    <xf numFmtId="171" fontId="8" fillId="90" borderId="89" xfId="2" applyNumberFormat="1" applyFont="1" applyFill="1" applyBorder="1"/>
    <xf numFmtId="174" fontId="0" fillId="95" borderId="94" xfId="0" applyNumberFormat="1" applyFill="1" applyBorder="1"/>
    <xf numFmtId="0" fontId="12" fillId="89" borderId="88" xfId="0" applyFont="1" applyFill="1" applyBorder="1" applyAlignment="1">
      <alignment wrapText="1"/>
    </xf>
    <xf numFmtId="0" fontId="12" fillId="89" borderId="88" xfId="0" applyFont="1" applyFill="1" applyBorder="1"/>
    <xf numFmtId="175" fontId="12" fillId="90" borderId="89" xfId="0" applyNumberFormat="1" applyFont="1" applyFill="1" applyBorder="1"/>
    <xf numFmtId="175" fontId="12" fillId="89" borderId="88" xfId="0" applyNumberFormat="1" applyFont="1" applyFill="1" applyBorder="1"/>
    <xf numFmtId="0" fontId="43" fillId="76" borderId="75" xfId="0" applyFont="1" applyFill="1" applyBorder="1"/>
    <xf numFmtId="0" fontId="13" fillId="0" borderId="0" xfId="0" applyFont="1" applyAlignment="1">
      <alignment wrapText="1"/>
    </xf>
    <xf numFmtId="14" fontId="13" fillId="0" borderId="0" xfId="0" applyNumberFormat="1" applyFont="1" applyAlignment="1">
      <alignment wrapText="1"/>
    </xf>
    <xf numFmtId="174" fontId="0" fillId="0" borderId="67" xfId="0" applyNumberFormat="1" applyBorder="1" applyAlignment="1">
      <alignment horizontal="right"/>
    </xf>
    <xf numFmtId="176" fontId="8" fillId="0" borderId="0" xfId="0" applyNumberFormat="1" applyFont="1"/>
    <xf numFmtId="176" fontId="8" fillId="0" borderId="0" xfId="0" applyNumberFormat="1" applyFont="1" applyAlignment="1">
      <alignment horizontal="center"/>
    </xf>
    <xf numFmtId="0" fontId="8" fillId="96" borderId="95" xfId="0" applyFont="1" applyFill="1" applyBorder="1" applyAlignment="1">
      <alignment horizontal="center"/>
    </xf>
    <xf numFmtId="177" fontId="8" fillId="96" borderId="95" xfId="1" applyNumberFormat="1" applyFont="1" applyFill="1" applyBorder="1" applyAlignment="1">
      <alignment horizontal="center" wrapText="1"/>
    </xf>
    <xf numFmtId="0" fontId="8" fillId="96" borderId="95" xfId="0" applyFont="1" applyFill="1" applyBorder="1" applyAlignment="1">
      <alignment horizontal="right"/>
    </xf>
    <xf numFmtId="171" fontId="12" fillId="0" borderId="3" xfId="2" applyNumberFormat="1" applyFont="1" applyBorder="1"/>
    <xf numFmtId="171" fontId="12" fillId="0" borderId="64" xfId="2" applyNumberFormat="1" applyFont="1" applyBorder="1" applyAlignment="1">
      <alignment horizontal="center"/>
    </xf>
    <xf numFmtId="0" fontId="0" fillId="97" borderId="96" xfId="0" applyFill="1" applyBorder="1" applyAlignment="1">
      <alignment horizontal="right"/>
    </xf>
    <xf numFmtId="174" fontId="0" fillId="98" borderId="97" xfId="0" applyNumberFormat="1" applyFill="1" applyBorder="1"/>
    <xf numFmtId="0" fontId="0" fillId="0" borderId="98" xfId="0" applyBorder="1" applyAlignment="1">
      <alignment horizontal="right"/>
    </xf>
    <xf numFmtId="174" fontId="0" fillId="0" borderId="99" xfId="0" applyNumberFormat="1" applyBorder="1"/>
    <xf numFmtId="171" fontId="0" fillId="0" borderId="100" xfId="2" applyNumberFormat="1" applyBorder="1"/>
    <xf numFmtId="178" fontId="8" fillId="96" borderId="95" xfId="4" applyNumberFormat="1" applyFont="1" applyFill="1" applyBorder="1" applyAlignment="1">
      <alignment horizontal="center" wrapText="1"/>
    </xf>
    <xf numFmtId="0" fontId="11" fillId="0" borderId="98" xfId="0" applyFont="1" applyBorder="1" applyAlignment="1">
      <alignment horizontal="right"/>
    </xf>
    <xf numFmtId="174" fontId="11" fillId="0" borderId="101" xfId="0" applyNumberFormat="1" applyFont="1" applyBorder="1"/>
    <xf numFmtId="9" fontId="8" fillId="0" borderId="70" xfId="2" applyFont="1" applyBorder="1"/>
    <xf numFmtId="9" fontId="8" fillId="0" borderId="100" xfId="2" applyFont="1" applyBorder="1"/>
    <xf numFmtId="165" fontId="8" fillId="96" borderId="95" xfId="1" applyFont="1" applyFill="1" applyBorder="1" applyAlignment="1">
      <alignment horizontal="center" wrapText="1"/>
    </xf>
    <xf numFmtId="0" fontId="23" fillId="0" borderId="0" xfId="0" applyFont="1" applyAlignment="1">
      <alignment horizontal="right"/>
    </xf>
    <xf numFmtId="174" fontId="23" fillId="0" borderId="0" xfId="0" applyNumberFormat="1" applyFont="1"/>
    <xf numFmtId="0" fontId="47" fillId="0" borderId="0" xfId="0" applyFont="1" applyAlignment="1">
      <alignment horizontal="right"/>
    </xf>
    <xf numFmtId="174" fontId="47" fillId="0" borderId="0" xfId="0" applyNumberFormat="1" applyFont="1"/>
    <xf numFmtId="2" fontId="48" fillId="0" borderId="0" xfId="0" applyNumberFormat="1" applyFont="1"/>
    <xf numFmtId="0" fontId="49" fillId="0" borderId="0" xfId="0" applyFont="1"/>
    <xf numFmtId="177" fontId="0" fillId="0" borderId="0" xfId="0" applyNumberFormat="1"/>
    <xf numFmtId="175" fontId="0" fillId="0" borderId="0" xfId="0" applyNumberFormat="1"/>
    <xf numFmtId="0" fontId="0" fillId="0" borderId="0" xfId="0" applyAlignment="1">
      <alignment wrapText="1"/>
    </xf>
    <xf numFmtId="0" fontId="8" fillId="0" borderId="0" xfId="0" applyFont="1" applyAlignment="1">
      <alignment wrapText="1"/>
    </xf>
    <xf numFmtId="0" fontId="0" fillId="0" borderId="0" xfId="0" applyAlignment="1">
      <alignment horizontal="left"/>
    </xf>
    <xf numFmtId="167" fontId="0" fillId="0" borderId="0" xfId="1" applyNumberFormat="1" applyAlignment="1">
      <alignment horizontal="center"/>
    </xf>
    <xf numFmtId="0" fontId="0" fillId="5" borderId="4" xfId="3" applyFill="1" applyBorder="1" applyAlignment="1">
      <alignment horizontal="right"/>
    </xf>
    <xf numFmtId="175" fontId="49" fillId="0" borderId="0" xfId="0" applyNumberFormat="1" applyFont="1"/>
    <xf numFmtId="174" fontId="23" fillId="87" borderId="86" xfId="0" applyNumberFormat="1" applyFont="1" applyFill="1" applyBorder="1" applyAlignment="1">
      <alignment horizontal="right"/>
    </xf>
    <xf numFmtId="0" fontId="28" fillId="5" borderId="4" xfId="3" applyFont="1" applyFill="1" applyBorder="1" applyAlignment="1">
      <alignment horizontal="right"/>
    </xf>
    <xf numFmtId="1" fontId="29" fillId="0" borderId="3" xfId="3" applyNumberFormat="1" applyFont="1" applyBorder="1" applyAlignment="1">
      <alignment horizontal="right"/>
    </xf>
    <xf numFmtId="0" fontId="30" fillId="0" borderId="3" xfId="3" applyFont="1" applyBorder="1" applyAlignment="1">
      <alignment horizontal="center"/>
    </xf>
    <xf numFmtId="174" fontId="45" fillId="95" borderId="94" xfId="0" applyNumberFormat="1" applyFont="1" applyFill="1" applyBorder="1"/>
    <xf numFmtId="0" fontId="34" fillId="5" borderId="4" xfId="3" applyFont="1" applyFill="1" applyBorder="1" applyAlignment="1">
      <alignment horizontal="right"/>
    </xf>
    <xf numFmtId="0" fontId="8" fillId="103" borderId="102" xfId="0" applyFont="1" applyFill="1" applyAlignment="1">
      <alignment horizontal="right"/>
    </xf>
    <xf numFmtId="0" fontId="8" fillId="31" borderId="30" xfId="0" applyFont="1" applyFill="1" applyAlignment="1">
      <alignment horizontal="center"/>
    </xf>
    <xf numFmtId="2" fontId="0" fillId="0" borderId="0" xfId="0" applyNumberFormat="1" applyAlignment="1">
      <alignment horizontal="left" indent="2"/>
      <extLst>
        <ext uri="smNativeData">
          <pm:cellMargin xmlns:pm="smNativeData" id="1591683921" l="384" r="0" t="0" b="0" textRotation="0"/>
        </ext>
      </extLst>
    </xf>
    <xf numFmtId="1" fontId="29" fillId="0" borderId="3" xfId="3" applyNumberFormat="1" applyFont="1" applyBorder="1"/>
    <xf numFmtId="166" fontId="41" fillId="55" borderId="54" xfId="3" applyNumberFormat="1" applyFont="1" applyFill="1" applyBorder="1" applyAlignment="1">
      <alignment horizontal="center"/>
    </xf>
    <xf numFmtId="2" fontId="32" fillId="36" borderId="35" xfId="3" applyNumberFormat="1" applyFont="1" applyFill="1" applyAlignment="1">
      <alignment horizontal="right"/>
    </xf>
    <xf numFmtId="1" fontId="8" fillId="0" borderId="0" xfId="0" applyNumberFormat="1" applyFont="1" applyAlignment="1">
      <alignment horizontal="center"/>
    </xf>
    <xf numFmtId="166" fontId="6" fillId="0" borderId="3" xfId="0" applyNumberFormat="1" applyFont="1" applyBorder="1"/>
    <xf numFmtId="0" fontId="51" fillId="104" borderId="103" xfId="0" applyFont="1" applyFill="1" applyAlignment="1">
      <alignment horizontal="center" wrapText="1"/>
    </xf>
    <xf numFmtId="0" fontId="0" fillId="105" borderId="104" xfId="0" applyFill="1" applyBorder="1"/>
    <xf numFmtId="0" fontId="52" fillId="106" borderId="105" xfId="0" applyFont="1" applyFill="1" applyAlignment="1">
      <alignment horizontal="center" wrapText="1"/>
    </xf>
    <xf numFmtId="0" fontId="53" fillId="0" borderId="0" xfId="0" applyFont="1" applyAlignment="1">
      <alignment horizontal="center" wrapText="1"/>
    </xf>
    <xf numFmtId="2" fontId="53" fillId="0" borderId="0" xfId="0" applyNumberFormat="1" applyFont="1" applyAlignment="1">
      <alignment horizontal="center" wrapText="1"/>
    </xf>
    <xf numFmtId="0" fontId="52" fillId="0" borderId="0" xfId="0" applyFont="1" applyAlignment="1">
      <alignment horizontal="center" wrapText="1"/>
    </xf>
    <xf numFmtId="0" fontId="0" fillId="0" borderId="3" xfId="0" applyBorder="1" applyAlignment="1">
      <alignment wrapText="1"/>
    </xf>
    <xf numFmtId="0" fontId="0" fillId="0" borderId="60" xfId="0" applyBorder="1" applyAlignment="1">
      <alignment wrapText="1"/>
    </xf>
    <xf numFmtId="1" fontId="0" fillId="0" borderId="70" xfId="0" applyNumberFormat="1" applyBorder="1"/>
    <xf numFmtId="0" fontId="0" fillId="0" borderId="60" xfId="0" applyBorder="1"/>
    <xf numFmtId="0" fontId="53" fillId="107" borderId="106" xfId="0" applyFont="1" applyFill="1" applyAlignment="1">
      <alignment horizontal="center" wrapText="1"/>
    </xf>
    <xf numFmtId="0" fontId="52" fillId="107" borderId="106" xfId="0" applyFont="1" applyFill="1" applyAlignment="1">
      <alignment horizontal="center" wrapText="1"/>
    </xf>
    <xf numFmtId="1" fontId="0" fillId="108" borderId="107" xfId="0" applyNumberFormat="1" applyFill="1" applyBorder="1"/>
    <xf numFmtId="0" fontId="53" fillId="0" borderId="64" xfId="0" applyFont="1" applyBorder="1" applyAlignment="1">
      <alignment horizontal="center" wrapText="1"/>
    </xf>
    <xf numFmtId="178" fontId="0" fillId="0" borderId="3" xfId="4" applyNumberFormat="1" applyBorder="1"/>
    <xf numFmtId="0" fontId="53" fillId="0" borderId="3" xfId="0" applyFont="1" applyBorder="1" applyAlignment="1">
      <alignment horizontal="center" wrapText="1"/>
    </xf>
    <xf numFmtId="178" fontId="0" fillId="0" borderId="60" xfId="4" applyNumberFormat="1" applyBorder="1"/>
    <xf numFmtId="1" fontId="0" fillId="109" borderId="108" xfId="0" applyNumberFormat="1" applyFill="1" applyBorder="1"/>
    <xf numFmtId="0" fontId="53" fillId="110" borderId="109" xfId="0" applyFont="1" applyFill="1" applyBorder="1" applyAlignment="1">
      <alignment horizontal="center" wrapText="1"/>
    </xf>
    <xf numFmtId="0" fontId="53" fillId="111" borderId="110" xfId="0" applyFont="1" applyFill="1" applyBorder="1" applyAlignment="1">
      <alignment horizontal="center" wrapText="1"/>
    </xf>
    <xf numFmtId="1" fontId="0" fillId="112" borderId="111" xfId="0" applyNumberFormat="1" applyFill="1" applyBorder="1"/>
    <xf numFmtId="171" fontId="0" fillId="113" borderId="112" xfId="2" applyNumberFormat="1" applyFill="1" applyBorder="1"/>
    <xf numFmtId="171" fontId="0" fillId="114" borderId="113" xfId="2" applyNumberFormat="1" applyFill="1" applyBorder="1"/>
    <xf numFmtId="171" fontId="0" fillId="115" borderId="114" xfId="2" applyNumberFormat="1" applyFill="1"/>
    <xf numFmtId="175" fontId="0" fillId="115" borderId="114" xfId="0" applyNumberFormat="1" applyFill="1" applyAlignment="1">
      <alignment wrapText="1"/>
    </xf>
    <xf numFmtId="175" fontId="0" fillId="115" borderId="114" xfId="0" applyNumberFormat="1" applyFill="1"/>
    <xf numFmtId="0" fontId="54" fillId="116" borderId="115" xfId="0" applyFont="1" applyFill="1" applyAlignment="1">
      <alignment horizontal="right"/>
    </xf>
    <xf numFmtId="175" fontId="8" fillId="117" borderId="116" xfId="0" applyNumberFormat="1" applyFont="1" applyFill="1" applyBorder="1"/>
    <xf numFmtId="0" fontId="8" fillId="118" borderId="117" xfId="0" applyFont="1" applyFill="1" applyAlignment="1">
      <alignment horizontal="center"/>
    </xf>
    <xf numFmtId="0" fontId="0" fillId="119" borderId="118" xfId="0" applyFill="1"/>
    <xf numFmtId="1" fontId="0" fillId="119" borderId="118" xfId="0" applyNumberFormat="1" applyFill="1"/>
    <xf numFmtId="0" fontId="0" fillId="116" borderId="115" xfId="0" applyFill="1" applyAlignment="1">
      <alignment horizontal="right"/>
    </xf>
    <xf numFmtId="1" fontId="0" fillId="116" borderId="115" xfId="0" applyNumberFormat="1" applyFill="1"/>
    <xf numFmtId="0" fontId="0" fillId="120" borderId="119" xfId="0" applyFill="1" applyAlignment="1">
      <alignment horizontal="right" wrapText="1"/>
    </xf>
    <xf numFmtId="176" fontId="0" fillId="120" borderId="119" xfId="0" applyNumberFormat="1" applyFill="1"/>
    <xf numFmtId="0" fontId="0" fillId="121" borderId="120" xfId="0" applyFill="1" applyAlignment="1">
      <alignment horizontal="right" wrapText="1"/>
    </xf>
    <xf numFmtId="176" fontId="0" fillId="121" borderId="120" xfId="0" applyNumberFormat="1" applyFill="1"/>
    <xf numFmtId="0" fontId="7" fillId="119" borderId="118" xfId="0" applyFont="1" applyFill="1" applyAlignment="1">
      <alignment horizontal="right" wrapText="1"/>
    </xf>
    <xf numFmtId="176" fontId="13" fillId="119" borderId="118" xfId="0" applyNumberFormat="1" applyFont="1" applyFill="1"/>
    <xf numFmtId="0" fontId="13" fillId="119" borderId="118" xfId="0" applyFont="1" applyFill="1" applyAlignment="1">
      <alignment horizontal="right" wrapText="1"/>
    </xf>
    <xf numFmtId="0" fontId="8" fillId="119" borderId="118" xfId="0" applyFont="1" applyFill="1"/>
    <xf numFmtId="1" fontId="8" fillId="119" borderId="118" xfId="0" applyNumberFormat="1" applyFont="1" applyFill="1"/>
    <xf numFmtId="0" fontId="8" fillId="93" borderId="92" xfId="0" applyFont="1" applyFill="1" applyAlignment="1">
      <alignment horizontal="center"/>
    </xf>
    <xf numFmtId="170" fontId="0" fillId="0" borderId="0" xfId="4" applyNumberFormat="1" applyAlignment="1">
      <alignment horizontal="center"/>
    </xf>
    <xf numFmtId="3" fontId="0" fillId="0" borderId="0" xfId="0" applyNumberFormat="1" applyAlignment="1">
      <alignment horizontal="center"/>
    </xf>
    <xf numFmtId="0" fontId="56" fillId="6" borderId="5" xfId="0" applyFont="1" applyFill="1" applyBorder="1" applyAlignment="1">
      <alignment horizontal="center" vertical="center"/>
    </xf>
    <xf numFmtId="0" fontId="55" fillId="0" borderId="0" xfId="0" applyFont="1" applyAlignment="1">
      <alignment horizontal="center"/>
    </xf>
    <xf numFmtId="0" fontId="55" fillId="0" borderId="3" xfId="0" applyFont="1" applyBorder="1" applyAlignment="1">
      <alignment horizontal="center"/>
    </xf>
    <xf numFmtId="0" fontId="8" fillId="122" borderId="121" xfId="0" applyFont="1" applyFill="1" applyBorder="1" applyAlignment="1">
      <alignment horizontal="center" wrapText="1"/>
    </xf>
    <xf numFmtId="1" fontId="8" fillId="123" borderId="122" xfId="0" applyNumberFormat="1" applyFont="1" applyFill="1" applyBorder="1" applyAlignment="1">
      <alignment horizontal="center" wrapText="1"/>
    </xf>
    <xf numFmtId="175" fontId="0" fillId="124" borderId="123" xfId="0" applyNumberFormat="1" applyFill="1" applyBorder="1"/>
    <xf numFmtId="175" fontId="0" fillId="124" borderId="123" xfId="0" applyNumberFormat="1" applyFill="1" applyBorder="1" applyAlignment="1">
      <alignment horizontal="center"/>
    </xf>
    <xf numFmtId="175" fontId="44" fillId="124" borderId="123" xfId="0" applyNumberFormat="1" applyFont="1" applyFill="1" applyBorder="1"/>
    <xf numFmtId="175" fontId="0" fillId="125" borderId="124" xfId="0" applyNumberFormat="1" applyFill="1" applyBorder="1"/>
    <xf numFmtId="175" fontId="12" fillId="125" borderId="124" xfId="0" applyNumberFormat="1" applyFont="1" applyFill="1" applyBorder="1"/>
    <xf numFmtId="14" fontId="13" fillId="35" borderId="34" xfId="0" applyNumberFormat="1" applyFont="1" applyFill="1" applyAlignment="1">
      <alignment wrapText="1"/>
    </xf>
    <xf numFmtId="175" fontId="11" fillId="126" borderId="125" xfId="0" applyNumberFormat="1" applyFont="1" applyFill="1" applyBorder="1"/>
    <xf numFmtId="0" fontId="13" fillId="0" borderId="68" xfId="0" applyFont="1" applyBorder="1"/>
    <xf numFmtId="0" fontId="0" fillId="0" borderId="68" xfId="0" applyBorder="1"/>
    <xf numFmtId="14" fontId="13" fillId="0" borderId="68" xfId="0" applyNumberFormat="1" applyFont="1" applyBorder="1" applyAlignment="1">
      <alignment horizontal="center"/>
    </xf>
    <xf numFmtId="14" fontId="13" fillId="127" borderId="126" xfId="0" applyNumberFormat="1" applyFont="1" applyFill="1" applyBorder="1" applyAlignment="1">
      <alignment horizontal="center"/>
    </xf>
    <xf numFmtId="166" fontId="50" fillId="36" borderId="35" xfId="3" applyNumberFormat="1" applyFont="1" applyFill="1" applyAlignment="1">
      <alignment horizontal="center"/>
    </xf>
    <xf numFmtId="0" fontId="34" fillId="0" borderId="0" xfId="3" applyFont="1" applyAlignment="1">
      <alignment horizontal="left"/>
    </xf>
    <xf numFmtId="175" fontId="46" fillId="78" borderId="77" xfId="0" applyNumberFormat="1" applyFont="1" applyFill="1" applyBorder="1" applyAlignment="1">
      <alignment horizontal="center"/>
    </xf>
    <xf numFmtId="0" fontId="8" fillId="128" borderId="127" xfId="0" applyFont="1" applyFill="1" applyBorder="1" applyAlignment="1">
      <alignment horizontal="left" vertical="top" wrapText="1"/>
    </xf>
    <xf numFmtId="0" fontId="8" fillId="129" borderId="128" xfId="0" applyFont="1" applyFill="1" applyBorder="1" applyAlignment="1">
      <alignment horizontal="left" vertical="top" wrapText="1"/>
    </xf>
    <xf numFmtId="0" fontId="8" fillId="130" borderId="129" xfId="0" applyFont="1" applyFill="1" applyBorder="1" applyAlignment="1">
      <alignment horizontal="left" vertical="top" wrapText="1"/>
    </xf>
    <xf numFmtId="0" fontId="8" fillId="131" borderId="130" xfId="0" applyFont="1" applyFill="1" applyBorder="1" applyAlignment="1">
      <alignment horizontal="center" vertical="top" wrapText="1"/>
    </xf>
    <xf numFmtId="175" fontId="12" fillId="90" borderId="89" xfId="0" applyNumberFormat="1" applyFont="1" applyFill="1" applyBorder="1" applyAlignment="1">
      <alignment horizontal="center"/>
    </xf>
    <xf numFmtId="0" fontId="42" fillId="132" borderId="131" xfId="0" applyFont="1" applyFill="1" applyBorder="1" applyAlignment="1">
      <alignment horizontal="center"/>
    </xf>
    <xf numFmtId="0" fontId="42" fillId="133" borderId="132" xfId="0" applyFont="1" applyFill="1" applyBorder="1" applyAlignment="1">
      <alignment horizontal="center"/>
    </xf>
    <xf numFmtId="0" fontId="42" fillId="134" borderId="133" xfId="0" applyFont="1" applyFill="1" applyBorder="1" applyAlignment="1">
      <alignment horizontal="center"/>
    </xf>
    <xf numFmtId="0" fontId="0" fillId="0" borderId="69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64" xfId="0" applyBorder="1" applyAlignment="1">
      <alignment horizontal="right"/>
    </xf>
    <xf numFmtId="0" fontId="11" fillId="136" borderId="135" xfId="0" applyFont="1" applyFill="1" applyBorder="1" applyAlignment="1">
      <alignment horizontal="center"/>
    </xf>
    <xf numFmtId="0" fontId="11" fillId="137" borderId="136" xfId="0" applyFont="1" applyFill="1" applyBorder="1" applyAlignment="1">
      <alignment horizontal="center"/>
    </xf>
    <xf numFmtId="0" fontId="11" fillId="138" borderId="137" xfId="0" applyFont="1" applyFill="1" applyBorder="1" applyAlignment="1">
      <alignment horizontal="center"/>
    </xf>
    <xf numFmtId="0" fontId="11" fillId="139" borderId="138" xfId="0" applyFont="1" applyFill="1" applyBorder="1" applyAlignment="1">
      <alignment horizontal="center"/>
    </xf>
    <xf numFmtId="0" fontId="8" fillId="140" borderId="139" xfId="0" applyFont="1" applyFill="1" applyBorder="1" applyAlignment="1">
      <alignment horizontal="left" vertical="top" wrapText="1"/>
    </xf>
    <xf numFmtId="0" fontId="8" fillId="141" borderId="140" xfId="0" applyFont="1" applyFill="1" applyBorder="1" applyAlignment="1">
      <alignment horizontal="left" vertical="top" wrapText="1"/>
    </xf>
    <xf numFmtId="0" fontId="8" fillId="142" borderId="141" xfId="0" applyFont="1" applyFill="1" applyBorder="1" applyAlignment="1">
      <alignment horizontal="left" vertical="top" wrapText="1"/>
    </xf>
    <xf numFmtId="0" fontId="0" fillId="114" borderId="113" xfId="0" applyFill="1" applyBorder="1" applyAlignment="1">
      <alignment horizontal="center"/>
    </xf>
    <xf numFmtId="0" fontId="0" fillId="143" borderId="142" xfId="0" applyFill="1" applyBorder="1" applyAlignment="1">
      <alignment horizontal="center"/>
    </xf>
    <xf numFmtId="0" fontId="0" fillId="144" borderId="143" xfId="0" applyFill="1" applyBorder="1" applyAlignment="1">
      <alignment horizontal="center"/>
    </xf>
    <xf numFmtId="0" fontId="16" fillId="22" borderId="21" xfId="0" applyFont="1" applyFill="1" applyBorder="1" applyAlignment="1">
      <alignment horizontal="center" vertical="top" wrapText="1"/>
    </xf>
    <xf numFmtId="0" fontId="17" fillId="23" borderId="22" xfId="0" applyFont="1" applyFill="1" applyBorder="1" applyAlignment="1">
      <alignment horizontal="center" vertical="top" wrapText="1"/>
    </xf>
    <xf numFmtId="0" fontId="0" fillId="0" borderId="67" xfId="0" applyBorder="1" applyAlignment="1">
      <alignment horizontal="center"/>
    </xf>
    <xf numFmtId="0" fontId="0" fillId="0" borderId="98" xfId="0" applyBorder="1"/>
    <xf numFmtId="1" fontId="0" fillId="0" borderId="99" xfId="0" applyNumberFormat="1" applyBorder="1"/>
    <xf numFmtId="0" fontId="0" fillId="0" borderId="99" xfId="0" applyBorder="1" applyAlignment="1">
      <alignment horizontal="center"/>
    </xf>
    <xf numFmtId="0" fontId="0" fillId="0" borderId="101" xfId="0" applyBorder="1" applyAlignment="1">
      <alignment horizontal="center"/>
    </xf>
    <xf numFmtId="0" fontId="0" fillId="145" borderId="144" xfId="0" applyFill="1" applyBorder="1"/>
    <xf numFmtId="0" fontId="0" fillId="88" borderId="87" xfId="0" applyFill="1" applyBorder="1"/>
    <xf numFmtId="0" fontId="0" fillId="146" borderId="145" xfId="0" applyFill="1" applyBorder="1"/>
    <xf numFmtId="165" fontId="0" fillId="0" borderId="66" xfId="1" applyBorder="1" applyAlignment="1">
      <alignment horizontal="center"/>
    </xf>
    <xf numFmtId="166" fontId="0" fillId="0" borderId="67" xfId="0" applyNumberFormat="1" applyBorder="1" applyAlignment="1">
      <alignment horizontal="center"/>
    </xf>
    <xf numFmtId="165" fontId="0" fillId="0" borderId="98" xfId="1" applyBorder="1" applyAlignment="1">
      <alignment horizontal="center"/>
    </xf>
    <xf numFmtId="166" fontId="0" fillId="0" borderId="101" xfId="0" applyNumberFormat="1" applyBorder="1" applyAlignment="1">
      <alignment horizontal="center"/>
    </xf>
    <xf numFmtId="2" fontId="0" fillId="0" borderId="67" xfId="0" applyNumberFormat="1" applyBorder="1" applyAlignment="1">
      <alignment horizontal="center"/>
    </xf>
    <xf numFmtId="2" fontId="0" fillId="0" borderId="99" xfId="0" applyNumberFormat="1" applyBorder="1" applyAlignment="1">
      <alignment horizontal="center"/>
    </xf>
    <xf numFmtId="2" fontId="0" fillId="0" borderId="101" xfId="0" applyNumberFormat="1" applyBorder="1" applyAlignment="1">
      <alignment horizontal="center"/>
    </xf>
    <xf numFmtId="2" fontId="0" fillId="0" borderId="67" xfId="0" applyNumberFormat="1" applyBorder="1"/>
    <xf numFmtId="2" fontId="0" fillId="0" borderId="99" xfId="0" applyNumberFormat="1" applyBorder="1"/>
    <xf numFmtId="2" fontId="0" fillId="0" borderId="101" xfId="0" applyNumberFormat="1" applyBorder="1"/>
    <xf numFmtId="0" fontId="0" fillId="0" borderId="99" xfId="0" applyBorder="1"/>
    <xf numFmtId="0" fontId="0" fillId="0" borderId="101" xfId="0" applyBorder="1"/>
    <xf numFmtId="0" fontId="8" fillId="0" borderId="67" xfId="0" applyFont="1" applyBorder="1"/>
    <xf numFmtId="0" fontId="8" fillId="0" borderId="99" xfId="0" applyFont="1" applyBorder="1"/>
    <xf numFmtId="0" fontId="8" fillId="0" borderId="101" xfId="0" applyFont="1" applyBorder="1"/>
    <xf numFmtId="1" fontId="0" fillId="0" borderId="67" xfId="0" applyNumberFormat="1" applyBorder="1"/>
    <xf numFmtId="1" fontId="0" fillId="0" borderId="101" xfId="0" applyNumberFormat="1" applyBorder="1"/>
    <xf numFmtId="0" fontId="10" fillId="147" borderId="146" xfId="0" applyFont="1" applyFill="1" applyBorder="1"/>
    <xf numFmtId="0" fontId="10" fillId="148" borderId="147" xfId="0" applyFont="1" applyFill="1" applyBorder="1"/>
    <xf numFmtId="0" fontId="10" fillId="148" borderId="147" xfId="0" applyFont="1" applyFill="1" applyBorder="1" applyAlignment="1">
      <alignment horizontal="center"/>
    </xf>
    <xf numFmtId="0" fontId="10" fillId="149" borderId="148" xfId="0" applyFont="1" applyFill="1" applyBorder="1" applyAlignment="1">
      <alignment horizontal="center"/>
    </xf>
    <xf numFmtId="0" fontId="10" fillId="150" borderId="149" xfId="0" applyFont="1" applyFill="1" applyBorder="1" applyAlignment="1">
      <alignment horizontal="center"/>
    </xf>
    <xf numFmtId="0" fontId="10" fillId="151" borderId="150" xfId="0" applyFont="1" applyFill="1" applyBorder="1" applyAlignment="1">
      <alignment horizontal="center"/>
    </xf>
    <xf numFmtId="0" fontId="10" fillId="152" borderId="151" xfId="0" applyFont="1" applyFill="1" applyBorder="1" applyAlignment="1">
      <alignment horizontal="center"/>
    </xf>
    <xf numFmtId="0" fontId="10" fillId="153" borderId="152" xfId="0" applyFont="1" applyFill="1" applyBorder="1" applyAlignment="1">
      <alignment horizontal="center"/>
    </xf>
    <xf numFmtId="0" fontId="10" fillId="154" borderId="153" xfId="0" applyFont="1" applyFill="1" applyBorder="1"/>
    <xf numFmtId="0" fontId="10" fillId="155" borderId="154" xfId="0" applyFont="1" applyFill="1" applyBorder="1"/>
    <xf numFmtId="0" fontId="10" fillId="156" borderId="155" xfId="0" applyFont="1" applyFill="1" applyBorder="1"/>
    <xf numFmtId="0" fontId="10" fillId="157" borderId="156" xfId="0" applyFont="1" applyFill="1" applyBorder="1"/>
  </cellXfs>
  <cellStyles count="5">
    <cellStyle name="Normal" xfId="0" builtinId="0" customBuiltin="1"/>
    <cellStyle name="Comma" xfId="1" builtinId="3" customBuiltin="1"/>
    <cellStyle name="Percent" xfId="2" builtinId="5" customBuiltin="1"/>
    <cellStyle name="Excel Built-in Normal" xfId="3"/>
    <cellStyle name="Currency" xfId="4" builtinId="4" customBuiltin="1"/>
  </cellStyles>
  <dxfs count="129">
    <dxf>
      <font>
        <b/>
        <i val="0"/>
        <color rgb="FF000000"/>
        <extLst>
          <ext uri="smNativeData">
            <pm:charSpec xmlns:pm="smNativeData" id="1591683921" fgClr="000000">
              <pm:latin weight="bold" i="0"/>
              <pm:cs weight="bold" i="0"/>
              <pm:ea weight="bold" i="0"/>
            </pm:charSpec>
          </ext>
        </extLst>
      </font>
      <fill>
        <patternFill patternType="none"/>
      </fill>
    </dxf>
    <dxf>
      <font>
        <color rgb="FF9C0006"/>
        <extLst>
          <ext uri="smNativeData">
            <pm:charSpec xmlns:pm="smNativeData" id="1591683921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1683921" type="1" fgLvl="100" fgClr="00FFC7CE" bgLvl="100" bgClr="FFFFFFFF"/>
            </ext>
          </extLst>
        </patternFill>
      </fill>
    </dxf>
    <dxf>
      <font>
        <color rgb="FF9C6500"/>
        <extLst>
          <ext uri="smNativeData">
            <pm:charSpec xmlns:pm="smNativeData" id="1591683921" fgClr="9C65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1683921" type="1" fgLvl="100" fgClr="00FFEB9C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683921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683921" type="1" fgLvl="100" fgClr="00C6EFCE" bgLvl="100" bgClr="FFFFFFFF"/>
            </ext>
          </extLst>
        </patternFill>
      </fill>
    </dxf>
    <dxf>
      <font>
        <color rgb="FF9C6500"/>
        <extLst>
          <ext uri="smNativeData">
            <pm:charSpec xmlns:pm="smNativeData" id="1591683921" fgClr="9C65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1683921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1683921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1683921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683921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683921" type="1" fgLvl="100" fgClr="00C6EFCE" bgLvl="100" bgClr="FFFFFFFF"/>
            </ext>
          </extLst>
        </patternFill>
      </fill>
    </dxf>
    <dxf>
      <font>
        <b val="0"/>
        <color rgb="FF800000"/>
        <extLst>
          <ext uri="smNativeData">
            <pm:charSpec xmlns:pm="smNativeData" id="1591683921" fgClr="800000">
              <pm:latin weight="normal"/>
              <pm:cs weight="normal"/>
              <pm:ea weight="normal"/>
            </pm:charSpec>
          </ext>
        </extLst>
      </font>
      <fill>
        <patternFill patternType="solid">
          <bgColor rgb="FFFFFF99"/>
          <extLst>
            <ext uri="smNativeData">
              <pm:shade xmlns:pm="smNativeData" id="1591683921" type="1" fgLvl="100" fgClr="00FFFF99" bgLvl="0" bgClr="00FF99CC"/>
            </ext>
          </extLst>
        </patternFill>
      </fill>
    </dxf>
    <dxf>
      <font>
        <b val="0"/>
        <color rgb="FF008000"/>
        <extLst>
          <ext uri="smNativeData">
            <pm:charSpec xmlns:pm="smNativeData" id="1591683921" fgClr="008000">
              <pm:latin weight="normal"/>
              <pm:cs weight="normal"/>
              <pm:ea weight="normal"/>
            </pm:charSpec>
          </ext>
        </extLst>
      </font>
      <fill>
        <patternFill patternType="solid">
          <bgColor rgb="FFCCFFFF"/>
          <extLst>
            <ext uri="smNativeData">
              <pm:shade xmlns:pm="smNativeData" id="1591683921" type="1" fgLvl="100" fgClr="00CCFFFF" bgLvl="0" bgClr="00CCFFCC"/>
            </ext>
          </extLst>
        </patternFill>
      </fill>
    </dxf>
    <dxf>
      <font>
        <b val="0"/>
        <color rgb="FF800000"/>
        <extLst>
          <ext uri="smNativeData">
            <pm:charSpec xmlns:pm="smNativeData" id="1591683921" fgClr="800000">
              <pm:latin weight="normal"/>
              <pm:cs weight="normal"/>
              <pm:ea weight="normal"/>
            </pm:charSpec>
          </ext>
        </extLst>
      </font>
      <fill>
        <patternFill patternType="solid">
          <bgColor rgb="FFFFFF99"/>
          <extLst>
            <ext uri="smNativeData">
              <pm:shade xmlns:pm="smNativeData" id="1591683921" type="1" fgLvl="100" fgClr="00FFFF99" bgLvl="0" bgClr="00FF99CC"/>
            </ext>
          </extLst>
        </patternFill>
      </fill>
    </dxf>
    <dxf>
      <font>
        <b val="0"/>
        <color rgb="FF008000"/>
        <extLst>
          <ext uri="smNativeData">
            <pm:charSpec xmlns:pm="smNativeData" id="1591683921" fgClr="008000">
              <pm:latin weight="normal"/>
              <pm:cs weight="normal"/>
              <pm:ea weight="normal"/>
            </pm:charSpec>
          </ext>
        </extLst>
      </font>
      <fill>
        <patternFill patternType="solid">
          <bgColor rgb="FFCCFFFF"/>
          <extLst>
            <ext uri="smNativeData">
              <pm:shade xmlns:pm="smNativeData" id="1591683921" type="1" fgLvl="100" fgClr="00CCFFFF" bgLvl="0" bgClr="00CCFFCC"/>
            </ext>
          </extLst>
        </patternFill>
      </fill>
    </dxf>
    <dxf>
      <font>
        <b val="0"/>
        <color rgb="FF800000"/>
        <extLst>
          <ext uri="smNativeData">
            <pm:charSpec xmlns:pm="smNativeData" id="1591683921" fgClr="800000">
              <pm:latin weight="normal"/>
              <pm:cs weight="normal"/>
              <pm:ea weight="normal"/>
            </pm:charSpec>
          </ext>
        </extLst>
      </font>
      <fill>
        <patternFill patternType="solid">
          <bgColor rgb="FFFFFF99"/>
          <extLst>
            <ext uri="smNativeData">
              <pm:shade xmlns:pm="smNativeData" id="1591683921" type="1" fgLvl="100" fgClr="00FFFF99" bgLvl="0" bgClr="00FF99CC"/>
            </ext>
          </extLst>
        </patternFill>
      </fill>
    </dxf>
    <dxf>
      <font>
        <b val="0"/>
        <color rgb="FF008000"/>
        <extLst>
          <ext uri="smNativeData">
            <pm:charSpec xmlns:pm="smNativeData" id="1591683921" fgClr="008000">
              <pm:latin weight="normal"/>
              <pm:cs weight="normal"/>
              <pm:ea weight="normal"/>
            </pm:charSpec>
          </ext>
        </extLst>
      </font>
      <fill>
        <patternFill patternType="solid">
          <bgColor rgb="FFCCFFFF"/>
          <extLst>
            <ext uri="smNativeData">
              <pm:shade xmlns:pm="smNativeData" id="1591683921" type="1" fgLvl="100" fgClr="00CCFFFF" bgLvl="0" bgClr="00CCFFCC"/>
            </ext>
          </extLst>
        </patternFill>
      </fill>
    </dxf>
    <dxf>
      <font>
        <b val="0"/>
        <color rgb="FF800000"/>
        <extLst>
          <ext uri="smNativeData">
            <pm:charSpec xmlns:pm="smNativeData" id="1591683921" fgClr="800000">
              <pm:latin weight="normal"/>
              <pm:cs weight="normal"/>
              <pm:ea weight="normal"/>
            </pm:charSpec>
          </ext>
        </extLst>
      </font>
      <fill>
        <patternFill patternType="solid">
          <bgColor rgb="FFFFFF99"/>
          <extLst>
            <ext uri="smNativeData">
              <pm:shade xmlns:pm="smNativeData" id="1591683921" type="1" fgLvl="100" fgClr="00FFFF99" bgLvl="0" bgClr="00FF99CC"/>
            </ext>
          </extLst>
        </patternFill>
      </fill>
    </dxf>
    <dxf>
      <font>
        <b val="0"/>
        <color rgb="FF008000"/>
        <extLst>
          <ext uri="smNativeData">
            <pm:charSpec xmlns:pm="smNativeData" id="1591683921" fgClr="008000">
              <pm:latin weight="normal"/>
              <pm:cs weight="normal"/>
              <pm:ea weight="normal"/>
            </pm:charSpec>
          </ext>
        </extLst>
      </font>
      <fill>
        <patternFill patternType="solid">
          <bgColor rgb="FFCCFFFF"/>
          <extLst>
            <ext uri="smNativeData">
              <pm:shade xmlns:pm="smNativeData" id="1591683921" type="1" fgLvl="100" fgClr="00CCFFFF" bgLvl="0" bgClr="00CCFFCC"/>
            </ext>
          </extLst>
        </patternFill>
      </fill>
    </dxf>
    <dxf>
      <font>
        <b val="0"/>
        <color rgb="FF800000"/>
        <extLst>
          <ext uri="smNativeData">
            <pm:charSpec xmlns:pm="smNativeData" id="1591683921" fgClr="800000">
              <pm:latin weight="normal"/>
              <pm:cs weight="normal"/>
              <pm:ea weight="normal"/>
            </pm:charSpec>
          </ext>
        </extLst>
      </font>
      <fill>
        <patternFill patternType="solid">
          <bgColor rgb="FFFFFF99"/>
          <extLst>
            <ext uri="smNativeData">
              <pm:shade xmlns:pm="smNativeData" id="1591683921" type="1" fgLvl="100" fgClr="00FFFF99" bgLvl="0" bgClr="00FF99CC"/>
            </ext>
          </extLst>
        </patternFill>
      </fill>
    </dxf>
    <dxf>
      <font>
        <b val="0"/>
        <color rgb="FF008000"/>
        <extLst>
          <ext uri="smNativeData">
            <pm:charSpec xmlns:pm="smNativeData" id="1591683921" fgClr="008000">
              <pm:latin weight="normal"/>
              <pm:cs weight="normal"/>
              <pm:ea weight="normal"/>
            </pm:charSpec>
          </ext>
        </extLst>
      </font>
      <fill>
        <patternFill patternType="solid">
          <bgColor rgb="FFCCFFFF"/>
          <extLst>
            <ext uri="smNativeData">
              <pm:shade xmlns:pm="smNativeData" id="1591683921" type="1" fgLvl="100" fgClr="00CCFFFF" bgLvl="0" bgClr="00CCFFCC"/>
            </ext>
          </extLst>
        </patternFill>
      </fill>
    </dxf>
    <dxf>
      <font>
        <b val="0"/>
        <color rgb="FF800000"/>
        <extLst>
          <ext uri="smNativeData">
            <pm:charSpec xmlns:pm="smNativeData" id="1591683921" fgClr="800000">
              <pm:latin weight="normal"/>
              <pm:cs weight="normal"/>
              <pm:ea weight="normal"/>
            </pm:charSpec>
          </ext>
        </extLst>
      </font>
      <fill>
        <patternFill patternType="solid">
          <bgColor rgb="FFFFFF99"/>
          <extLst>
            <ext uri="smNativeData">
              <pm:shade xmlns:pm="smNativeData" id="1591683921" type="1" fgLvl="100" fgClr="00FFFF99" bgLvl="0" bgClr="00FF99CC"/>
            </ext>
          </extLst>
        </patternFill>
      </fill>
    </dxf>
    <dxf>
      <font>
        <b val="0"/>
        <color rgb="FF008000"/>
        <extLst>
          <ext uri="smNativeData">
            <pm:charSpec xmlns:pm="smNativeData" id="1591683921" fgClr="008000">
              <pm:latin weight="normal"/>
              <pm:cs weight="normal"/>
              <pm:ea weight="normal"/>
            </pm:charSpec>
          </ext>
        </extLst>
      </font>
      <fill>
        <patternFill patternType="solid">
          <bgColor rgb="FFCCFFFF"/>
          <extLst>
            <ext uri="smNativeData">
              <pm:shade xmlns:pm="smNativeData" id="1591683921" type="1" fgLvl="100" fgClr="00CCFFFF" bgLvl="0" bgClr="00CCFFCC"/>
            </ext>
          </extLst>
        </patternFill>
      </fill>
    </dxf>
    <dxf>
      <font>
        <b val="0"/>
        <color rgb="FF800000"/>
        <extLst>
          <ext uri="smNativeData">
            <pm:charSpec xmlns:pm="smNativeData" id="1591683921" fgClr="800000">
              <pm:latin weight="normal"/>
              <pm:cs weight="normal"/>
              <pm:ea weight="normal"/>
            </pm:charSpec>
          </ext>
        </extLst>
      </font>
      <fill>
        <patternFill patternType="solid">
          <bgColor rgb="FFFFFF99"/>
          <extLst>
            <ext uri="smNativeData">
              <pm:shade xmlns:pm="smNativeData" id="1591683921" type="1" fgLvl="100" fgClr="00FFFF99" bgLvl="0" bgClr="00FF99CC"/>
            </ext>
          </extLst>
        </patternFill>
      </fill>
    </dxf>
    <dxf>
      <font>
        <b val="0"/>
        <color rgb="FF008000"/>
        <extLst>
          <ext uri="smNativeData">
            <pm:charSpec xmlns:pm="smNativeData" id="1591683921" fgClr="008000">
              <pm:latin weight="normal"/>
              <pm:cs weight="normal"/>
              <pm:ea weight="normal"/>
            </pm:charSpec>
          </ext>
        </extLst>
      </font>
      <fill>
        <patternFill patternType="solid">
          <bgColor rgb="FFCCFFFF"/>
          <extLst>
            <ext uri="smNativeData">
              <pm:shade xmlns:pm="smNativeData" id="1591683921" type="1" fgLvl="100" fgClr="00CCFFFF" bgLvl="0" bgClr="00CCFFCC"/>
            </ext>
          </extLst>
        </patternFill>
      </fill>
    </dxf>
    <dxf>
      <font>
        <color rgb="FF9C6500"/>
        <extLst>
          <ext uri="smNativeData">
            <pm:charSpec xmlns:pm="smNativeData" id="1591683921" fgClr="9C65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1683921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1683921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1683921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683921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683921" type="1" fgLvl="100" fgClr="00C6EFCE" bgLvl="100" bgClr="FFFFFFFF"/>
            </ext>
          </extLst>
        </patternFill>
      </fill>
    </dxf>
    <dxf>
      <font>
        <color rgb="FF9C6500"/>
        <extLst>
          <ext uri="smNativeData">
            <pm:charSpec xmlns:pm="smNativeData" id="1591683921" fgClr="9C65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1683921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1683921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1683921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683921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683921" type="1" fgLvl="100" fgClr="00C6EF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1683921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1683921" type="1" fgLvl="100" fgClr="00FFC7CE" bgLvl="100" bgClr="FFFFFFFF"/>
            </ext>
          </extLst>
        </patternFill>
      </fill>
    </dxf>
    <dxf>
      <font>
        <color rgb="FF9C6500"/>
        <extLst>
          <ext uri="smNativeData">
            <pm:charSpec xmlns:pm="smNativeData" id="1591683921" fgClr="9C65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1683921" type="1" fgLvl="100" fgClr="00FFEB9C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683921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683921" type="1" fgLvl="100" fgClr="00C6EFCE" bgLvl="100" bgClr="FFFFFFFF"/>
            </ext>
          </extLst>
        </patternFill>
      </fill>
    </dxf>
    <dxf>
      <font>
        <color rgb="FF9C6500"/>
        <extLst>
          <ext uri="smNativeData">
            <pm:charSpec xmlns:pm="smNativeData" id="1591683921" fgClr="9C65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1683921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1683921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1683921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683921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683921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683921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683921" type="1" fgLvl="100" fgClr="00C6EF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1683921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1683921" type="1" fgLvl="100" fgClr="00FFC7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1683921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1683921" type="1" fgLvl="100" fgClr="00FFC7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1683921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1683921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683921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683921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683921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683921" type="1" fgLvl="100" fgClr="00C6EF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1683921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1683921" type="1" fgLvl="100" fgClr="00FFC7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1683921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1683921" type="1" fgLvl="100" fgClr="00FFC7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1683921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1683921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683921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683921" type="1" fgLvl="100" fgClr="00C6EFCE" bgLvl="100" bgClr="FFFFFFFF"/>
            </ext>
          </extLst>
        </patternFill>
      </fill>
    </dxf>
    <dxf>
      <font>
        <color rgb="FF9C6500"/>
        <extLst>
          <ext uri="smNativeData">
            <pm:charSpec xmlns:pm="smNativeData" id="1591683921" fgClr="9C65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1683921" type="1" fgLvl="100" fgClr="00FFEB9C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683921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683921" type="1" fgLvl="100" fgClr="00C6EF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1683921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1683921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683921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683921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683921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683921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683921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683921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683921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683921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683921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683921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683921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683921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683921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683921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683921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683921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683921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683921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683921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683921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1683921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1683921" type="1" fgLvl="100" fgClr="00C6EFCE" bgLvl="100" bgClr="FFFFFFFF"/>
            </ext>
          </extLst>
        </patternFill>
      </fill>
    </dxf>
  </dxfs>
  <tableStyles count="0"/>
  <extLst>
    <ext uri="smNativeData">
      <pm:charStyles xmlns:pm="smNativeData" id="1591683921" count="1">
        <pm:charStyle name="Normal" fontId="0" Id="1"/>
      </pm:charStyles>
      <pm:colors xmlns:pm="smNativeData" id="1591683921" count="70">
        <pm:color name="Color 24" rgb="E26B0A"/>
        <pm:color name="Color 25" rgb="00B050"/>
        <pm:color name="Color 26" rgb="535353"/>
        <pm:color name="Color 27" rgb="548235"/>
        <pm:color name="Color 28" rgb="385724"/>
        <pm:color name="Color 29" rgb="EEEEEE"/>
        <pm:color name="Color 30" rgb="DAEEF3"/>
        <pm:color name="Color 31" rgb="366092"/>
        <pm:color name="Color 32" rgb="B7DEE8"/>
        <pm:color name="Color 33" rgb="FABF8F"/>
        <pm:color name="Color 34" rgb="FFC000"/>
        <pm:color name="Color 35" rgb="0070C0"/>
        <pm:color name="Color 36" rgb="002060"/>
        <pm:color name="Color 37" rgb="7030A0"/>
        <pm:color name="Color 38" rgb="76933C"/>
        <pm:color name="Color 39" rgb="D8D8D8"/>
        <pm:color name="Color 40" rgb="963634"/>
        <pm:color name="Color 41" rgb="F2F2F2"/>
        <pm:color name="Color 42" rgb="FFFFDD"/>
        <pm:color name="Color 43" rgb="C2D69A"/>
        <pm:color name="Color 44" rgb="B8CCE4"/>
        <pm:color name="Color 45" rgb="EBF1DC"/>
        <pm:color name="Color 46" rgb="FDE9D9"/>
        <pm:color name="Color 47" rgb="60497A"/>
        <pm:color name="Color 48" rgb="B1A0C7"/>
        <pm:color name="Color 49" rgb="969696"/>
        <pm:color name="Lima" rgb="99CC00"/>
        <pm:color name="Magenta claro" rgb="FF99CC"/>
        <pm:color name="Lavanda" rgb="CC99FF"/>
        <pm:color name="Cian claro" rgb="CCFFFF"/>
        <pm:color name="Color 54" rgb="C5D9F1"/>
        <pm:color name="Color 55" rgb="DA9694"/>
        <pm:color name="Color 56" rgb="585858"/>
        <pm:color name="Color 57" rgb="3E3E3E"/>
        <pm:color name="Color 58" rgb="F2DCDB"/>
        <pm:color name="Color 59" rgb="FFEB9C"/>
        <pm:color name="Color 60" rgb="FFE699"/>
        <pm:color name="Color 61" rgb="92D050"/>
        <pm:color name="Color 62" rgb="215967"/>
        <pm:color name="Color 63" rgb="000080"/>
        <pm:color name="Color 64" rgb="DAE3F3"/>
        <pm:color name="Color 65" rgb="DBDBDB"/>
        <pm:color name="Color 66" rgb="D9D9D9"/>
        <pm:color name="Color 67" rgb="D7E3BB"/>
        <pm:color name="Color 68" rgb="B4C7E7"/>
        <pm:color name="Color 69" rgb="F8CBAD"/>
        <pm:color name="Color 70" rgb="FFC7CE"/>
        <pm:color name="Color 71" rgb="E4DFEC"/>
        <pm:color name="Color 72" rgb="BDD7EE"/>
        <pm:color name="Color 73" rgb="D0CECE"/>
        <pm:color name="Color 74" rgb="A9D18E"/>
        <pm:color name="Color 75" rgb="AFABAB"/>
        <pm:color name="Color 76" rgb="ADB9CA"/>
        <pm:color name="Color 77" rgb="BFBFBF"/>
        <pm:color name="Color 78" rgb="FFFFCC"/>
        <pm:color name="Color 79" rgb="639A3F"/>
        <pm:color name="Color 80" rgb="E3AB00"/>
        <pm:color name="Color 81" rgb="C9C9C9"/>
        <pm:color name="Color 82" rgb="006100"/>
        <pm:color name="Color 83" rgb="C6EFCE"/>
        <pm:color name="Color 84" rgb="9C0006"/>
        <pm:color name="Color 85" rgb="9C6500"/>
        <pm:color name="Color 86" rgb="008000"/>
        <pm:color name="Verde claro" rgb="CCFFCC"/>
        <pm:color name="Color 88" rgb="800000"/>
        <pm:color name="Amarillo claro" rgb="FFFF99"/>
        <pm:color name="Color 90" rgb="E6B8B7"/>
        <pm:color name="Color 91" rgb="4F81BD"/>
        <pm:color name="Color 92" rgb="95B3D7"/>
        <pm:color name="Color 93" rgb="DCE6F1"/>
      </pm:colors>
    </ext>
  </extLst>
</styleSheet>
</file>

<file path=xl/_rels/workbook.xml.rels><?xml version="1.0" encoding="UTF-8" standalone="yes" 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externalLink" Target="externalLinks/externalLink1.xml"/><Relationship Id="rId5" Type="http://schemas.openxmlformats.org/officeDocument/2006/relationships/worksheet" Target="worksheets/sheet1.xml"/><Relationship Id="rId6" Type="http://schemas.openxmlformats.org/officeDocument/2006/relationships/worksheet" Target="worksheets/sheet2.xml"/><Relationship Id="rId7" Type="http://schemas.openxmlformats.org/officeDocument/2006/relationships/worksheet" Target="worksheets/sheet3.xml"/><Relationship Id="rId8" Type="http://schemas.openxmlformats.org/officeDocument/2006/relationships/worksheet" Target="worksheets/sheet4.xml"/><Relationship Id="rId9" Type="http://schemas.openxmlformats.org/officeDocument/2006/relationships/worksheet" Target="worksheets/sheet5.xml"/><Relationship Id="rId10" Type="http://schemas.openxmlformats.org/officeDocument/2006/relationships/worksheet" Target="worksheets/sheet6.xml"/><Relationship Id="rId11" Type="http://schemas.openxmlformats.org/officeDocument/2006/relationships/worksheet" Target="worksheets/sheet7.xml"/><Relationship Id="rId12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4" Type="http://schemas.openxmlformats.org/officeDocument/2006/relationships/worksheet" Target="worksheets/sheet10.xml"/><Relationship Id="rId15" Type="http://schemas.openxmlformats.org/officeDocument/2006/relationships/worksheet" Target="worksheets/sheet11.xml"/><Relationship Id="rId16" Type="http://schemas.openxmlformats.org/officeDocument/2006/relationships/worksheet" Target="worksheets/sheet12.xml"/><Relationship Id="rId17" Type="http://schemas.openxmlformats.org/officeDocument/2006/relationships/worksheet" Target="worksheets/sheet13.xml"/><Relationship Id="rId18" Type="http://schemas.openxmlformats.org/officeDocument/2006/relationships/worksheet" Target="worksheets/sheet14.xml"/><Relationship Id="rId19" Type="http://schemas.openxmlformats.org/officeDocument/2006/relationships/worksheet" Target="worksheets/sheet15.xml"/><Relationship Id="rId20" Type="http://schemas.openxmlformats.org/officeDocument/2006/relationships/worksheet" Target="worksheets/sheet16.xml"/><Relationship Id="rId21" Type="http://schemas.openxmlformats.org/officeDocument/2006/relationships/worksheet" Target="worksheets/sheet17.xml"/><Relationship Id="rId22" Type="http://schemas.openxmlformats.org/officeDocument/2006/relationships/pivotCacheDefinition" Target="pivotCache/pivotCacheDefinition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roundedCorners val="0"/>
  <c:chart>
    <c:title>
      <c:tx>
        <c:rich>
          <a:bodyPr anchor="ctr" anchorCtr="1"/>
          <a:lstStyle/>
          <a:p>
            <a:pPr>
              <a:defRPr lang="es-es" sz="1400" b="0" i="0" u="none" strike="noStrike" kern="100">
                <a:solidFill>
                  <a:srgbClr val="595959"/>
                </a:solidFill>
                <a:latin typeface="Calibri" charset="0"/>
              </a:defRPr>
            </a:pPr>
            <a:r>
              <a:t>% Conversión</a:t>
            </a:r>
          </a:p>
        </c:rich>
      </c:tx>
      <c:layout/>
      <c:overlay val="0"/>
      <c:spPr>
        <a:noFill/>
        <a:ln w="9525">
          <a:noFill/>
        </a:ln>
      </c:spPr>
    </c:title>
    <c:plotArea>
      <c:layout/>
      <c:lineChart>
        <c:grouping val="standard"/>
        <c:ser>
          <c:idx val="0"/>
          <c:order val="0"/>
          <c:spPr>
            <a:ln w="57150">
              <a:solidFill>
                <a:srgbClr val="4F81BD"/>
              </a:solidFill>
            </a:ln>
          </c:spPr>
          <c:marker>
            <c:symbol val="none"/>
          </c:marker>
          <c:dLbls>
            <c:numFmt formatCode="General" sourceLinked="1"/>
            <c:spPr>
              <a:noFill/>
              <a:ln w="9525">
                <a:noFill/>
              </a:ln>
            </c:sp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trendline>
            <c:trendlineType val="linear"/>
            <c:dispRSqr val="0"/>
            <c:dispEq val="0"/>
          </c:trendline>
          <c:cat>
            <c:numRef>
              <c:f>EstudioConversion!$J$2:$J$8</c:f>
              <c:numCache>
                <c:formatCode>General</c:formatCode>
                <c:ptCount val="7"/>
                <c:pt idx="0">
                  <c:v>14</c:v>
                </c:pt>
                <c:pt idx="1">
                  <c:v>15</c:v>
                </c:pt>
                <c:pt idx="2">
                  <c:v>16</c:v>
                </c:pt>
                <c:pt idx="3">
                  <c:v>17</c:v>
                </c:pt>
                <c:pt idx="4">
                  <c:v>18</c:v>
                </c:pt>
                <c:pt idx="5">
                  <c:v>19</c:v>
                </c:pt>
                <c:pt idx="6">
                  <c:v>20</c:v>
                </c:pt>
              </c:numCache>
            </c:numRef>
          </c:cat>
          <c:val>
            <c:numRef>
              <c:f>EstudioConversion!$N$2:$N$8</c:f>
              <c:numCache>
                <c:formatCode>General</c:formatCode>
                <c:ptCount val="7"/>
                <c:pt idx="0">
                  <c:v>0.285714</c:v>
                </c:pt>
                <c:pt idx="1">
                  <c:v>0.333333</c:v>
                </c:pt>
                <c:pt idx="2">
                  <c:v>0.404762</c:v>
                </c:pt>
                <c:pt idx="3">
                  <c:v>0.385417</c:v>
                </c:pt>
                <c:pt idx="4">
                  <c:v>0.343066</c:v>
                </c:pt>
                <c:pt idx="5">
                  <c:v>0.415301</c:v>
                </c:pt>
                <c:pt idx="6">
                  <c:v>0.500000</c:v>
                </c:pt>
              </c:numCache>
            </c:numRef>
          </c:val>
          <c:smooth val="0"/>
          <c:extLst>
            <c:ext xmlns:sm="smo" uri="smo">
              <sm:meanLine>
                <c:spPr>
                  <a:ln w="9525">
                    <a:noFill/>
                  </a:ln>
                </c:spPr>
              </sm:meanLine>
              <sm:minMaxLine>
                <c:spPr>
                  <a:ln w="9525">
                    <a:noFill/>
                  </a:ln>
                </c:spPr>
              </sm:minMaxLine>
              <sm:stDevLine>
                <c:spPr>
                  <a:ln w="9525">
                    <a:noFill/>
                  </a:ln>
                </c:spPr>
              </sm:stDevLine>
              <sm:trendLine>
                <c:spPr>
                  <a:ln w="9525">
                    <a:noFill/>
                  </a:ln>
                </c:spPr>
              </sm:trendLin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extLst>
          <c:ext xmlns:sm="smo" uri="smo">
            <sm:boxPlot xmlns:sm="smo" val="0"/>
            <sm:turned xmlns:sm="smo" val="0"/>
          </c:ext>
        </c:extLst>
        <c:axId val="10"/>
        <c:axId val="11"/>
      </c:lineChart>
      <c:lineChart>
        <c:grouping val="standard"/>
        <c:ser>
          <c:idx val="1"/>
          <c:order val="1"/>
          <c:tx>
            <c:v>Ocasiones Falladas</c:v>
          </c:tx>
          <c:marker>
            <c:symbol val="none"/>
          </c:marker>
          <c:val>
            <c:numRef>
              <c:f>EstudioConversion!$L$2:$L$8</c:f>
              <c:numCache>
                <c:formatCode>General</c:formatCode>
                <c:ptCount val="7"/>
                <c:pt idx="0">
                  <c:v>7</c:v>
                </c:pt>
                <c:pt idx="1">
                  <c:v>24</c:v>
                </c:pt>
                <c:pt idx="2">
                  <c:v>126</c:v>
                </c:pt>
                <c:pt idx="3">
                  <c:v>96</c:v>
                </c:pt>
                <c:pt idx="4">
                  <c:v>137</c:v>
                </c:pt>
                <c:pt idx="5">
                  <c:v>183</c:v>
                </c:pt>
                <c:pt idx="6">
                  <c:v>18</c:v>
                </c:pt>
              </c:numCache>
            </c:numRef>
          </c:val>
          <c:smooth val="0"/>
          <c:extLst>
            <c:ext xmlns:sm="smo" uri="smo">
              <sm:meanLine>
                <c:spPr>
                  <a:ln w="9525">
                    <a:noFill/>
                  </a:ln>
                </c:spPr>
              </sm:meanLine>
              <sm:minMaxLine>
                <c:spPr>
                  <a:ln w="9525">
                    <a:noFill/>
                  </a:ln>
                </c:spPr>
              </sm:minMaxLine>
              <sm:stDevLine>
                <c:spPr>
                  <a:ln w="9525">
                    <a:noFill/>
                  </a:ln>
                </c:spPr>
              </sm:stDevLine>
              <sm:trendLine>
                <c:spPr>
                  <a:ln w="9525">
                    <a:noFill/>
                  </a:ln>
                </c:spPr>
              </sm:trendLin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extLst>
          <c:ext xmlns:sm="smo" uri="smo">
            <sm:boxPlot xmlns:sm="smo" val="0"/>
            <sm:turned xmlns:sm="smo" val="0"/>
          </c:ext>
        </c:extLst>
        <c:axId val="21"/>
        <c:axId val="20"/>
      </c:lineChart>
      <c:catAx>
        <c:axId val="1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525">
            <a:solidFill>
              <a:srgbClr val="D8D8D8"/>
            </a:solidFill>
          </a:ln>
        </c:spPr>
        <c:txPr>
          <a:bodyPr anchor="ctr" anchorCtr="1" rot="4800000"/>
          <a:lstStyle/>
          <a:p>
            <a:pPr>
              <a:defRPr lang="es-es" sz="900" b="0" i="0" u="none" strike="noStrike" kern="100">
                <a:solidFill>
                  <a:srgbClr val="595959"/>
                </a:solidFill>
                <a:latin typeface="Calibri" charset="0"/>
              </a:defRPr>
            </a:pPr>
          </a:p>
        </c:txPr>
        <c:crossAx val="11"/>
        <c:crosses val="autoZero"/>
        <c:auto val="1"/>
      </c:catAx>
      <c:valAx>
        <c:axId val="11"/>
        <c:scaling>
          <c:orientation val="minMax"/>
        </c:scaling>
        <c:delete val="0"/>
        <c:axPos val="l"/>
        <c:majorGridlines>
          <c:spPr>
            <a:ln w="9525">
              <a:solidFill>
                <a:srgbClr val="D8D8D8"/>
              </a:solidFill>
            </a:ln>
          </c:spPr>
        </c:majorGridlines>
        <c:numFmt formatCode="0.0%" sourceLinked="1"/>
        <c:majorTickMark val="none"/>
        <c:minorTickMark val="none"/>
        <c:tickLblPos val="nextTo"/>
        <c:spPr>
          <a:ln w="9525">
            <a:noFill/>
          </a:ln>
        </c:spPr>
        <c:txPr>
          <a:bodyPr anchor="ctr" anchorCtr="1" rot="4800000"/>
          <a:lstStyle/>
          <a:p>
            <a:pPr>
              <a:defRPr lang="es-es" sz="900" b="0" i="0" u="none" strike="noStrike" kern="100">
                <a:solidFill>
                  <a:srgbClr val="595959"/>
                </a:solidFill>
                <a:latin typeface="Calibri" charset="0"/>
              </a:defRPr>
            </a:pPr>
          </a:p>
        </c:txPr>
        <c:crossAx val="10"/>
        <c:crosses val="autoZero"/>
        <c:crossBetween val="between"/>
      </c:valAx>
      <c:valAx>
        <c:axId val="2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21"/>
        <c:crosses val="max"/>
        <c:crossBetween val="between"/>
      </c:valAx>
      <c:catAx>
        <c:axId val="2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spPr>
          <a:ln>
            <a:noFill/>
          </a:ln>
        </c:spPr>
        <c:crossAx val="20"/>
        <c:crosses val="autoZero"/>
        <c:auto val="1"/>
        <c:lblAlgn val="l"/>
      </c:catAx>
    </c:plotArea>
    <c:plotVisOnly val="1"/>
    <c:dispBlanksAs val="gap"/>
  </c:chart>
  <c:spPr/>
  <c:txPr>
    <a:bodyPr anchor="t" rot="0"/>
    <a:lstStyle/>
    <a:p>
      <a:pPr>
        <a:defRPr lang="es-es" sz="1000" b="0" i="0" u="none" strike="noStrike" kern="100">
          <a:solidFill>
            <a:srgbClr val="000000"/>
          </a:solidFill>
          <a:latin typeface="Calibri" charset="0"/>
        </a:defRPr>
      </a:pPr>
    </a:p>
  </c:txPr>
  <c:extLst>
    <c:ext xmlns:sm="smo" uri="smo">
      <sm:colorScheme xmlns:sm="smo" id="1591683921" val="15"/>
    </c:ext>
  </c:extLst>
</c:chartSpace>
</file>

<file path=xl/drawings/_rels/drawing1.xml.rels><?xml version="1.0" encoding="UTF-8" standalone="yes" ?>
<Relationships xmlns="http://schemas.openxmlformats.org/package/2006/relationships"><Relationship Id="rId1" Type="http://schemas.openxmlformats.org/officeDocument/2006/relationships/hyperlink" Target="http://www88.hattrick.org/World/Leagues/League.aspx?LeagueID=36" TargetMode="External"/><Relationship Id="rId2" Type="http://schemas.openxmlformats.org/officeDocument/2006/relationships/image" Target="../media/image1.gif"/><Relationship Id="rId3" Type="http://schemas.openxmlformats.org/officeDocument/2006/relationships/hyperlink" Target="http://www88.hattrick.org/World/Leagues/League.aspx?LeagueID=7" TargetMode="External"/><Relationship Id="rId4" Type="http://schemas.openxmlformats.org/officeDocument/2006/relationships/hyperlink" Target="http://www88.hattrick.org/World/Leagues/League.aspx?LeagueID=4" TargetMode="External"/><Relationship Id="rId5" Type="http://schemas.openxmlformats.org/officeDocument/2006/relationships/hyperlink" Target="http://www88.hattrick.org/World/Leagues/League.aspx?LeagueID=24" TargetMode="External"/><Relationship Id="rId6" Type="http://schemas.openxmlformats.org/officeDocument/2006/relationships/hyperlink" Target="http://www88.hattrick.org/World/Leagues/League.aspx?LeagueID=50" TargetMode="External"/><Relationship Id="rId7" Type="http://schemas.openxmlformats.org/officeDocument/2006/relationships/hyperlink" Target="http://www88.hattrick.org/World/Leagues/League.aspx?LeagueID=26" TargetMode="External"/><Relationship Id="rId8" Type="http://schemas.openxmlformats.org/officeDocument/2006/relationships/hyperlink" Target="http://www88.hattrick.org/World/Leagues/League.aspx?LeagueID=19" TargetMode="External"/><Relationship Id="rId9" Type="http://schemas.openxmlformats.org/officeDocument/2006/relationships/hyperlink" Target="http://www88.hattrick.org/World/Leagues/League.aspx?LeagueID=62" TargetMode="External"/><Relationship Id="rId10" Type="http://schemas.openxmlformats.org/officeDocument/2006/relationships/hyperlink" Target="http://www88.hattrick.org/World/Leagues/League.aspx?LeagueID=14" TargetMode="External"/><Relationship Id="rId11" Type="http://schemas.openxmlformats.org/officeDocument/2006/relationships/hyperlink" Target="http://www88.hattrick.org/World/Leagues/League.aspx?LeagueID=11" TargetMode="External"/><Relationship Id="rId12" Type="http://schemas.openxmlformats.org/officeDocument/2006/relationships/hyperlink" Target="http://www88.hattrick.org/World/Leagues/League.aspx?LeagueID=3" TargetMode="External"/><Relationship Id="rId13" Type="http://schemas.openxmlformats.org/officeDocument/2006/relationships/hyperlink" Target="http://www88.hattrick.org/World/Leagues/League.aspx?LeagueID=63" TargetMode="External"/><Relationship Id="rId14" Type="http://schemas.openxmlformats.org/officeDocument/2006/relationships/hyperlink" Target="http://www88.hattrick.org/World/Leagues/League.aspx?LeagueID=70" TargetMode="External"/><Relationship Id="rId15" Type="http://schemas.openxmlformats.org/officeDocument/2006/relationships/hyperlink" Target="http://www88.hattrick.org/World/Leagues/League.aspx?LeagueID=44" TargetMode="External"/><Relationship Id="rId16" Type="http://schemas.openxmlformats.org/officeDocument/2006/relationships/hyperlink" Target="http://www88.hattrick.org/World/Leagues/League.aspx?LeagueID=25" TargetMode="External"/><Relationship Id="rId17" Type="http://schemas.openxmlformats.org/officeDocument/2006/relationships/hyperlink" Target="http://www83.hattrick.org/World/Leagues/League.aspx?LeagueID=36" TargetMode="External"/><Relationship Id="rId18" Type="http://schemas.openxmlformats.org/officeDocument/2006/relationships/hyperlink" Target="http://www83.hattrick.org/World/Leagues/League.aspx?LeagueID=7" TargetMode="External"/><Relationship Id="rId19" Type="http://schemas.openxmlformats.org/officeDocument/2006/relationships/hyperlink" Target="http://www83.hattrick.org/World/Leagues/League.aspx?LeagueID=12" TargetMode="External"/><Relationship Id="rId20" Type="http://schemas.openxmlformats.org/officeDocument/2006/relationships/hyperlink" Target="http://www83.hattrick.org/World/Leagues/League.aspx?LeagueID=3" TargetMode="External"/><Relationship Id="rId21" Type="http://schemas.openxmlformats.org/officeDocument/2006/relationships/hyperlink" Target="http://www83.hattrick.org/World/Leagues/League.aspx?LeagueID=19" TargetMode="External"/><Relationship Id="rId22" Type="http://schemas.openxmlformats.org/officeDocument/2006/relationships/hyperlink" Target="http://www83.hattrick.org/World/Leagues/League.aspx?LeagueID=25" TargetMode="External"/><Relationship Id="rId23" Type="http://schemas.openxmlformats.org/officeDocument/2006/relationships/hyperlink" Target="http://www83.hattrick.org/World/Leagues/League.aspx?LeagueID=14" TargetMode="External"/><Relationship Id="rId24" Type="http://schemas.openxmlformats.org/officeDocument/2006/relationships/hyperlink" Target="http://www83.hattrick.org/World/Leagues/League.aspx?LeagueID=93" TargetMode="External"/><Relationship Id="rId25" Type="http://schemas.openxmlformats.org/officeDocument/2006/relationships/hyperlink" Target="http://www83.hattrick.org/World/Leagues/League.aspx?LeagueID=34" TargetMode="External"/><Relationship Id="rId26" Type="http://schemas.openxmlformats.org/officeDocument/2006/relationships/hyperlink" Target="http://www83.hattrick.org/World/Leagues/League.aspx?LeagueID=24" TargetMode="External"/><Relationship Id="rId27" Type="http://schemas.openxmlformats.org/officeDocument/2006/relationships/hyperlink" Target="http://www83.hattrick.org/World/Leagues/League.aspx?LeagueID=11" TargetMode="External"/><Relationship Id="rId28" Type="http://schemas.openxmlformats.org/officeDocument/2006/relationships/hyperlink" Target="http://www83.hattrick.org/World/Leagues/League.aspx?LeagueID=70" TargetMode="External"/><Relationship Id="rId29" Type="http://schemas.openxmlformats.org/officeDocument/2006/relationships/hyperlink" Target="http://www83.hattrick.org/World/Leagues/League.aspx?LeagueID=4" TargetMode="External"/><Relationship Id="rId30" Type="http://schemas.openxmlformats.org/officeDocument/2006/relationships/hyperlink" Target="http://www83.hattrick.org/World/Leagues/League.aspx?LeagueID=37" TargetMode="External"/><Relationship Id="rId31" Type="http://schemas.openxmlformats.org/officeDocument/2006/relationships/hyperlink" Target="http://www93.hattrick.org/World/Leagues/League.aspx?LeagueID=36" TargetMode="External"/><Relationship Id="rId32" Type="http://schemas.openxmlformats.org/officeDocument/2006/relationships/hyperlink" Target="http://www93.hattrick.org/World/Leagues/League.aspx?LeagueID=7" TargetMode="External"/><Relationship Id="rId33" Type="http://schemas.openxmlformats.org/officeDocument/2006/relationships/hyperlink" Target="http://www93.hattrick.org/World/Leagues/League.aspx?LeagueID=12" TargetMode="External"/><Relationship Id="rId34" Type="http://schemas.openxmlformats.org/officeDocument/2006/relationships/hyperlink" Target="http://www93.hattrick.org/World/Leagues/League.aspx?LeagueID=3" TargetMode="External"/><Relationship Id="rId35" Type="http://schemas.openxmlformats.org/officeDocument/2006/relationships/hyperlink" Target="http://www93.hattrick.org/World/Leagues/League.aspx?LeagueID=19" TargetMode="External"/><Relationship Id="rId36" Type="http://schemas.openxmlformats.org/officeDocument/2006/relationships/hyperlink" Target="http://www93.hattrick.org/World/Leagues/League.aspx?LeagueID=25" TargetMode="External"/><Relationship Id="rId37" Type="http://schemas.openxmlformats.org/officeDocument/2006/relationships/hyperlink" Target="http://www93.hattrick.org/World/Leagues/League.aspx?LeagueID=14" TargetMode="External"/><Relationship Id="rId38" Type="http://schemas.openxmlformats.org/officeDocument/2006/relationships/hyperlink" Target="http://www93.hattrick.org/World/Leagues/League.aspx?LeagueID=93" TargetMode="External"/><Relationship Id="rId39" Type="http://schemas.openxmlformats.org/officeDocument/2006/relationships/hyperlink" Target="http://www93.hattrick.org/World/Leagues/League.aspx?LeagueID=34" TargetMode="External"/><Relationship Id="rId40" Type="http://schemas.openxmlformats.org/officeDocument/2006/relationships/hyperlink" Target="http://www93.hattrick.org/World/Leagues/League.aspx?LeagueID=24" TargetMode="External"/><Relationship Id="rId41" Type="http://schemas.openxmlformats.org/officeDocument/2006/relationships/hyperlink" Target="http://www93.hattrick.org/World/Leagues/League.aspx?LeagueID=11" TargetMode="External"/><Relationship Id="rId42" Type="http://schemas.openxmlformats.org/officeDocument/2006/relationships/hyperlink" Target="http://www93.hattrick.org/World/Leagues/League.aspx?LeagueID=70" TargetMode="External"/><Relationship Id="rId43" Type="http://schemas.openxmlformats.org/officeDocument/2006/relationships/hyperlink" Target="http://www93.hattrick.org/World/Leagues/League.aspx?LeagueID=4" TargetMode="External"/><Relationship Id="rId44" Type="http://schemas.openxmlformats.org/officeDocument/2006/relationships/hyperlink" Target="http://www93.hattrick.org/World/Leagues/League.aspx?LeagueID=37" TargetMode="External"/><Relationship Id="rId45" Type="http://schemas.openxmlformats.org/officeDocument/2006/relationships/hyperlink" Target="http://www94.hattrick.org/World/Leagues/League.aspx?LeagueID=36" TargetMode="External"/><Relationship Id="rId46" Type="http://schemas.openxmlformats.org/officeDocument/2006/relationships/hyperlink" Target="http://www94.hattrick.org/World/Leagues/League.aspx?LeagueID=7" TargetMode="External"/><Relationship Id="rId47" Type="http://schemas.openxmlformats.org/officeDocument/2006/relationships/hyperlink" Target="http://www94.hattrick.org/World/Leagues/League.aspx?LeagueID=12" TargetMode="External"/><Relationship Id="rId48" Type="http://schemas.openxmlformats.org/officeDocument/2006/relationships/hyperlink" Target="http://www94.hattrick.org/World/Leagues/League.aspx?LeagueID=3" TargetMode="External"/><Relationship Id="rId49" Type="http://schemas.openxmlformats.org/officeDocument/2006/relationships/hyperlink" Target="http://www94.hattrick.org/World/Leagues/League.aspx?LeagueID=19" TargetMode="External"/><Relationship Id="rId50" Type="http://schemas.openxmlformats.org/officeDocument/2006/relationships/hyperlink" Target="http://www94.hattrick.org/World/Leagues/League.aspx?LeagueID=25" TargetMode="External"/><Relationship Id="rId51" Type="http://schemas.openxmlformats.org/officeDocument/2006/relationships/hyperlink" Target="http://www94.hattrick.org/World/Leagues/League.aspx?LeagueID=14" TargetMode="External"/><Relationship Id="rId52" Type="http://schemas.openxmlformats.org/officeDocument/2006/relationships/hyperlink" Target="http://www94.hattrick.org/World/Leagues/League.aspx?LeagueID=93" TargetMode="External"/><Relationship Id="rId53" Type="http://schemas.openxmlformats.org/officeDocument/2006/relationships/hyperlink" Target="http://www94.hattrick.org/World/Leagues/League.aspx?LeagueID=34" TargetMode="External"/><Relationship Id="rId54" Type="http://schemas.openxmlformats.org/officeDocument/2006/relationships/hyperlink" Target="http://www94.hattrick.org/World/Leagues/League.aspx?LeagueID=24" TargetMode="External"/><Relationship Id="rId55" Type="http://schemas.openxmlformats.org/officeDocument/2006/relationships/hyperlink" Target="http://www94.hattrick.org/World/Leagues/League.aspx?LeagueID=11" TargetMode="External"/><Relationship Id="rId56" Type="http://schemas.openxmlformats.org/officeDocument/2006/relationships/hyperlink" Target="http://www94.hattrick.org/World/Leagues/League.aspx?LeagueID=70" TargetMode="External"/><Relationship Id="rId57" Type="http://schemas.openxmlformats.org/officeDocument/2006/relationships/hyperlink" Target="http://www94.hattrick.org/World/Leagues/League.aspx?LeagueID=4" TargetMode="External"/><Relationship Id="rId58" Type="http://schemas.openxmlformats.org/officeDocument/2006/relationships/hyperlink" Target="http://www94.hattrick.org/World/Leagues/League.aspx?LeagueID=37" TargetMode="External"/><Relationship Id="rId59" Type="http://schemas.openxmlformats.org/officeDocument/2006/relationships/hyperlink" Target="http://www88.hattrick.org/World/Leagues/League.aspx?LeagueID=12" TargetMode="External"/><Relationship Id="rId60" Type="http://schemas.openxmlformats.org/officeDocument/2006/relationships/hyperlink" Target="http://www88.hattrick.org/World/Leagues/League.aspx?LeagueID=93" TargetMode="External"/><Relationship Id="rId61" Type="http://schemas.openxmlformats.org/officeDocument/2006/relationships/hyperlink" Target="http://www88.hattrick.org/World/Leagues/League.aspx?LeagueID=34" TargetMode="External"/><Relationship Id="rId62" Type="http://schemas.openxmlformats.org/officeDocument/2006/relationships/hyperlink" Target="http://www88.hattrick.org/World/Leagues/League.aspx?LeagueID=37" TargetMode="External"/><Relationship Id="rId63" Type="http://schemas.openxmlformats.org/officeDocument/2006/relationships/hyperlink" Target="http://www78.hattrick.org/World/Leagues/League.aspx?LeagueID=36" TargetMode="External"/><Relationship Id="rId64" Type="http://schemas.openxmlformats.org/officeDocument/2006/relationships/hyperlink" Target="http://www78.hattrick.org/World/Leagues/League.aspx?LeagueID=7" TargetMode="External"/><Relationship Id="rId65" Type="http://schemas.openxmlformats.org/officeDocument/2006/relationships/hyperlink" Target="http://www78.hattrick.org/World/Leagues/League.aspx?LeagueID=12" TargetMode="External"/><Relationship Id="rId66" Type="http://schemas.openxmlformats.org/officeDocument/2006/relationships/hyperlink" Target="http://www78.hattrick.org/World/Leagues/League.aspx?LeagueID=3" TargetMode="External"/><Relationship Id="rId67" Type="http://schemas.openxmlformats.org/officeDocument/2006/relationships/hyperlink" Target="http://www78.hattrick.org/World/Leagues/League.aspx?LeagueID=19" TargetMode="External"/><Relationship Id="rId68" Type="http://schemas.openxmlformats.org/officeDocument/2006/relationships/hyperlink" Target="http://www78.hattrick.org/World/Leagues/League.aspx?LeagueID=25" TargetMode="External"/><Relationship Id="rId69" Type="http://schemas.openxmlformats.org/officeDocument/2006/relationships/hyperlink" Target="http://www78.hattrick.org/World/Leagues/League.aspx?LeagueID=14" TargetMode="External"/><Relationship Id="rId70" Type="http://schemas.openxmlformats.org/officeDocument/2006/relationships/hyperlink" Target="http://www78.hattrick.org/World/Leagues/League.aspx?LeagueID=93" TargetMode="External"/><Relationship Id="rId71" Type="http://schemas.openxmlformats.org/officeDocument/2006/relationships/hyperlink" Target="http://www78.hattrick.org/World/Leagues/League.aspx?LeagueID=34" TargetMode="External"/><Relationship Id="rId72" Type="http://schemas.openxmlformats.org/officeDocument/2006/relationships/hyperlink" Target="http://www78.hattrick.org/World/Leagues/League.aspx?LeagueID=24" TargetMode="External"/><Relationship Id="rId73" Type="http://schemas.openxmlformats.org/officeDocument/2006/relationships/hyperlink" Target="http://www78.hattrick.org/World/Leagues/League.aspx?LeagueID=11" TargetMode="External"/><Relationship Id="rId74" Type="http://schemas.openxmlformats.org/officeDocument/2006/relationships/hyperlink" Target="http://www78.hattrick.org/World/Leagues/League.aspx?LeagueID=5" TargetMode="External"/><Relationship Id="rId75" Type="http://schemas.openxmlformats.org/officeDocument/2006/relationships/hyperlink" Target="http://www78.hattrick.org/World/Leagues/League.aspx?LeagueID=4" TargetMode="External"/><Relationship Id="rId76" Type="http://schemas.openxmlformats.org/officeDocument/2006/relationships/hyperlink" Target="http://www78.hattrick.org/World/Leagues/League.aspx?LeagueID=37" TargetMode="External"/><Relationship Id="rId77" Type="http://schemas.openxmlformats.org/officeDocument/2006/relationships/hyperlink" Target="http://www92.hattrick.org/World/Leagues/League.aspx?LeagueID=36" TargetMode="External"/><Relationship Id="rId78" Type="http://schemas.openxmlformats.org/officeDocument/2006/relationships/hyperlink" Target="http://www92.hattrick.org/World/Leagues/League.aspx?LeagueID=12" TargetMode="External"/><Relationship Id="rId79" Type="http://schemas.openxmlformats.org/officeDocument/2006/relationships/hyperlink" Target="http://www92.hattrick.org/World/Leagues/League.aspx?LeagueID=3" TargetMode="External"/><Relationship Id="rId80" Type="http://schemas.openxmlformats.org/officeDocument/2006/relationships/hyperlink" Target="http://www92.hattrick.org/World/Leagues/League.aspx?LeagueID=19" TargetMode="External"/><Relationship Id="rId81" Type="http://schemas.openxmlformats.org/officeDocument/2006/relationships/hyperlink" Target="http://www92.hattrick.org/World/Leagues/League.aspx?LeagueID=25" TargetMode="External"/><Relationship Id="rId82" Type="http://schemas.openxmlformats.org/officeDocument/2006/relationships/hyperlink" Target="http://www92.hattrick.org/World/Leagues/League.aspx?LeagueID=14" TargetMode="External"/><Relationship Id="rId83" Type="http://schemas.openxmlformats.org/officeDocument/2006/relationships/hyperlink" Target="http://www92.hattrick.org/World/Leagues/League.aspx?LeagueID=93" TargetMode="External"/><Relationship Id="rId84" Type="http://schemas.openxmlformats.org/officeDocument/2006/relationships/hyperlink" Target="http://www92.hattrick.org/World/Leagues/League.aspx?LeagueID=34" TargetMode="External"/><Relationship Id="rId85" Type="http://schemas.openxmlformats.org/officeDocument/2006/relationships/hyperlink" Target="http://www92.hattrick.org/World/Leagues/League.aspx?LeagueID=24" TargetMode="External"/><Relationship Id="rId86" Type="http://schemas.openxmlformats.org/officeDocument/2006/relationships/hyperlink" Target="http://www92.hattrick.org/World/Leagues/League.aspx?LeagueID=11" TargetMode="External"/><Relationship Id="rId87" Type="http://schemas.openxmlformats.org/officeDocument/2006/relationships/hyperlink" Target="http://www92.hattrick.org/World/Leagues/League.aspx?LeagueID=64" TargetMode="External"/><Relationship Id="rId88" Type="http://schemas.openxmlformats.org/officeDocument/2006/relationships/hyperlink" Target="http://www92.hattrick.org/World/Leagues/League.aspx?LeagueID=5" TargetMode="External"/><Relationship Id="rId89" Type="http://schemas.openxmlformats.org/officeDocument/2006/relationships/hyperlink" Target="http://www92.hattrick.org/World/Leagues/League.aspx?LeagueID=37" TargetMode="External"/><Relationship Id="rId90" Type="http://schemas.openxmlformats.org/officeDocument/2006/relationships/hyperlink" Target="http://www76.hattrick.org/World/Leagues/League.aspx?LeagueID=36" TargetMode="External"/><Relationship Id="rId91" Type="http://schemas.openxmlformats.org/officeDocument/2006/relationships/hyperlink" Target="http://www76.hattrick.org/World/Leagues/League.aspx?LeagueID=8" TargetMode="External"/><Relationship Id="rId92" Type="http://schemas.openxmlformats.org/officeDocument/2006/relationships/hyperlink" Target="http://www76.hattrick.org/World/Leagues/League.aspx?LeagueID=52" TargetMode="External"/><Relationship Id="rId93" Type="http://schemas.openxmlformats.org/officeDocument/2006/relationships/hyperlink" Target="http://www76.hattrick.org/World/Leagues/League.aspx?LeagueID=1" TargetMode="External"/><Relationship Id="rId94" Type="http://schemas.openxmlformats.org/officeDocument/2006/relationships/hyperlink" Target="http://www76.hattrick.org/World/Leagues/League.aspx?LeagueID=12" TargetMode="External"/><Relationship Id="rId95" Type="http://schemas.openxmlformats.org/officeDocument/2006/relationships/hyperlink" Target="http://www76.hattrick.org/World/Leagues/League.aspx?LeagueID=14" TargetMode="External"/><Relationship Id="rId96" Type="http://schemas.openxmlformats.org/officeDocument/2006/relationships/hyperlink" Target="http://www76.hattrick.org/World/Leagues/League.aspx?LeagueID=4" TargetMode="External"/><Relationship Id="rId97" Type="http://schemas.openxmlformats.org/officeDocument/2006/relationships/hyperlink" Target="http://www76.hattrick.org/World/Leagues/League.aspx?LeagueID=5" TargetMode="External"/><Relationship Id="rId98" Type="http://schemas.openxmlformats.org/officeDocument/2006/relationships/hyperlink" Target="http://www76.hattrick.org/World/Leagues/League.aspx?LeagueID=7" TargetMode="External"/><Relationship Id="rId99" Type="http://schemas.openxmlformats.org/officeDocument/2006/relationships/hyperlink" Target="http://www76.hattrick.org/World/Leagues/League.aspx?LeagueID=120" TargetMode="External"/><Relationship Id="rId100" Type="http://schemas.openxmlformats.org/officeDocument/2006/relationships/hyperlink" Target="http://www76.hattrick.org/World/Leagues/League.aspx?LeagueID=51" TargetMode="External"/><Relationship Id="rId101" Type="http://schemas.openxmlformats.org/officeDocument/2006/relationships/hyperlink" Target="http://www76.hattrick.org/World/Leagues/League.aspx?LeagueID=28" TargetMode="External"/><Relationship Id="rId102" Type="http://schemas.openxmlformats.org/officeDocument/2006/relationships/hyperlink" Target="http://www76.hattrick.org/World/Leagues/League.aspx?LeagueID=3" TargetMode="External"/><Relationship Id="rId103" Type="http://schemas.openxmlformats.org/officeDocument/2006/relationships/hyperlink" Target="http://www76.hattrick.org/World/Leagues/League.aspx?LeagueID=63" TargetMode="External"/><Relationship Id="rId104" Type="http://schemas.openxmlformats.org/officeDocument/2006/relationships/hyperlink" Target="http://www76.hattrick.org/World/Leagues/League.aspx?LeagueID=67" TargetMode="External"/><Relationship Id="rId105" Type="http://schemas.openxmlformats.org/officeDocument/2006/relationships/hyperlink" Target="http://www75.hattrick.org/World/Leagues/League.aspx?LeagueID=36" TargetMode="External"/></Relationships>
</file>

<file path=xl/drawings/_rels/drawing2.xml.rels><?xml version="1.0" encoding="UTF-8" standalone="yes" 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 ?>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8890</xdr:colOff>
      <xdr:row>1</xdr:row>
      <xdr:rowOff>9525</xdr:rowOff>
    </xdr:to>
    <xdr:pic macro="">
      <xdr:nvPicPr>
        <xdr:cNvPr id="3518" name="Picture 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EAAAAAAAAAAAAAAAEAAAAAAAAAMQAHAAAAAAA6A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3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8890</xdr:colOff>
      <xdr:row>1</xdr:row>
      <xdr:rowOff>9525</xdr:rowOff>
    </xdr:to>
    <xdr:pic macro="">
      <xdr:nvPicPr>
        <xdr:cNvPr id="3517" name="Picture 8" descr="Argentina">
          <a:hlinkClick xmlns:r="http://schemas.openxmlformats.org/officeDocument/2006/relationships" r:id="rId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EAAAAAAAAAAAAAAAEAAAAAAAAAMQAHAAAAAAA6A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3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8890</xdr:colOff>
      <xdr:row>1</xdr:row>
      <xdr:rowOff>9525</xdr:rowOff>
    </xdr:to>
    <xdr:pic macro="">
      <xdr:nvPicPr>
        <xdr:cNvPr id="3516" name="Picture 9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EAAAAAAAAAAAAAAAEAAAAAAAAAMQAHAAAAAAA6A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3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8890</xdr:colOff>
      <xdr:row>1</xdr:row>
      <xdr:rowOff>9525</xdr:rowOff>
    </xdr:to>
    <xdr:pic macro="">
      <xdr:nvPicPr>
        <xdr:cNvPr id="3515" name="Picture 10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EAAAAAAAAAAAAAAAEAAAAAAAAAMQAHAAAAAAA6A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3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8890</xdr:colOff>
      <xdr:row>1</xdr:row>
      <xdr:rowOff>9525</xdr:rowOff>
    </xdr:to>
    <xdr:pic macro="">
      <xdr:nvPicPr>
        <xdr:cNvPr id="3514" name="Picture 11" descr="Hellas">
          <a:hlinkClick xmlns:r="http://schemas.openxmlformats.org/officeDocument/2006/relationships" r:id="rId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EAAAAAAAAAAAAAAAEAAAAAAAAAMQAHAAAAAAA6A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3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8890</xdr:colOff>
      <xdr:row>1</xdr:row>
      <xdr:rowOff>9525</xdr:rowOff>
    </xdr:to>
    <xdr:pic macro="">
      <xdr:nvPicPr>
        <xdr:cNvPr id="3513" name="Picture 12" descr="Scotland">
          <a:hlinkClick xmlns:r="http://schemas.openxmlformats.org/officeDocument/2006/relationships" r:id="rId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EAAAAAAAAAAAAAAAEAAAAAAAAAMQAHAAAAAAA6A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3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8890</xdr:colOff>
      <xdr:row>1</xdr:row>
      <xdr:rowOff>9525</xdr:rowOff>
    </xdr:to>
    <xdr:pic macro="">
      <xdr:nvPicPr>
        <xdr:cNvPr id="3512" name="Picture 13" descr="Colombia">
          <a:hlinkClick xmlns:r="http://schemas.openxmlformats.org/officeDocument/2006/relationships" r:id="rId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EAAAAAAAAAAAAAAAEAAAAAAAAAMQAHAAAAAAA6A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3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511" name="Picture 1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510" name="Picture 15" descr="Bulgaria">
          <a:hlinkClick xmlns:r="http://schemas.openxmlformats.org/officeDocument/2006/relationships" r:id="rId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509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508" name="Picture 17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507" name="Picture 18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506" name="Picture 19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505" name="Picture 2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504" name="Picture 2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503" name="Picture 22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502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501" name="Picture 2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Azq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500" name="Picture 25" descr="Israel">
          <a:hlinkClick xmlns:r="http://schemas.openxmlformats.org/officeDocument/2006/relationships" r:id="rId1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99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98" name="Picture 27" descr="Việt Nam">
          <a:hlinkClick xmlns:r="http://schemas.openxmlformats.org/officeDocument/2006/relationships" r:id="rId1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97" name="Picture 28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496" name="Picture 29" descr="Belgium">
          <a:hlinkClick xmlns:r="http://schemas.openxmlformats.org/officeDocument/2006/relationships" r:id="rId1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95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494" name="Picture 31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93" name="Picture 32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8890</xdr:colOff>
      <xdr:row>1</xdr:row>
      <xdr:rowOff>9525</xdr:rowOff>
    </xdr:to>
    <xdr:pic macro="">
      <xdr:nvPicPr>
        <xdr:cNvPr id="3492" name="Picture 7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EAAAAAAAAAAAAAAAEAAAAAAAAAMQAHAAAAAAA6A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3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8890</xdr:colOff>
      <xdr:row>1</xdr:row>
      <xdr:rowOff>9525</xdr:rowOff>
    </xdr:to>
    <xdr:pic macro="">
      <xdr:nvPicPr>
        <xdr:cNvPr id="3491" name="Picture 9" descr="Argentina">
          <a:hlinkClick xmlns:r="http://schemas.openxmlformats.org/officeDocument/2006/relationships" r:id="rId1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EAAAAAAAAAAAAAAAEAAAAAAAAAMQAHAAAAAAA6A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3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8890</xdr:colOff>
      <xdr:row>1</xdr:row>
      <xdr:rowOff>9525</xdr:rowOff>
    </xdr:to>
    <xdr:pic macro="">
      <xdr:nvPicPr>
        <xdr:cNvPr id="3490" name="Picture 11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EAAAAAAAAAAAAAAAEAAAAAAAAAMQAHAAAAAAA6A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3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89" name="Picture 12" descr="Suomi">
          <a:hlinkClick xmlns:r="http://schemas.openxmlformats.org/officeDocument/2006/relationships" r:id="rId1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488" name="Picture 13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87" name="Picture 14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86" name="Picture 15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485" name="Picture 16" descr="Colombia">
          <a:hlinkClick xmlns:r="http://schemas.openxmlformats.org/officeDocument/2006/relationships" r:id="rId2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84" name="Picture 17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83" name="Picture 18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82" name="Picture 19" descr="Northern Ireland">
          <a:hlinkClick xmlns:r="http://schemas.openxmlformats.org/officeDocument/2006/relationships" r:id="rId2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81" name="Picture 20" descr="China">
          <a:hlinkClick xmlns:r="http://schemas.openxmlformats.org/officeDocument/2006/relationships" r:id="rId2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80" name="Picture 21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79" name="Picture 23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78" name="Picture 25" descr="Danmark">
          <a:hlinkClick xmlns:r="http://schemas.openxmlformats.org/officeDocument/2006/relationships" r:id="rId2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77" name="Picture 2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76" name="Picture 27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75" name="Picture 28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474" name="Picture 30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73" name="Picture 31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472" name="Picture 32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71" name="Picture 33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470" name="Picture 3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69" name="Picture 37" descr="Việt Nam">
          <a:hlinkClick xmlns:r="http://schemas.openxmlformats.org/officeDocument/2006/relationships" r:id="rId2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68" name="Picture 38" descr="Italia">
          <a:hlinkClick xmlns:r="http://schemas.openxmlformats.org/officeDocument/2006/relationships" r:id="rId2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67" name="Picture 39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466" name="Picture 40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465" name="Picture 41" descr="România">
          <a:hlinkClick xmlns:r="http://schemas.openxmlformats.org/officeDocument/2006/relationships" r:id="rId3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464" name="Picture 42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63" name="Picture 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462" name="Picture 8" descr="Argentina">
          <a:hlinkClick xmlns:r="http://schemas.openxmlformats.org/officeDocument/2006/relationships" r:id="rId3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61" name="Picture 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60" name="Picture 10" descr="Suomi">
          <a:hlinkClick xmlns:r="http://schemas.openxmlformats.org/officeDocument/2006/relationships" r:id="rId3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459" name="Picture 11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58" name="Picture 1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57" name="Picture 13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56" name="Picture 14" descr="Colombia">
          <a:hlinkClick xmlns:r="http://schemas.openxmlformats.org/officeDocument/2006/relationships" r:id="rId3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55" name="Picture 15" descr="Portugal">
          <a:hlinkClick xmlns:r="http://schemas.openxmlformats.org/officeDocument/2006/relationships" r:id="rId3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54" name="Picture 16" descr="Nederland">
          <a:hlinkClick xmlns:r="http://schemas.openxmlformats.org/officeDocument/2006/relationships" r:id="rId3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53" name="Picture 17" descr="Northern Ireland">
          <a:hlinkClick xmlns:r="http://schemas.openxmlformats.org/officeDocument/2006/relationships" r:id="rId3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52" name="Picture 18" descr="China">
          <a:hlinkClick xmlns:r="http://schemas.openxmlformats.org/officeDocument/2006/relationships" r:id="rId3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51" name="Picture 19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50" name="Picture 20" descr="Danmark">
          <a:hlinkClick xmlns:r="http://schemas.openxmlformats.org/officeDocument/2006/relationships" r:id="rId4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49" name="Picture 21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448" name="Picture 2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47" name="Picture 24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446" name="Picture 26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45" name="Picture 2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444" name="Picture 28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43" name="Picture 2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42" name="Picture 30" descr="Việt Nam">
          <a:hlinkClick xmlns:r="http://schemas.openxmlformats.org/officeDocument/2006/relationships" r:id="rId4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41" name="Picture 31" descr="Italia">
          <a:hlinkClick xmlns:r="http://schemas.openxmlformats.org/officeDocument/2006/relationships" r:id="rId4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440" name="Picture 32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439" name="Picture 33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438" name="Picture 34" descr="România">
          <a:hlinkClick xmlns:r="http://schemas.openxmlformats.org/officeDocument/2006/relationships" r:id="rId4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37" name="Picture 35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436" name="Picture 36" descr="Portugal">
          <a:hlinkClick xmlns:r="http://schemas.openxmlformats.org/officeDocument/2006/relationships" r:id="rId3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35" name="Picture 7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434" name="Picture 8" descr="Argentina">
          <a:hlinkClick xmlns:r="http://schemas.openxmlformats.org/officeDocument/2006/relationships" r:id="rId4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33" name="Picture 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32" name="Picture 10" descr="Suomi">
          <a:hlinkClick xmlns:r="http://schemas.openxmlformats.org/officeDocument/2006/relationships" r:id="rId4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431" name="Picture 11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30" name="Picture 12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29" name="Picture 1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28" name="Picture 14" descr="Colombia">
          <a:hlinkClick xmlns:r="http://schemas.openxmlformats.org/officeDocument/2006/relationships" r:id="rId4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27" name="Picture 15" descr="Portugal">
          <a:hlinkClick xmlns:r="http://schemas.openxmlformats.org/officeDocument/2006/relationships" r:id="rId5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26" name="Picture 16" descr="Nederland">
          <a:hlinkClick xmlns:r="http://schemas.openxmlformats.org/officeDocument/2006/relationships" r:id="rId5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25" name="Picture 17" descr="Northern Ireland">
          <a:hlinkClick xmlns:r="http://schemas.openxmlformats.org/officeDocument/2006/relationships" r:id="rId5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24" name="Picture 18" descr="China">
          <a:hlinkClick xmlns:r="http://schemas.openxmlformats.org/officeDocument/2006/relationships" r:id="rId5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23" name="Picture 19" descr="Polska">
          <a:hlinkClick xmlns:r="http://schemas.openxmlformats.org/officeDocument/2006/relationships" r:id="rId5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22" name="Picture 20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21" name="Picture 22" descr="Danmark">
          <a:hlinkClick xmlns:r="http://schemas.openxmlformats.org/officeDocument/2006/relationships" r:id="rId5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420" name="Picture 2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19" name="Picture 24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418" name="Picture 26" descr="Polska">
          <a:hlinkClick xmlns:r="http://schemas.openxmlformats.org/officeDocument/2006/relationships" r:id="rId5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17" name="Picture 28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416" name="Picture 2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15" name="Picture 30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14" name="Picture 31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13" name="Picture 32" descr="Việt Nam">
          <a:hlinkClick xmlns:r="http://schemas.openxmlformats.org/officeDocument/2006/relationships" r:id="rId5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412" name="Picture 3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411" name="Picture 34" descr="Italia">
          <a:hlinkClick xmlns:r="http://schemas.openxmlformats.org/officeDocument/2006/relationships" r:id="rId5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410" name="Picture 35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09" name="Picture 36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408" name="Picture 37" descr="România">
          <a:hlinkClick xmlns:r="http://schemas.openxmlformats.org/officeDocument/2006/relationships" r:id="rId5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407" name="Picture 38" descr="Portugal">
          <a:hlinkClick xmlns:r="http://schemas.openxmlformats.org/officeDocument/2006/relationships" r:id="rId5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06" name="Picture 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405" name="Picture 8" descr="Argentina">
          <a:hlinkClick xmlns:r="http://schemas.openxmlformats.org/officeDocument/2006/relationships" r:id="rId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04" name="Picture 9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03" name="Picture 10" descr="Suomi">
          <a:hlinkClick xmlns:r="http://schemas.openxmlformats.org/officeDocument/2006/relationships" r:id="rId5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402" name="Picture 1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01" name="Picture 12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00" name="Picture 1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99" name="Picture 14" descr="Colombia">
          <a:hlinkClick xmlns:r="http://schemas.openxmlformats.org/officeDocument/2006/relationships" r:id="rId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98" name="Picture 15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97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96" name="Picture 17" descr="Northern Ireland">
          <a:hlinkClick xmlns:r="http://schemas.openxmlformats.org/officeDocument/2006/relationships" r:id="rId6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95" name="Picture 18" descr="China">
          <a:hlinkClick xmlns:r="http://schemas.openxmlformats.org/officeDocument/2006/relationships" r:id="rId6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94" name="Picture 19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93" name="Picture 20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92" name="Picture 22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391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90" name="Picture 24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89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388" name="Picture 2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87" name="Picture 28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86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385" name="Picture 31" descr="Việt Nam">
          <a:hlinkClick xmlns:r="http://schemas.openxmlformats.org/officeDocument/2006/relationships" r:id="rId1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384" name="Picture 33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383" name="Picture 3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82" name="Picture 35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81" name="Picture 36" descr="România">
          <a:hlinkClick xmlns:r="http://schemas.openxmlformats.org/officeDocument/2006/relationships" r:id="rId6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380" name="Picture 37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79" name="Picture 7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378" name="Picture 8" descr="Argentina">
          <a:hlinkClick xmlns:r="http://schemas.openxmlformats.org/officeDocument/2006/relationships" r:id="rId6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77" name="Picture 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76" name="Picture 10" descr="Suomi">
          <a:hlinkClick xmlns:r="http://schemas.openxmlformats.org/officeDocument/2006/relationships" r:id="rId6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375" name="Picture 1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74" name="Picture 12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73" name="Picture 1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72" name="Picture 14" descr="Colombia">
          <a:hlinkClick xmlns:r="http://schemas.openxmlformats.org/officeDocument/2006/relationships" r:id="rId6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71" name="Picture 15" descr="Portugal">
          <a:hlinkClick xmlns:r="http://schemas.openxmlformats.org/officeDocument/2006/relationships" r:id="rId6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70" name="Picture 16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69" name="Picture 17" descr="Northern Ireland">
          <a:hlinkClick xmlns:r="http://schemas.openxmlformats.org/officeDocument/2006/relationships" r:id="rId7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68" name="Picture 19" descr="China">
          <a:hlinkClick xmlns:r="http://schemas.openxmlformats.org/officeDocument/2006/relationships" r:id="rId7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67" name="Picture 20" descr="Polska">
          <a:hlinkClick xmlns:r="http://schemas.openxmlformats.org/officeDocument/2006/relationships" r:id="rId7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66" name="Picture 2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65" name="Picture 23" descr="Danmark">
          <a:hlinkClick xmlns:r="http://schemas.openxmlformats.org/officeDocument/2006/relationships" r:id="rId7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364" name="Picture 24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63" name="Picture 25" descr="France">
          <a:hlinkClick xmlns:r="http://schemas.openxmlformats.org/officeDocument/2006/relationships" r:id="rId7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62" name="Picture 26" descr="Polska">
          <a:hlinkClick xmlns:r="http://schemas.openxmlformats.org/officeDocument/2006/relationships" r:id="rId7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61" name="Picture 28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360" name="Picture 2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59" name="Picture 30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58" name="Picture 31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57" name="Picture 3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356" name="Picture 34" descr="Italia">
          <a:hlinkClick xmlns:r="http://schemas.openxmlformats.org/officeDocument/2006/relationships" r:id="rId7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355" name="Picture 35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354" name="Picture 36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53" name="Picture 37" descr="România">
          <a:hlinkClick xmlns:r="http://schemas.openxmlformats.org/officeDocument/2006/relationships" r:id="rId7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52" name="Picture 38" descr="Portugal">
          <a:hlinkClick xmlns:r="http://schemas.openxmlformats.org/officeDocument/2006/relationships" r:id="rId6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51" name="Picture 7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350" name="Picture 8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49" name="Picture 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48" name="Picture 10" descr="Suomi">
          <a:hlinkClick xmlns:r="http://schemas.openxmlformats.org/officeDocument/2006/relationships" r:id="rId7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347" name="Picture 1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46" name="Picture 12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45" name="Picture 13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44" name="Picture 15" descr="Colombia">
          <a:hlinkClick xmlns:r="http://schemas.openxmlformats.org/officeDocument/2006/relationships" r:id="rId8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43" name="Picture 16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42" name="Picture 17" descr="Nederland">
          <a:hlinkClick xmlns:r="http://schemas.openxmlformats.org/officeDocument/2006/relationships" r:id="rId8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41" name="Picture 18" descr="Northern Ireland">
          <a:hlinkClick xmlns:r="http://schemas.openxmlformats.org/officeDocument/2006/relationships" r:id="rId8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40" name="Picture 19" descr="China">
          <a:hlinkClick xmlns:r="http://schemas.openxmlformats.org/officeDocument/2006/relationships" r:id="rId8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39" name="Picture 20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38" name="Picture 2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37" name="Picture 22" descr="Danmark">
          <a:hlinkClick xmlns:r="http://schemas.openxmlformats.org/officeDocument/2006/relationships" r:id="rId8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336" name="Picture 23" descr="Slovenija">
          <a:hlinkClick xmlns:r="http://schemas.openxmlformats.org/officeDocument/2006/relationships" r:id="rId8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35" name="Picture 24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34" name="Picture 25" descr="France">
          <a:hlinkClick xmlns:r="http://schemas.openxmlformats.org/officeDocument/2006/relationships" r:id="rId8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33" name="Picture 26" descr="România">
          <a:hlinkClick xmlns:r="http://schemas.openxmlformats.org/officeDocument/2006/relationships" r:id="rId8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332" name="Picture 27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31" name="Picture 28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30" name="Picture 2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29" name="Picture 30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328" name="Picture 31" descr="Nederland">
          <a:hlinkClick xmlns:r="http://schemas.openxmlformats.org/officeDocument/2006/relationships" r:id="rId8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327" name="Picture 32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26" name="Picture 33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25" name="Picture 34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324" name="Picture 35" descr="România">
          <a:hlinkClick xmlns:r="http://schemas.openxmlformats.org/officeDocument/2006/relationships" r:id="rId8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23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22" name="Picture 37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2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2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1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1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1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1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1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1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1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1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1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1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0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0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0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0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0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0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0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0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0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0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29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29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9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9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9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9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9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9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9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9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8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8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8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8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8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8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8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8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8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8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7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7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7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7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7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7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7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7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7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7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6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6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6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6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6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6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6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6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6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6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5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5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5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5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5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5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5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5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5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5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4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4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4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4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4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4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4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4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4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4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3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3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3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3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3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3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3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3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3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3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2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2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2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2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2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2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2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2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21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20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19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18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17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16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15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1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13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12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11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10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09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08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07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06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05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04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03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02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0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0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9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9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9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9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9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9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9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9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9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9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8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8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8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8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8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8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8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8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8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8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7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7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7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7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7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7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7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7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7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7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6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6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6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6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6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6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6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6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6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6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5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5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5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5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5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5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5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5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5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5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4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4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4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4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4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4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4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4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4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4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3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3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3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3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3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3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3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3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3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3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2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2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2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2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2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2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2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2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2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2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1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1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1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1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1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1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1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1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1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1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0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0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0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0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0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0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0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0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01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00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99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98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97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96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95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9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93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92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91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90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89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88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87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86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85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84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83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82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8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8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7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7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7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7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xOZ8V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7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7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7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7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7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7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6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zq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6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6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6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6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6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6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6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Az6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6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6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5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5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5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5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5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5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5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5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5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5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4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4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4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4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4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4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4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4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4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4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3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3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3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3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3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3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3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3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3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3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2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2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2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2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2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2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2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2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2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2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1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1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1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1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1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1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1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1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1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1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0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0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0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0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0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0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0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0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0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0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9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9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9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9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9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9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9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9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9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9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8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8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8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8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8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8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8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8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81" name="Picture 7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80" name="Picture 9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79" name="Picture 1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78" name="Picture 1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77" name="Picture 13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76" name="Picture 14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75" name="Picture 16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7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73" name="Picture 19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72" name="Picture 2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71" name="Picture 21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70" name="Picture 23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69" name="Picture 25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68" name="Picture 26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67" name="Picture 27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66" name="Picture 28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65" name="Picture 29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64" name="Picture 30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63" name="Picture 32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62" name="Picture 33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6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6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5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5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5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5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5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5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5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5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5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5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4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4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4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4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4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4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4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4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4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4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3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3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3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3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3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3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3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3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3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3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2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2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2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2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2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2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2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2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2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2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1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1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1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1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1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1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1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1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1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1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0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0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0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0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0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0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0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0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0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0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89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89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89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89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89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89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89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89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89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89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8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8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8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8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8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8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8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8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8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8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7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7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7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7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7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7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7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7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7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7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6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6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6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6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65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64" name="Picture 19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10160</xdr:colOff>
      <xdr:row>23</xdr:row>
      <xdr:rowOff>9525</xdr:rowOff>
    </xdr:to>
    <xdr:pic macro="">
      <xdr:nvPicPr>
        <xdr:cNvPr id="2863" name="Picture 2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cAAAALAAAAAAAAABcAAAALAAAAMQADAFAjAAA2H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58597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11</xdr:col>
      <xdr:colOff>10160</xdr:colOff>
      <xdr:row>20</xdr:row>
      <xdr:rowOff>9525</xdr:rowOff>
    </xdr:to>
    <xdr:pic macro="">
      <xdr:nvPicPr>
        <xdr:cNvPr id="2862" name="Picture 21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LAAAAAAAAABQAAAALAAAAMQADAFAjAACIG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98780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10160</xdr:colOff>
      <xdr:row>21</xdr:row>
      <xdr:rowOff>9525</xdr:rowOff>
    </xdr:to>
    <xdr:pic macro="">
      <xdr:nvPicPr>
        <xdr:cNvPr id="2861" name="Picture 23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LAAAAAAAAABUAAAALAAAAMQADAFAjAADCG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18719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10160</xdr:colOff>
      <xdr:row>21</xdr:row>
      <xdr:rowOff>9525</xdr:rowOff>
    </xdr:to>
    <xdr:pic macro="">
      <xdr:nvPicPr>
        <xdr:cNvPr id="2860" name="Picture 25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UAAAALAAAAAAAAABUAAAALAAAAMQADAFAjAADCG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18719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10160</xdr:colOff>
      <xdr:row>21</xdr:row>
      <xdr:rowOff>9525</xdr:rowOff>
    </xdr:to>
    <xdr:pic macro="">
      <xdr:nvPicPr>
        <xdr:cNvPr id="2859" name="Picture 26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LAAAAAAAAABUAAAALAAAAMQADAFAjAADCG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18719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858" name="Picture 30" descr="España">
          <a:hlinkClick xmlns:r="http://schemas.openxmlformats.org/officeDocument/2006/relationships" r:id="rId10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11</xdr:col>
      <xdr:colOff>10160</xdr:colOff>
      <xdr:row>20</xdr:row>
      <xdr:rowOff>9525</xdr:rowOff>
    </xdr:to>
    <xdr:pic macro="">
      <xdr:nvPicPr>
        <xdr:cNvPr id="2857" name="Picture 31" descr="España">
          <a:hlinkClick xmlns:r="http://schemas.openxmlformats.org/officeDocument/2006/relationships" r:id="rId10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LAAAAAAAAABQAAAALAAAAMQADAFAjAACIG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98780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10160</xdr:colOff>
      <xdr:row>21</xdr:row>
      <xdr:rowOff>9525</xdr:rowOff>
    </xdr:to>
    <xdr:pic macro="">
      <xdr:nvPicPr>
        <xdr:cNvPr id="2856" name="Picture 32" descr="España">
          <a:hlinkClick xmlns:r="http://schemas.openxmlformats.org/officeDocument/2006/relationships" r:id="rId10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LAAAAAAAAABUAAAALAAAAMQADAFAjAADCG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18719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10160</xdr:colOff>
      <xdr:row>21</xdr:row>
      <xdr:rowOff>9525</xdr:rowOff>
    </xdr:to>
    <xdr:pic macro="">
      <xdr:nvPicPr>
        <xdr:cNvPr id="2855" name="Picture 33" descr="España">
          <a:hlinkClick xmlns:r="http://schemas.openxmlformats.org/officeDocument/2006/relationships" r:id="rId10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UAAAALAAAAAAAAABUAAAALAAAAMQADAFAjAADCG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18719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10160</xdr:colOff>
      <xdr:row>21</xdr:row>
      <xdr:rowOff>9525</xdr:rowOff>
    </xdr:to>
    <xdr:pic macro="">
      <xdr:nvPicPr>
        <xdr:cNvPr id="2854" name="Picture 41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LAAAAAAAAABUAAAALAAAAMQADAFAjAADCG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18719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304165</xdr:colOff>
      <xdr:row>22</xdr:row>
      <xdr:rowOff>95250</xdr:rowOff>
    </xdr:to>
    <xdr:sp macro="" fLocksText="0">
      <xdr:nvSpPr>
        <xdr:cNvPr id="2853" name="AutoShape 42" descr="Imprevisible"/>
        <xdr:cNvSpPr>
          <a:spLocks noChangeAspect="1"/>
          <a:extLst>
            <a:ext uri="smNativeData">
              <pm:smNativeData xmlns:pm="smNativeData" val="SMDATA_11_USvfXhMAAAAlAAAAZA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FQAAAAsAAAAAAAAAFgAAAAsAAADpAVsAUCMAAMIZAADfAQAA0AEAAAEAAAA="/>
            </a:ext>
          </a:extLst>
        </xdr:cNvSpPr>
      </xdr:nvSpPr>
      <xdr:spPr>
        <a:xfrm>
          <a:off x="5740400" y="4187190"/>
          <a:ext cx="304165" cy="294640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52" name="Picture 4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304165</xdr:colOff>
      <xdr:row>23</xdr:row>
      <xdr:rowOff>104775</xdr:rowOff>
    </xdr:to>
    <xdr:sp macro="" fLocksText="0">
      <xdr:nvSpPr>
        <xdr:cNvPr id="2851" name="AutoShape 44" descr="Ràpid"/>
        <xdr:cNvSpPr>
          <a:spLocks noChangeAspect="1"/>
          <a:extLst>
            <a:ext uri="smNativeData">
              <pm:smNativeData xmlns:pm="smNativeData" val="SMDATA_11_USvfXhMAAAAlAAAAZA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FgAAAAsAAAAAAAAAFwAAAAsAAAAaAlsAUCMAAPwaAADfAQAA3wEAAAEAAAA="/>
            </a:ext>
          </a:extLst>
        </xdr:cNvSpPr>
      </xdr:nvSpPr>
      <xdr:spPr>
        <a:xfrm>
          <a:off x="5740400" y="4386580"/>
          <a:ext cx="304165" cy="30416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304165</xdr:colOff>
      <xdr:row>18</xdr:row>
      <xdr:rowOff>104775</xdr:rowOff>
    </xdr:to>
    <xdr:sp macro="" fLocksText="0">
      <xdr:nvSpPr>
        <xdr:cNvPr id="2850" name="AutoShape 47" descr="Entrenador"/>
        <xdr:cNvSpPr>
          <a:spLocks noChangeAspect="1"/>
          <a:extLst>
            <a:ext uri="smNativeData">
              <pm:smNativeData xmlns:pm="smNativeData" val="SMDATA_11_USvfXhMAAAAlAAAAZA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EQAAAAsAAAAAAAAAEgAAAAsAAAAaAlsAUCMAANoUAADfAQAA3wEAAAEAAAA="/>
            </a:ext>
          </a:extLst>
        </xdr:cNvSpPr>
      </xdr:nvSpPr>
      <xdr:spPr>
        <a:xfrm>
          <a:off x="5740400" y="3389630"/>
          <a:ext cx="304165" cy="30416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304165</xdr:colOff>
      <xdr:row>18</xdr:row>
      <xdr:rowOff>104775</xdr:rowOff>
    </xdr:to>
    <xdr:sp macro="" fLocksText="0">
      <xdr:nvSpPr>
        <xdr:cNvPr id="2849" name="AutoShape 48" descr="Imprevisible"/>
        <xdr:cNvSpPr>
          <a:spLocks noChangeAspect="1"/>
          <a:extLst>
            <a:ext uri="smNativeData">
              <pm:smNativeData xmlns:pm="smNativeData" val="SMDATA_11_USvfXhMAAAAlAAAAZA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EQAAAAsAAAAAAAAAEgAAAAsAAAAaAlsAUCMAANoUAADfAQAA3wEAAAEAAAA="/>
            </a:ext>
          </a:extLst>
        </xdr:cNvSpPr>
      </xdr:nvSpPr>
      <xdr:spPr>
        <a:xfrm>
          <a:off x="5740400" y="3389630"/>
          <a:ext cx="304165" cy="30416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848" name="Picture 50" descr="Portugal">
          <a:hlinkClick xmlns:r="http://schemas.openxmlformats.org/officeDocument/2006/relationships" r:id="rId5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304165</xdr:colOff>
      <xdr:row>20</xdr:row>
      <xdr:rowOff>104775</xdr:rowOff>
    </xdr:to>
    <xdr:sp macro="" fLocksText="0">
      <xdr:nvSpPr>
        <xdr:cNvPr id="2847" name="AutoShape 51" descr="Tècnic"/>
        <xdr:cNvSpPr>
          <a:spLocks noChangeAspect="1"/>
          <a:extLst>
            <a:ext uri="smNativeData">
              <pm:smNativeData xmlns:pm="smNativeData" val="SMDATA_11_USvfXhMAAAAlAAAAZA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EwAAAAsAAAAAAAAAFAAAAAsAAAAaAlsAUCMAAE4XAADfAQAA3wEAAAEAAAA="/>
            </a:ext>
          </a:extLst>
        </xdr:cNvSpPr>
      </xdr:nvSpPr>
      <xdr:spPr>
        <a:xfrm>
          <a:off x="5740400" y="3788410"/>
          <a:ext cx="304165" cy="30416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11</xdr:col>
      <xdr:colOff>0</xdr:colOff>
      <xdr:row>20</xdr:row>
      <xdr:rowOff>0</xdr:rowOff>
    </xdr:from>
    <xdr:to>
      <xdr:col>11</xdr:col>
      <xdr:colOff>10160</xdr:colOff>
      <xdr:row>20</xdr:row>
      <xdr:rowOff>9525</xdr:rowOff>
    </xdr:to>
    <xdr:pic macro="">
      <xdr:nvPicPr>
        <xdr:cNvPr id="2846" name="Picture 52" descr="România">
          <a:hlinkClick xmlns:r="http://schemas.openxmlformats.org/officeDocument/2006/relationships" r:id="rId5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BQAAAALAAAAAAAAABQAAAALAAAAMQADAFAjAACIG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98780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10160</xdr:colOff>
      <xdr:row>21</xdr:row>
      <xdr:rowOff>9525</xdr:rowOff>
    </xdr:to>
    <xdr:pic macro="">
      <xdr:nvPicPr>
        <xdr:cNvPr id="2845" name="Picture 5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LAAAAAAAAABUAAAALAAAAMQADAFAjAADCG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18719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44" name="Picture 18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43" name="Picture 29" descr="Belgium">
          <a:hlinkClick xmlns:r="http://schemas.openxmlformats.org/officeDocument/2006/relationships" r:id="rId1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DwzqLD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42" name="Picture 16" descr="Colombia">
          <a:hlinkClick xmlns:r="http://schemas.openxmlformats.org/officeDocument/2006/relationships" r:id="rId2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41" name="Picture 30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40" name="Picture 3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39" name="Picture 42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38" name="Picture 11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37" name="Picture 2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36" name="Picture 28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35" name="Picture 34" descr="România">
          <a:hlinkClick xmlns:r="http://schemas.openxmlformats.org/officeDocument/2006/relationships" r:id="rId4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34" name="Picture 11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33" name="Picture 2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32" name="Picture 2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31" name="Picture 35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30" name="Picture 1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29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28" name="Picture 2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27" name="Picture 3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26" name="Picture 1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25" name="Picture 24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24" name="Picture 2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23" name="Picture 36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22" name="Picture 1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21" name="Picture 23" descr="Slovenija">
          <a:hlinkClick xmlns:r="http://schemas.openxmlformats.org/officeDocument/2006/relationships" r:id="rId8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20" name="Picture 27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19" name="Picture 32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18" name="Picture 1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17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16" name="Picture 17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15" name="Picture 19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14" name="Picture 2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13" name="Picture 2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12" name="Picture 22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11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10" name="Picture 2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09" name="Picture 25" descr="Israel">
          <a:hlinkClick xmlns:r="http://schemas.openxmlformats.org/officeDocument/2006/relationships" r:id="rId1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08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07" name="Picture 27" descr="Việt Nam">
          <a:hlinkClick xmlns:r="http://schemas.openxmlformats.org/officeDocument/2006/relationships" r:id="rId1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06" name="Picture 28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05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04" name="Picture 32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03" name="Picture 12" descr="Suomi">
          <a:hlinkClick xmlns:r="http://schemas.openxmlformats.org/officeDocument/2006/relationships" r:id="rId1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02" name="Picture 14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01" name="Picture 15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00" name="Picture 17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99" name="Picture 18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98" name="Picture 19" descr="Northern Ireland">
          <a:hlinkClick xmlns:r="http://schemas.openxmlformats.org/officeDocument/2006/relationships" r:id="rId2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97" name="Picture 20" descr="China">
          <a:hlinkClick xmlns:r="http://schemas.openxmlformats.org/officeDocument/2006/relationships" r:id="rId2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96" name="Picture 21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95" name="Picture 23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94" name="Picture 25" descr="Danmark">
          <a:hlinkClick xmlns:r="http://schemas.openxmlformats.org/officeDocument/2006/relationships" r:id="rId2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93" name="Picture 2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92" name="Picture 27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91" name="Picture 28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90" name="Picture 31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89" name="Picture 33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88" name="Picture 37" descr="Việt Nam">
          <a:hlinkClick xmlns:r="http://schemas.openxmlformats.org/officeDocument/2006/relationships" r:id="rId2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87" name="Picture 38" descr="Italia">
          <a:hlinkClick xmlns:r="http://schemas.openxmlformats.org/officeDocument/2006/relationships" r:id="rId2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86" name="Picture 39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85" name="Picture 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84" name="Picture 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83" name="Picture 10" descr="Suomi">
          <a:hlinkClick xmlns:r="http://schemas.openxmlformats.org/officeDocument/2006/relationships" r:id="rId3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82" name="Picture 1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81" name="Picture 13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80" name="Picture 14" descr="Colombia">
          <a:hlinkClick xmlns:r="http://schemas.openxmlformats.org/officeDocument/2006/relationships" r:id="rId3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79" name="Picture 15" descr="Portugal">
          <a:hlinkClick xmlns:r="http://schemas.openxmlformats.org/officeDocument/2006/relationships" r:id="rId3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78" name="Picture 16" descr="Nederland">
          <a:hlinkClick xmlns:r="http://schemas.openxmlformats.org/officeDocument/2006/relationships" r:id="rId3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77" name="Picture 17" descr="Northern Ireland">
          <a:hlinkClick xmlns:r="http://schemas.openxmlformats.org/officeDocument/2006/relationships" r:id="rId3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76" name="Picture 18" descr="China">
          <a:hlinkClick xmlns:r="http://schemas.openxmlformats.org/officeDocument/2006/relationships" r:id="rId3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75" name="Picture 19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74" name="Picture 20" descr="Danmark">
          <a:hlinkClick xmlns:r="http://schemas.openxmlformats.org/officeDocument/2006/relationships" r:id="rId4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73" name="Picture 21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72" name="Picture 24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71" name="Picture 2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70" name="Picture 2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69" name="Picture 30" descr="Việt Nam">
          <a:hlinkClick xmlns:r="http://schemas.openxmlformats.org/officeDocument/2006/relationships" r:id="rId4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68" name="Picture 31" descr="Italia">
          <a:hlinkClick xmlns:r="http://schemas.openxmlformats.org/officeDocument/2006/relationships" r:id="rId4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67" name="Picture 35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66" name="Picture 7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65" name="Picture 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64" name="Picture 10" descr="Suomi">
          <a:hlinkClick xmlns:r="http://schemas.openxmlformats.org/officeDocument/2006/relationships" r:id="rId4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63" name="Picture 12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62" name="Picture 1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61" name="Picture 14" descr="Colombia">
          <a:hlinkClick xmlns:r="http://schemas.openxmlformats.org/officeDocument/2006/relationships" r:id="rId4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60" name="Picture 15" descr="Portugal">
          <a:hlinkClick xmlns:r="http://schemas.openxmlformats.org/officeDocument/2006/relationships" r:id="rId5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59" name="Picture 16" descr="Nederland">
          <a:hlinkClick xmlns:r="http://schemas.openxmlformats.org/officeDocument/2006/relationships" r:id="rId5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58" name="Picture 17" descr="Northern Ireland">
          <a:hlinkClick xmlns:r="http://schemas.openxmlformats.org/officeDocument/2006/relationships" r:id="rId5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57" name="Picture 18" descr="China">
          <a:hlinkClick xmlns:r="http://schemas.openxmlformats.org/officeDocument/2006/relationships" r:id="rId5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56" name="Picture 19" descr="Polska">
          <a:hlinkClick xmlns:r="http://schemas.openxmlformats.org/officeDocument/2006/relationships" r:id="rId5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55" name="Picture 20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54" name="Picture 22" descr="Danmark">
          <a:hlinkClick xmlns:r="http://schemas.openxmlformats.org/officeDocument/2006/relationships" r:id="rId5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53" name="Picture 24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52" name="Picture 28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51" name="Picture 30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50" name="Picture 31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49" name="Picture 32" descr="Việt Nam">
          <a:hlinkClick xmlns:r="http://schemas.openxmlformats.org/officeDocument/2006/relationships" r:id="rId5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48" name="Picture 36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47" name="Picture 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46" name="Picture 9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45" name="Picture 10" descr="Suomi">
          <a:hlinkClick xmlns:r="http://schemas.openxmlformats.org/officeDocument/2006/relationships" r:id="rId5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44" name="Picture 12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43" name="Picture 1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42" name="Picture 14" descr="Colombia">
          <a:hlinkClick xmlns:r="http://schemas.openxmlformats.org/officeDocument/2006/relationships" r:id="rId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41" name="Picture 15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40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39" name="Picture 17" descr="Northern Ireland">
          <a:hlinkClick xmlns:r="http://schemas.openxmlformats.org/officeDocument/2006/relationships" r:id="rId6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38" name="Picture 18" descr="China">
          <a:hlinkClick xmlns:r="http://schemas.openxmlformats.org/officeDocument/2006/relationships" r:id="rId6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37" name="Picture 19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36" name="Picture 20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35" name="Picture 22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34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33" name="Picture 28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32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31" name="Picture 35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30" name="Picture 7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29" name="Picture 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28" name="Picture 10" descr="Suomi">
          <a:hlinkClick xmlns:r="http://schemas.openxmlformats.org/officeDocument/2006/relationships" r:id="rId6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27" name="Picture 12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26" name="Picture 1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25" name="Picture 14" descr="Colombia">
          <a:hlinkClick xmlns:r="http://schemas.openxmlformats.org/officeDocument/2006/relationships" r:id="rId6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24" name="Picture 15" descr="Portugal">
          <a:hlinkClick xmlns:r="http://schemas.openxmlformats.org/officeDocument/2006/relationships" r:id="rId6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23" name="Picture 16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22" name="Picture 17" descr="Northern Ireland">
          <a:hlinkClick xmlns:r="http://schemas.openxmlformats.org/officeDocument/2006/relationships" r:id="rId7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21" name="Picture 19" descr="China">
          <a:hlinkClick xmlns:r="http://schemas.openxmlformats.org/officeDocument/2006/relationships" r:id="rId7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20" name="Picture 20" descr="Polska">
          <a:hlinkClick xmlns:r="http://schemas.openxmlformats.org/officeDocument/2006/relationships" r:id="rId7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19" name="Picture 2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18" name="Picture 23" descr="Danmark">
          <a:hlinkClick xmlns:r="http://schemas.openxmlformats.org/officeDocument/2006/relationships" r:id="rId7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17" name="Picture 25" descr="France">
          <a:hlinkClick xmlns:r="http://schemas.openxmlformats.org/officeDocument/2006/relationships" r:id="rId7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16" name="Picture 28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15" name="Picture 30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14" name="Picture 31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13" name="Picture 3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12" name="Picture 37" descr="România">
          <a:hlinkClick xmlns:r="http://schemas.openxmlformats.org/officeDocument/2006/relationships" r:id="rId7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11" name="Picture 7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10" name="Picture 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09" name="Picture 10" descr="Suomi">
          <a:hlinkClick xmlns:r="http://schemas.openxmlformats.org/officeDocument/2006/relationships" r:id="rId7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08" name="Picture 12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07" name="Picture 13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06" name="Picture 15" descr="Colombia">
          <a:hlinkClick xmlns:r="http://schemas.openxmlformats.org/officeDocument/2006/relationships" r:id="rId8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05" name="Picture 16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04" name="Picture 17" descr="Nederland">
          <a:hlinkClick xmlns:r="http://schemas.openxmlformats.org/officeDocument/2006/relationships" r:id="rId8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03" name="Picture 18" descr="Northern Ireland">
          <a:hlinkClick xmlns:r="http://schemas.openxmlformats.org/officeDocument/2006/relationships" r:id="rId8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02" name="Picture 19" descr="China">
          <a:hlinkClick xmlns:r="http://schemas.openxmlformats.org/officeDocument/2006/relationships" r:id="rId8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01" name="Picture 20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00" name="Picture 2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99" name="Picture 22" descr="Danmark">
          <a:hlinkClick xmlns:r="http://schemas.openxmlformats.org/officeDocument/2006/relationships" r:id="rId8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98" name="Picture 24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97" name="Picture 26" descr="România">
          <a:hlinkClick xmlns:r="http://schemas.openxmlformats.org/officeDocument/2006/relationships" r:id="rId8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96" name="Picture 28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95" name="Picture 2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94" name="Picture 30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93" name="Picture 33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92" name="Picture 37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9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9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8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8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8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8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8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8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8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8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8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8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7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7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7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7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7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7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7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7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7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7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6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6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6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6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6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6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6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6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6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6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5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5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5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5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5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5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5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5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5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5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4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4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4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4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4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4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4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4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4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4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3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3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3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3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3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3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3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3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3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3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2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2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2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2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2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2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2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2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2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2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1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1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1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1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1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1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1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1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1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1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0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0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0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0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0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0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0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0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0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0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9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9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9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9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9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9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9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9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91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90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89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88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87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86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85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8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83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82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81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80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79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78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77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76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75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74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73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72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7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7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6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6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6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6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6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6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6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6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6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6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5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5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5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5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5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5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5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5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5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5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4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4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4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4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4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4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4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4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4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4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3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3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3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3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3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3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3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3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3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3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2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2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2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2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2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2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2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2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2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2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1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1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1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1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1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1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1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1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1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1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0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0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0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0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0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0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0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0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0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0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9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9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9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9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9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9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9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9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9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9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8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8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8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8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8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8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8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8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8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8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7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7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7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7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7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7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7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7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71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70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69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68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67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66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65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6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63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62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61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60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59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58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57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56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55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54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53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52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5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5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4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4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4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4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4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4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4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4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4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4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3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3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3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3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3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3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3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3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3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3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2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2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2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2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2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2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2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2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2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2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1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1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1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1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1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1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1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1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1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1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0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0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0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0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0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0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0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0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0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0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99" name="Picture 7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98" name="Picture 9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97" name="Picture 1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96" name="Picture 1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95" name="Picture 13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94" name="Picture 14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93" name="Picture 16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9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91" name="Picture 19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90" name="Picture 2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89" name="Picture 21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88" name="Picture 23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87" name="Picture 25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86" name="Picture 26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85" name="Picture 27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84" name="Picture 28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83" name="Picture 29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82" name="Picture 30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81" name="Picture 32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80" name="Picture 33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12</xdr:row>
      <xdr:rowOff>0</xdr:rowOff>
    </xdr:from>
    <xdr:to>
      <xdr:col>14</xdr:col>
      <xdr:colOff>8890</xdr:colOff>
      <xdr:row>12</xdr:row>
      <xdr:rowOff>9525</xdr:rowOff>
    </xdr:to>
    <xdr:pic macro="">
      <xdr:nvPicPr>
        <xdr:cNvPr id="2379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OAAAAAAAAAAwAAAAOAAAAMQAGAMB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78" name="Picture 18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77" name="Picture 29" descr="Belgium">
          <a:hlinkClick xmlns:r="http://schemas.openxmlformats.org/officeDocument/2006/relationships" r:id="rId1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76" name="Picture 16" descr="Colombia">
          <a:hlinkClick xmlns:r="http://schemas.openxmlformats.org/officeDocument/2006/relationships" r:id="rId2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75" name="Picture 30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74" name="Picture 3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73" name="Picture 42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72" name="Picture 11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71" name="Picture 2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70" name="Picture 28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69" name="Picture 34" descr="România">
          <a:hlinkClick xmlns:r="http://schemas.openxmlformats.org/officeDocument/2006/relationships" r:id="rId4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68" name="Picture 11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67" name="Picture 2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66" name="Picture 2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65" name="Picture 35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64" name="Picture 1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63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62" name="Picture 2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61" name="Picture 3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60" name="Picture 1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59" name="Picture 24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58" name="Picture 2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57" name="Picture 36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56" name="Picture 1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55" name="Picture 23" descr="Slovenija">
          <a:hlinkClick xmlns:r="http://schemas.openxmlformats.org/officeDocument/2006/relationships" r:id="rId8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54" name="Picture 27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53" name="Picture 32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52" name="Picture 1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51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50" name="Picture 17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49" name="Picture 19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48" name="Picture 2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47" name="Picture 2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46" name="Picture 22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45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44" name="Picture 2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43" name="Picture 25" descr="Israel">
          <a:hlinkClick xmlns:r="http://schemas.openxmlformats.org/officeDocument/2006/relationships" r:id="rId1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42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41" name="Picture 27" descr="Việt Nam">
          <a:hlinkClick xmlns:r="http://schemas.openxmlformats.org/officeDocument/2006/relationships" r:id="rId1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40" name="Picture 28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39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38" name="Picture 32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37" name="Picture 12" descr="Suomi">
          <a:hlinkClick xmlns:r="http://schemas.openxmlformats.org/officeDocument/2006/relationships" r:id="rId1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36" name="Picture 14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35" name="Picture 15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34" name="Picture 17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33" name="Picture 18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32" name="Picture 19" descr="Northern Ireland">
          <a:hlinkClick xmlns:r="http://schemas.openxmlformats.org/officeDocument/2006/relationships" r:id="rId2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31" name="Picture 20" descr="China">
          <a:hlinkClick xmlns:r="http://schemas.openxmlformats.org/officeDocument/2006/relationships" r:id="rId2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30" name="Picture 21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29" name="Picture 23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28" name="Picture 25" descr="Danmark">
          <a:hlinkClick xmlns:r="http://schemas.openxmlformats.org/officeDocument/2006/relationships" r:id="rId2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27" name="Picture 2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26" name="Picture 27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25" name="Picture 28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24" name="Picture 31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23" name="Picture 33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22" name="Picture 37" descr="Việt Nam">
          <a:hlinkClick xmlns:r="http://schemas.openxmlformats.org/officeDocument/2006/relationships" r:id="rId2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21" name="Picture 38" descr="Italia">
          <a:hlinkClick xmlns:r="http://schemas.openxmlformats.org/officeDocument/2006/relationships" r:id="rId2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20" name="Picture 39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19" name="Picture 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18" name="Picture 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17" name="Picture 10" descr="Suomi">
          <a:hlinkClick xmlns:r="http://schemas.openxmlformats.org/officeDocument/2006/relationships" r:id="rId3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16" name="Picture 1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15" name="Picture 13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14" name="Picture 14" descr="Colombia">
          <a:hlinkClick xmlns:r="http://schemas.openxmlformats.org/officeDocument/2006/relationships" r:id="rId3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13" name="Picture 15" descr="Portugal">
          <a:hlinkClick xmlns:r="http://schemas.openxmlformats.org/officeDocument/2006/relationships" r:id="rId3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12" name="Picture 16" descr="Nederland">
          <a:hlinkClick xmlns:r="http://schemas.openxmlformats.org/officeDocument/2006/relationships" r:id="rId3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11" name="Picture 17" descr="Northern Ireland">
          <a:hlinkClick xmlns:r="http://schemas.openxmlformats.org/officeDocument/2006/relationships" r:id="rId3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10" name="Picture 18" descr="China">
          <a:hlinkClick xmlns:r="http://schemas.openxmlformats.org/officeDocument/2006/relationships" r:id="rId3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09" name="Picture 19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08" name="Picture 20" descr="Danmark">
          <a:hlinkClick xmlns:r="http://schemas.openxmlformats.org/officeDocument/2006/relationships" r:id="rId4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07" name="Picture 21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06" name="Picture 24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05" name="Picture 2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04" name="Picture 2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03" name="Picture 30" descr="Việt Nam">
          <a:hlinkClick xmlns:r="http://schemas.openxmlformats.org/officeDocument/2006/relationships" r:id="rId4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02" name="Picture 31" descr="Italia">
          <a:hlinkClick xmlns:r="http://schemas.openxmlformats.org/officeDocument/2006/relationships" r:id="rId4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01" name="Picture 35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00" name="Picture 7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99" name="Picture 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98" name="Picture 10" descr="Suomi">
          <a:hlinkClick xmlns:r="http://schemas.openxmlformats.org/officeDocument/2006/relationships" r:id="rId4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97" name="Picture 12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96" name="Picture 1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95" name="Picture 14" descr="Colombia">
          <a:hlinkClick xmlns:r="http://schemas.openxmlformats.org/officeDocument/2006/relationships" r:id="rId4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94" name="Picture 15" descr="Portugal">
          <a:hlinkClick xmlns:r="http://schemas.openxmlformats.org/officeDocument/2006/relationships" r:id="rId5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93" name="Picture 16" descr="Nederland">
          <a:hlinkClick xmlns:r="http://schemas.openxmlformats.org/officeDocument/2006/relationships" r:id="rId5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92" name="Picture 17" descr="Northern Ireland">
          <a:hlinkClick xmlns:r="http://schemas.openxmlformats.org/officeDocument/2006/relationships" r:id="rId5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91" name="Picture 18" descr="China">
          <a:hlinkClick xmlns:r="http://schemas.openxmlformats.org/officeDocument/2006/relationships" r:id="rId5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90" name="Picture 19" descr="Polska">
          <a:hlinkClick xmlns:r="http://schemas.openxmlformats.org/officeDocument/2006/relationships" r:id="rId5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89" name="Picture 20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88" name="Picture 22" descr="Danmark">
          <a:hlinkClick xmlns:r="http://schemas.openxmlformats.org/officeDocument/2006/relationships" r:id="rId5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87" name="Picture 24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86" name="Picture 28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85" name="Picture 30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84" name="Picture 31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83" name="Picture 32" descr="Việt Nam">
          <a:hlinkClick xmlns:r="http://schemas.openxmlformats.org/officeDocument/2006/relationships" r:id="rId5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82" name="Picture 36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81" name="Picture 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80" name="Picture 9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79" name="Picture 10" descr="Suomi">
          <a:hlinkClick xmlns:r="http://schemas.openxmlformats.org/officeDocument/2006/relationships" r:id="rId5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78" name="Picture 12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77" name="Picture 1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76" name="Picture 14" descr="Colombia">
          <a:hlinkClick xmlns:r="http://schemas.openxmlformats.org/officeDocument/2006/relationships" r:id="rId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75" name="Picture 15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74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73" name="Picture 17" descr="Northern Ireland">
          <a:hlinkClick xmlns:r="http://schemas.openxmlformats.org/officeDocument/2006/relationships" r:id="rId6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72" name="Picture 18" descr="China">
          <a:hlinkClick xmlns:r="http://schemas.openxmlformats.org/officeDocument/2006/relationships" r:id="rId6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71" name="Picture 19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70" name="Picture 20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69" name="Picture 22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68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67" name="Picture 28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66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65" name="Picture 35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64" name="Picture 7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63" name="Picture 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62" name="Picture 10" descr="Suomi">
          <a:hlinkClick xmlns:r="http://schemas.openxmlformats.org/officeDocument/2006/relationships" r:id="rId6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61" name="Picture 12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60" name="Picture 1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59" name="Picture 14" descr="Colombia">
          <a:hlinkClick xmlns:r="http://schemas.openxmlformats.org/officeDocument/2006/relationships" r:id="rId6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58" name="Picture 15" descr="Portugal">
          <a:hlinkClick xmlns:r="http://schemas.openxmlformats.org/officeDocument/2006/relationships" r:id="rId6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57" name="Picture 16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56" name="Picture 17" descr="Northern Ireland">
          <a:hlinkClick xmlns:r="http://schemas.openxmlformats.org/officeDocument/2006/relationships" r:id="rId7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55" name="Picture 19" descr="China">
          <a:hlinkClick xmlns:r="http://schemas.openxmlformats.org/officeDocument/2006/relationships" r:id="rId7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54" name="Picture 20" descr="Polska">
          <a:hlinkClick xmlns:r="http://schemas.openxmlformats.org/officeDocument/2006/relationships" r:id="rId7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53" name="Picture 2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52" name="Picture 23" descr="Danmark">
          <a:hlinkClick xmlns:r="http://schemas.openxmlformats.org/officeDocument/2006/relationships" r:id="rId7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51" name="Picture 25" descr="France">
          <a:hlinkClick xmlns:r="http://schemas.openxmlformats.org/officeDocument/2006/relationships" r:id="rId7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50" name="Picture 28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49" name="Picture 30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48" name="Picture 31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47" name="Picture 3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46" name="Picture 37" descr="România">
          <a:hlinkClick xmlns:r="http://schemas.openxmlformats.org/officeDocument/2006/relationships" r:id="rId7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45" name="Picture 7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44" name="Picture 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43" name="Picture 10" descr="Suomi">
          <a:hlinkClick xmlns:r="http://schemas.openxmlformats.org/officeDocument/2006/relationships" r:id="rId7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42" name="Picture 12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41" name="Picture 13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40" name="Picture 15" descr="Colombia">
          <a:hlinkClick xmlns:r="http://schemas.openxmlformats.org/officeDocument/2006/relationships" r:id="rId8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39" name="Picture 16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38" name="Picture 17" descr="Nederland">
          <a:hlinkClick xmlns:r="http://schemas.openxmlformats.org/officeDocument/2006/relationships" r:id="rId8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37" name="Picture 18" descr="Northern Ireland">
          <a:hlinkClick xmlns:r="http://schemas.openxmlformats.org/officeDocument/2006/relationships" r:id="rId8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36" name="Picture 19" descr="China">
          <a:hlinkClick xmlns:r="http://schemas.openxmlformats.org/officeDocument/2006/relationships" r:id="rId8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35" name="Picture 20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34" name="Picture 2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33" name="Picture 22" descr="Danmark">
          <a:hlinkClick xmlns:r="http://schemas.openxmlformats.org/officeDocument/2006/relationships" r:id="rId8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32" name="Picture 24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31" name="Picture 26" descr="România">
          <a:hlinkClick xmlns:r="http://schemas.openxmlformats.org/officeDocument/2006/relationships" r:id="rId8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30" name="Picture 28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29" name="Picture 2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28" name="Picture 30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27" name="Picture 33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26" name="Picture 37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2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2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2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2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21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20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19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18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17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16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15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1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13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12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11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10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09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08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07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06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05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04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03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02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0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0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9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9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9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9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9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9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9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9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9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9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8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8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8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8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8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8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8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8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8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8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7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7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7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7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7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7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7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7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7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7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6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6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6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6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6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6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6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6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6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6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5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5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5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5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5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5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5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5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5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5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4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4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4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4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4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4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4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4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4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4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3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3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3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3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3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3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3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3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3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3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2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2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2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2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2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2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2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2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2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2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1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1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1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1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1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1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1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1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1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1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0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0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0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0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0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0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0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0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01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00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99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98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97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96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95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9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93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92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91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90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89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88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87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86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85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84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83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82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8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8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7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7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7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7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7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7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7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7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7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7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6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6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6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6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6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6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6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6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6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6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5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5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5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5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5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5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5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5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5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5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4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4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4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4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4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4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4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4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4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4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3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3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3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3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3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3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3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3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3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3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2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2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2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2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2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2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2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2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2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2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1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1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1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1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1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1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1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1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1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1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0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0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0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0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0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0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0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0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0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0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9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9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9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9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9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9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9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9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9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9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8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8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8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8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8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8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8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8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81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80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79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78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77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76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75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7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73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72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71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70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69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68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67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66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65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64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63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62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6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6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5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5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5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5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5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5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5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5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5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5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4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4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4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4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4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4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4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4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4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4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3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3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3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3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3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3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33" name="Picture 7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32" name="Picture 9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31" name="Picture 1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30" name="Picture 1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29" name="Picture 13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28" name="Picture 14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27" name="Picture 16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2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25" name="Picture 19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24" name="Picture 2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23" name="Picture 21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22" name="Picture 23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21" name="Picture 25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20" name="Picture 26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19" name="Picture 27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18" name="Picture 28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17" name="Picture 29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16" name="Picture 30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15" name="Picture 32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14" name="Picture 33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12</xdr:row>
      <xdr:rowOff>0</xdr:rowOff>
    </xdr:from>
    <xdr:to>
      <xdr:col>20</xdr:col>
      <xdr:colOff>9525</xdr:colOff>
      <xdr:row>12</xdr:row>
      <xdr:rowOff>9525</xdr:rowOff>
    </xdr:to>
    <xdr:pic macro="">
      <xdr:nvPicPr>
        <xdr:cNvPr id="1913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UAAAAAAAAAAwAAAAUAAAAMQAMAJBaAAC4D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39268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12</xdr:row>
      <xdr:rowOff>0</xdr:rowOff>
    </xdr:from>
    <xdr:to>
      <xdr:col>14</xdr:col>
      <xdr:colOff>8890</xdr:colOff>
      <xdr:row>12</xdr:row>
      <xdr:rowOff>9525</xdr:rowOff>
    </xdr:to>
    <xdr:pic macro="">
      <xdr:nvPicPr>
        <xdr:cNvPr id="1912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OAAAAAAAAAAwAAAAOAAAAMQAGAMB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11" name="Picture 18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10" name="Picture 29" descr="Belgium">
          <a:hlinkClick xmlns:r="http://schemas.openxmlformats.org/officeDocument/2006/relationships" r:id="rId1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09" name="Picture 16" descr="Colombia">
          <a:hlinkClick xmlns:r="http://schemas.openxmlformats.org/officeDocument/2006/relationships" r:id="rId2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08" name="Picture 30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07" name="Picture 3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06" name="Picture 42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05" name="Picture 11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04" name="Picture 2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03" name="Picture 28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02" name="Picture 34" descr="România">
          <a:hlinkClick xmlns:r="http://schemas.openxmlformats.org/officeDocument/2006/relationships" r:id="rId4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01" name="Picture 11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00" name="Picture 2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99" name="Picture 2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98" name="Picture 35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97" name="Picture 1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96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95" name="Picture 2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94" name="Picture 3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93" name="Picture 1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92" name="Picture 24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91" name="Picture 2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90" name="Picture 36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89" name="Picture 1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88" name="Picture 23" descr="Slovenija">
          <a:hlinkClick xmlns:r="http://schemas.openxmlformats.org/officeDocument/2006/relationships" r:id="rId8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87" name="Picture 27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86" name="Picture 32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85" name="Picture 1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84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83" name="Picture 17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82" name="Picture 19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81" name="Picture 2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80" name="Picture 2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79" name="Picture 22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78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77" name="Picture 2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76" name="Picture 25" descr="Israel">
          <a:hlinkClick xmlns:r="http://schemas.openxmlformats.org/officeDocument/2006/relationships" r:id="rId1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75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74" name="Picture 27" descr="Việt Nam">
          <a:hlinkClick xmlns:r="http://schemas.openxmlformats.org/officeDocument/2006/relationships" r:id="rId1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73" name="Picture 28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72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71" name="Picture 32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70" name="Picture 12" descr="Suomi">
          <a:hlinkClick xmlns:r="http://schemas.openxmlformats.org/officeDocument/2006/relationships" r:id="rId1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69" name="Picture 14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68" name="Picture 15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67" name="Picture 17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66" name="Picture 18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65" name="Picture 19" descr="Northern Ireland">
          <a:hlinkClick xmlns:r="http://schemas.openxmlformats.org/officeDocument/2006/relationships" r:id="rId2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64" name="Picture 20" descr="China">
          <a:hlinkClick xmlns:r="http://schemas.openxmlformats.org/officeDocument/2006/relationships" r:id="rId2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63" name="Picture 21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62" name="Picture 23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61" name="Picture 25" descr="Danmark">
          <a:hlinkClick xmlns:r="http://schemas.openxmlformats.org/officeDocument/2006/relationships" r:id="rId2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60" name="Picture 2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59" name="Picture 27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58" name="Picture 28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57" name="Picture 31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56" name="Picture 33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55" name="Picture 37" descr="Việt Nam">
          <a:hlinkClick xmlns:r="http://schemas.openxmlformats.org/officeDocument/2006/relationships" r:id="rId2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54" name="Picture 38" descr="Italia">
          <a:hlinkClick xmlns:r="http://schemas.openxmlformats.org/officeDocument/2006/relationships" r:id="rId2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53" name="Picture 39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52" name="Picture 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51" name="Picture 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50" name="Picture 10" descr="Suomi">
          <a:hlinkClick xmlns:r="http://schemas.openxmlformats.org/officeDocument/2006/relationships" r:id="rId3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49" name="Picture 1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48" name="Picture 13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47" name="Picture 14" descr="Colombia">
          <a:hlinkClick xmlns:r="http://schemas.openxmlformats.org/officeDocument/2006/relationships" r:id="rId3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46" name="Picture 15" descr="Portugal">
          <a:hlinkClick xmlns:r="http://schemas.openxmlformats.org/officeDocument/2006/relationships" r:id="rId3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45" name="Picture 16" descr="Nederland">
          <a:hlinkClick xmlns:r="http://schemas.openxmlformats.org/officeDocument/2006/relationships" r:id="rId3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44" name="Picture 17" descr="Northern Ireland">
          <a:hlinkClick xmlns:r="http://schemas.openxmlformats.org/officeDocument/2006/relationships" r:id="rId3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43" name="Picture 18" descr="China">
          <a:hlinkClick xmlns:r="http://schemas.openxmlformats.org/officeDocument/2006/relationships" r:id="rId3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42" name="Picture 19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41" name="Picture 20" descr="Danmark">
          <a:hlinkClick xmlns:r="http://schemas.openxmlformats.org/officeDocument/2006/relationships" r:id="rId4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40" name="Picture 21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39" name="Picture 24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38" name="Picture 2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37" name="Picture 2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36" name="Picture 30" descr="Việt Nam">
          <a:hlinkClick xmlns:r="http://schemas.openxmlformats.org/officeDocument/2006/relationships" r:id="rId4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35" name="Picture 31" descr="Italia">
          <a:hlinkClick xmlns:r="http://schemas.openxmlformats.org/officeDocument/2006/relationships" r:id="rId4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34" name="Picture 35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33" name="Picture 7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32" name="Picture 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31" name="Picture 10" descr="Suomi">
          <a:hlinkClick xmlns:r="http://schemas.openxmlformats.org/officeDocument/2006/relationships" r:id="rId4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30" name="Picture 12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29" name="Picture 1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28" name="Picture 14" descr="Colombia">
          <a:hlinkClick xmlns:r="http://schemas.openxmlformats.org/officeDocument/2006/relationships" r:id="rId4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27" name="Picture 15" descr="Portugal">
          <a:hlinkClick xmlns:r="http://schemas.openxmlformats.org/officeDocument/2006/relationships" r:id="rId5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26" name="Picture 16" descr="Nederland">
          <a:hlinkClick xmlns:r="http://schemas.openxmlformats.org/officeDocument/2006/relationships" r:id="rId5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25" name="Picture 17" descr="Northern Ireland">
          <a:hlinkClick xmlns:r="http://schemas.openxmlformats.org/officeDocument/2006/relationships" r:id="rId5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24" name="Picture 18" descr="China">
          <a:hlinkClick xmlns:r="http://schemas.openxmlformats.org/officeDocument/2006/relationships" r:id="rId5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23" name="Picture 19" descr="Polska">
          <a:hlinkClick xmlns:r="http://schemas.openxmlformats.org/officeDocument/2006/relationships" r:id="rId5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22" name="Picture 20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21" name="Picture 22" descr="Danmark">
          <a:hlinkClick xmlns:r="http://schemas.openxmlformats.org/officeDocument/2006/relationships" r:id="rId5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20" name="Picture 24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19" name="Picture 28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18" name="Picture 30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17" name="Picture 31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16" name="Picture 32" descr="Việt Nam">
          <a:hlinkClick xmlns:r="http://schemas.openxmlformats.org/officeDocument/2006/relationships" r:id="rId5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15" name="Picture 36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14" name="Picture 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13" name="Picture 9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12" name="Picture 10" descr="Suomi">
          <a:hlinkClick xmlns:r="http://schemas.openxmlformats.org/officeDocument/2006/relationships" r:id="rId5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11" name="Picture 12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10" name="Picture 1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09" name="Picture 14" descr="Colombia">
          <a:hlinkClick xmlns:r="http://schemas.openxmlformats.org/officeDocument/2006/relationships" r:id="rId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08" name="Picture 15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07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06" name="Picture 17" descr="Northern Ireland">
          <a:hlinkClick xmlns:r="http://schemas.openxmlformats.org/officeDocument/2006/relationships" r:id="rId6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05" name="Picture 18" descr="China">
          <a:hlinkClick xmlns:r="http://schemas.openxmlformats.org/officeDocument/2006/relationships" r:id="rId6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04" name="Picture 19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03" name="Picture 20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02" name="Picture 22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01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00" name="Picture 28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99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98" name="Picture 35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97" name="Picture 7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96" name="Picture 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95" name="Picture 10" descr="Suomi">
          <a:hlinkClick xmlns:r="http://schemas.openxmlformats.org/officeDocument/2006/relationships" r:id="rId6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94" name="Picture 12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93" name="Picture 1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92" name="Picture 14" descr="Colombia">
          <a:hlinkClick xmlns:r="http://schemas.openxmlformats.org/officeDocument/2006/relationships" r:id="rId6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91" name="Picture 15" descr="Portugal">
          <a:hlinkClick xmlns:r="http://schemas.openxmlformats.org/officeDocument/2006/relationships" r:id="rId6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90" name="Picture 16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89" name="Picture 17" descr="Northern Ireland">
          <a:hlinkClick xmlns:r="http://schemas.openxmlformats.org/officeDocument/2006/relationships" r:id="rId7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88" name="Picture 19" descr="China">
          <a:hlinkClick xmlns:r="http://schemas.openxmlformats.org/officeDocument/2006/relationships" r:id="rId7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87" name="Picture 20" descr="Polska">
          <a:hlinkClick xmlns:r="http://schemas.openxmlformats.org/officeDocument/2006/relationships" r:id="rId7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86" name="Picture 2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85" name="Picture 23" descr="Danmark">
          <a:hlinkClick xmlns:r="http://schemas.openxmlformats.org/officeDocument/2006/relationships" r:id="rId7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84" name="Picture 25" descr="France">
          <a:hlinkClick xmlns:r="http://schemas.openxmlformats.org/officeDocument/2006/relationships" r:id="rId7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83" name="Picture 28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82" name="Picture 30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81" name="Picture 31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80" name="Picture 3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79" name="Picture 37" descr="România">
          <a:hlinkClick xmlns:r="http://schemas.openxmlformats.org/officeDocument/2006/relationships" r:id="rId7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78" name="Picture 7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77" name="Picture 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76" name="Picture 10" descr="Suomi">
          <a:hlinkClick xmlns:r="http://schemas.openxmlformats.org/officeDocument/2006/relationships" r:id="rId7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75" name="Picture 12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74" name="Picture 13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73" name="Picture 15" descr="Colombia">
          <a:hlinkClick xmlns:r="http://schemas.openxmlformats.org/officeDocument/2006/relationships" r:id="rId8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72" name="Picture 16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71" name="Picture 17" descr="Nederland">
          <a:hlinkClick xmlns:r="http://schemas.openxmlformats.org/officeDocument/2006/relationships" r:id="rId8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70" name="Picture 18" descr="Northern Ireland">
          <a:hlinkClick xmlns:r="http://schemas.openxmlformats.org/officeDocument/2006/relationships" r:id="rId8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69" name="Picture 19" descr="China">
          <a:hlinkClick xmlns:r="http://schemas.openxmlformats.org/officeDocument/2006/relationships" r:id="rId8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68" name="Picture 20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67" name="Picture 2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66" name="Picture 22" descr="Danmark">
          <a:hlinkClick xmlns:r="http://schemas.openxmlformats.org/officeDocument/2006/relationships" r:id="rId8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65" name="Picture 24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64" name="Picture 26" descr="România">
          <a:hlinkClick xmlns:r="http://schemas.openxmlformats.org/officeDocument/2006/relationships" r:id="rId8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63" name="Picture 28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62" name="Picture 2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61" name="Picture 30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60" name="Picture 33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59" name="Picture 37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58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57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56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55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54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53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52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51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50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49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48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47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46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45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44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43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42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41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40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39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38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37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36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35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34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33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32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31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30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29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28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27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26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25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24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23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22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21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20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19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18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17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16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15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14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13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12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11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10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09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08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07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06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05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04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03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02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01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00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99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98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97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96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95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94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93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92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91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90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89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88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87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86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85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84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83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82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81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80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79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78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77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76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75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74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73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72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71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70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69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68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67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66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65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64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63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62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61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60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59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58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57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56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55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54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53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52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51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50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49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48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47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46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45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44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43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42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41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40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39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38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37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36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35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34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33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32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31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30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29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28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27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26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25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24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23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22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21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20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19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18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17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16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15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14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13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12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11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10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09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08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07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06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05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04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03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02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01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00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99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98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97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96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95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94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93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92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91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90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89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88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87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86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85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84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83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82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81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80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79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78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77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76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75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74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73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72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71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70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69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68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67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66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65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64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63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62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61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60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59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58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57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56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55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54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53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52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51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50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49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48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47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46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45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44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43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42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41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40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39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38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37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36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35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34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33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32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31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30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29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28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27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26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25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24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23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22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21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20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19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18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17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16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15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14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13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12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11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10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09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08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07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06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05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04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03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02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01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00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99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98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97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96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95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94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93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92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91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90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89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88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87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86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85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84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83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82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81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80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79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78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77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76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75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74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73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72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71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70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69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68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67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66" name="Picture 7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65" name="Picture 9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64" name="Picture 1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63" name="Picture 1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62" name="Picture 13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61" name="Picture 14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60" name="Picture 16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59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58" name="Picture 19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57" name="Picture 2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56" name="Picture 21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55" name="Picture 23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54" name="Picture 25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53" name="Picture 26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52" name="Picture 27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51" name="Picture 28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50" name="Picture 29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49" name="Picture 30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48" name="Picture 32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47" name="Picture 33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12</xdr:row>
      <xdr:rowOff>0</xdr:rowOff>
    </xdr:from>
    <xdr:to>
      <xdr:col>20</xdr:col>
      <xdr:colOff>9525</xdr:colOff>
      <xdr:row>12</xdr:row>
      <xdr:rowOff>9525</xdr:rowOff>
    </xdr:to>
    <xdr:pic macro="">
      <xdr:nvPicPr>
        <xdr:cNvPr id="1446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UAAAAAAAAAAwAAAAUAAAAMQAMAJBaAAC4D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39268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12</xdr:row>
      <xdr:rowOff>0</xdr:rowOff>
    </xdr:from>
    <xdr:to>
      <xdr:col>20</xdr:col>
      <xdr:colOff>9525</xdr:colOff>
      <xdr:row>12</xdr:row>
      <xdr:rowOff>9525</xdr:rowOff>
    </xdr:to>
    <xdr:pic macro="">
      <xdr:nvPicPr>
        <xdr:cNvPr id="1445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UAAAAAAAAAAwAAAAUAAAAMQAMAJBaAAC4D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39268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44" name="Picture 18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43" name="Picture 29" descr="Belgium">
          <a:hlinkClick xmlns:r="http://schemas.openxmlformats.org/officeDocument/2006/relationships" r:id="rId1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42" name="Picture 16" descr="Colombia">
          <a:hlinkClick xmlns:r="http://schemas.openxmlformats.org/officeDocument/2006/relationships" r:id="rId2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41" name="Picture 30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40" name="Picture 3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39" name="Picture 42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38" name="Picture 11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37" name="Picture 2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36" name="Picture 28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35" name="Picture 34" descr="România">
          <a:hlinkClick xmlns:r="http://schemas.openxmlformats.org/officeDocument/2006/relationships" r:id="rId4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34" name="Picture 11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33" name="Picture 2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32" name="Picture 2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31" name="Picture 35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30" name="Picture 1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29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28" name="Picture 2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27" name="Picture 3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26" name="Picture 1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25" name="Picture 24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24" name="Picture 2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23" name="Picture 36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22" name="Picture 1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21" name="Picture 23" descr="Slovenija">
          <a:hlinkClick xmlns:r="http://schemas.openxmlformats.org/officeDocument/2006/relationships" r:id="rId8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20" name="Picture 27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19" name="Picture 32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18" name="Picture 1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17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16" name="Picture 17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15" name="Picture 19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14" name="Picture 2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13" name="Picture 2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12" name="Picture 22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11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10" name="Picture 2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09" name="Picture 25" descr="Israel">
          <a:hlinkClick xmlns:r="http://schemas.openxmlformats.org/officeDocument/2006/relationships" r:id="rId1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08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07" name="Picture 27" descr="Việt Nam">
          <a:hlinkClick xmlns:r="http://schemas.openxmlformats.org/officeDocument/2006/relationships" r:id="rId1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06" name="Picture 28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05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04" name="Picture 32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03" name="Picture 12" descr="Suomi">
          <a:hlinkClick xmlns:r="http://schemas.openxmlformats.org/officeDocument/2006/relationships" r:id="rId1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02" name="Picture 14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01" name="Picture 15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00" name="Picture 17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99" name="Picture 18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98" name="Picture 19" descr="Northern Ireland">
          <a:hlinkClick xmlns:r="http://schemas.openxmlformats.org/officeDocument/2006/relationships" r:id="rId2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97" name="Picture 20" descr="China">
          <a:hlinkClick xmlns:r="http://schemas.openxmlformats.org/officeDocument/2006/relationships" r:id="rId2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96" name="Picture 21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95" name="Picture 23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94" name="Picture 25" descr="Danmark">
          <a:hlinkClick xmlns:r="http://schemas.openxmlformats.org/officeDocument/2006/relationships" r:id="rId2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93" name="Picture 2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92" name="Picture 27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91" name="Picture 28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90" name="Picture 31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89" name="Picture 33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88" name="Picture 37" descr="Việt Nam">
          <a:hlinkClick xmlns:r="http://schemas.openxmlformats.org/officeDocument/2006/relationships" r:id="rId2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87" name="Picture 38" descr="Italia">
          <a:hlinkClick xmlns:r="http://schemas.openxmlformats.org/officeDocument/2006/relationships" r:id="rId2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86" name="Picture 39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85" name="Picture 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84" name="Picture 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83" name="Picture 10" descr="Suomi">
          <a:hlinkClick xmlns:r="http://schemas.openxmlformats.org/officeDocument/2006/relationships" r:id="rId3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82" name="Picture 1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81" name="Picture 13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80" name="Picture 14" descr="Colombia">
          <a:hlinkClick xmlns:r="http://schemas.openxmlformats.org/officeDocument/2006/relationships" r:id="rId3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79" name="Picture 15" descr="Portugal">
          <a:hlinkClick xmlns:r="http://schemas.openxmlformats.org/officeDocument/2006/relationships" r:id="rId3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78" name="Picture 16" descr="Nederland">
          <a:hlinkClick xmlns:r="http://schemas.openxmlformats.org/officeDocument/2006/relationships" r:id="rId3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77" name="Picture 17" descr="Northern Ireland">
          <a:hlinkClick xmlns:r="http://schemas.openxmlformats.org/officeDocument/2006/relationships" r:id="rId3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76" name="Picture 18" descr="China">
          <a:hlinkClick xmlns:r="http://schemas.openxmlformats.org/officeDocument/2006/relationships" r:id="rId3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75" name="Picture 19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74" name="Picture 20" descr="Danmark">
          <a:hlinkClick xmlns:r="http://schemas.openxmlformats.org/officeDocument/2006/relationships" r:id="rId4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73" name="Picture 21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72" name="Picture 24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71" name="Picture 2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70" name="Picture 2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69" name="Picture 30" descr="Việt Nam">
          <a:hlinkClick xmlns:r="http://schemas.openxmlformats.org/officeDocument/2006/relationships" r:id="rId4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68" name="Picture 31" descr="Italia">
          <a:hlinkClick xmlns:r="http://schemas.openxmlformats.org/officeDocument/2006/relationships" r:id="rId4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67" name="Picture 35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66" name="Picture 7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65" name="Picture 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64" name="Picture 10" descr="Suomi">
          <a:hlinkClick xmlns:r="http://schemas.openxmlformats.org/officeDocument/2006/relationships" r:id="rId4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63" name="Picture 12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62" name="Picture 1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61" name="Picture 14" descr="Colombia">
          <a:hlinkClick xmlns:r="http://schemas.openxmlformats.org/officeDocument/2006/relationships" r:id="rId4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60" name="Picture 15" descr="Portugal">
          <a:hlinkClick xmlns:r="http://schemas.openxmlformats.org/officeDocument/2006/relationships" r:id="rId5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59" name="Picture 16" descr="Nederland">
          <a:hlinkClick xmlns:r="http://schemas.openxmlformats.org/officeDocument/2006/relationships" r:id="rId5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58" name="Picture 17" descr="Northern Ireland">
          <a:hlinkClick xmlns:r="http://schemas.openxmlformats.org/officeDocument/2006/relationships" r:id="rId5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57" name="Picture 18" descr="China">
          <a:hlinkClick xmlns:r="http://schemas.openxmlformats.org/officeDocument/2006/relationships" r:id="rId5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56" name="Picture 19" descr="Polska">
          <a:hlinkClick xmlns:r="http://schemas.openxmlformats.org/officeDocument/2006/relationships" r:id="rId5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55" name="Picture 20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54" name="Picture 22" descr="Danmark">
          <a:hlinkClick xmlns:r="http://schemas.openxmlformats.org/officeDocument/2006/relationships" r:id="rId5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53" name="Picture 24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52" name="Picture 28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51" name="Picture 30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50" name="Picture 31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49" name="Picture 32" descr="Việt Nam">
          <a:hlinkClick xmlns:r="http://schemas.openxmlformats.org/officeDocument/2006/relationships" r:id="rId5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48" name="Picture 36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47" name="Picture 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46" name="Picture 9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45" name="Picture 10" descr="Suomi">
          <a:hlinkClick xmlns:r="http://schemas.openxmlformats.org/officeDocument/2006/relationships" r:id="rId5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44" name="Picture 12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43" name="Picture 1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42" name="Picture 14" descr="Colombia">
          <a:hlinkClick xmlns:r="http://schemas.openxmlformats.org/officeDocument/2006/relationships" r:id="rId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41" name="Picture 15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40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39" name="Picture 17" descr="Northern Ireland">
          <a:hlinkClick xmlns:r="http://schemas.openxmlformats.org/officeDocument/2006/relationships" r:id="rId6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38" name="Picture 18" descr="China">
          <a:hlinkClick xmlns:r="http://schemas.openxmlformats.org/officeDocument/2006/relationships" r:id="rId6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37" name="Picture 19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36" name="Picture 20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35" name="Picture 22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34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33" name="Picture 28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32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31" name="Picture 35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30" name="Picture 7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29" name="Picture 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28" name="Picture 10" descr="Suomi">
          <a:hlinkClick xmlns:r="http://schemas.openxmlformats.org/officeDocument/2006/relationships" r:id="rId6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27" name="Picture 12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26" name="Picture 1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25" name="Picture 14" descr="Colombia">
          <a:hlinkClick xmlns:r="http://schemas.openxmlformats.org/officeDocument/2006/relationships" r:id="rId6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24" name="Picture 15" descr="Portugal">
          <a:hlinkClick xmlns:r="http://schemas.openxmlformats.org/officeDocument/2006/relationships" r:id="rId6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23" name="Picture 16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22" name="Picture 17" descr="Northern Ireland">
          <a:hlinkClick xmlns:r="http://schemas.openxmlformats.org/officeDocument/2006/relationships" r:id="rId7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21" name="Picture 19" descr="China">
          <a:hlinkClick xmlns:r="http://schemas.openxmlformats.org/officeDocument/2006/relationships" r:id="rId7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20" name="Picture 20" descr="Polska">
          <a:hlinkClick xmlns:r="http://schemas.openxmlformats.org/officeDocument/2006/relationships" r:id="rId7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19" name="Picture 2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18" name="Picture 23" descr="Danmark">
          <a:hlinkClick xmlns:r="http://schemas.openxmlformats.org/officeDocument/2006/relationships" r:id="rId7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17" name="Picture 25" descr="France">
          <a:hlinkClick xmlns:r="http://schemas.openxmlformats.org/officeDocument/2006/relationships" r:id="rId7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16" name="Picture 28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15" name="Picture 30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14" name="Picture 31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13" name="Picture 3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12" name="Picture 37" descr="România">
          <a:hlinkClick xmlns:r="http://schemas.openxmlformats.org/officeDocument/2006/relationships" r:id="rId7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11" name="Picture 7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10" name="Picture 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09" name="Picture 10" descr="Suomi">
          <a:hlinkClick xmlns:r="http://schemas.openxmlformats.org/officeDocument/2006/relationships" r:id="rId7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08" name="Picture 12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07" name="Picture 13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06" name="Picture 15" descr="Colombia">
          <a:hlinkClick xmlns:r="http://schemas.openxmlformats.org/officeDocument/2006/relationships" r:id="rId8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05" name="Picture 16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04" name="Picture 17" descr="Nederland">
          <a:hlinkClick xmlns:r="http://schemas.openxmlformats.org/officeDocument/2006/relationships" r:id="rId8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03" name="Picture 18" descr="Northern Ireland">
          <a:hlinkClick xmlns:r="http://schemas.openxmlformats.org/officeDocument/2006/relationships" r:id="rId8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02" name="Picture 19" descr="China">
          <a:hlinkClick xmlns:r="http://schemas.openxmlformats.org/officeDocument/2006/relationships" r:id="rId8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01" name="Picture 20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00" name="Picture 2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99" name="Picture 22" descr="Danmark">
          <a:hlinkClick xmlns:r="http://schemas.openxmlformats.org/officeDocument/2006/relationships" r:id="rId8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98" name="Picture 24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97" name="Picture 26" descr="România">
          <a:hlinkClick xmlns:r="http://schemas.openxmlformats.org/officeDocument/2006/relationships" r:id="rId8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96" name="Picture 28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95" name="Picture 2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94" name="Picture 30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93" name="Picture 33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92" name="Picture 37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9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9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8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8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8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8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8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8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8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8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8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8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7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7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7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7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7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7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7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7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7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7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6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6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6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6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6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6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6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6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6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6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5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5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5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5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5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5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5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5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5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5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4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4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4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4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4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4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4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4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4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4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3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3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3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3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3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3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3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3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3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3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2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2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2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2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2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2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2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2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2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2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1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1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1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1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1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1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1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1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1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1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0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0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0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0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0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0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0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0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0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0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9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9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9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9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9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9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9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9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91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90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89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88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87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86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85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8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83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82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81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80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79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78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77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76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75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74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73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72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7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7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6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6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6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6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6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6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6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6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6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6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5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5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5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5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5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5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5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5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5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5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4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4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4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4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4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4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4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4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4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4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3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3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3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3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3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3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3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3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3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3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2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2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2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2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2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2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2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2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2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2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1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1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1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1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1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1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1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1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1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1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0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0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0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0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0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0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0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0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0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0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9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9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9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9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9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9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9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9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9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9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8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8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8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8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8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8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8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8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8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8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7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7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7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7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7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7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7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7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71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70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69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68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67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66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65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6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63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62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61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60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59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58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57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56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55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54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53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52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5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5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4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4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4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4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4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4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4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4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4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4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3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3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3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3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3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3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3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3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3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3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2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2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2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2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2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2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2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2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2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2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1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1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1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1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1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1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1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1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1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1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0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0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0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0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0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0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0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0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0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0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99" name="Picture 7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98" name="Picture 9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97" name="Picture 1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96" name="Picture 1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95" name="Picture 13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94" name="Picture 14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93" name="Picture 16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9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91" name="Picture 19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90" name="Picture 2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89" name="Picture 21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88" name="Picture 23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87" name="Picture 25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86" name="Picture 26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85" name="Picture 27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84" name="Picture 28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83" name="Picture 29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82" name="Picture 30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81" name="Picture 32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80" name="Picture 33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12</xdr:row>
      <xdr:rowOff>0</xdr:rowOff>
    </xdr:from>
    <xdr:to>
      <xdr:col>20</xdr:col>
      <xdr:colOff>9525</xdr:colOff>
      <xdr:row>12</xdr:row>
      <xdr:rowOff>9525</xdr:rowOff>
    </xdr:to>
    <xdr:pic macro="">
      <xdr:nvPicPr>
        <xdr:cNvPr id="979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UAAAAAAAAAAwAAAAUAAAAMQAMAJBaAAC4D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39268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12</xdr:row>
      <xdr:rowOff>0</xdr:rowOff>
    </xdr:from>
    <xdr:to>
      <xdr:col>20</xdr:col>
      <xdr:colOff>9525</xdr:colOff>
      <xdr:row>12</xdr:row>
      <xdr:rowOff>9525</xdr:rowOff>
    </xdr:to>
    <xdr:pic macro="">
      <xdr:nvPicPr>
        <xdr:cNvPr id="978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UAAAAAAAAAAwAAAAUAAAAMQAMAJBaAAC4D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39268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77" name="Picture 18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76" name="Picture 29" descr="Belgium">
          <a:hlinkClick xmlns:r="http://schemas.openxmlformats.org/officeDocument/2006/relationships" r:id="rId1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75" name="Picture 16" descr="Colombia">
          <a:hlinkClick xmlns:r="http://schemas.openxmlformats.org/officeDocument/2006/relationships" r:id="rId2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74" name="Picture 30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73" name="Picture 3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72" name="Picture 42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71" name="Picture 11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70" name="Picture 2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69" name="Picture 28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68" name="Picture 34" descr="România">
          <a:hlinkClick xmlns:r="http://schemas.openxmlformats.org/officeDocument/2006/relationships" r:id="rId4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67" name="Picture 11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66" name="Picture 2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65" name="Picture 2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64" name="Picture 35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63" name="Picture 1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62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61" name="Picture 2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60" name="Picture 3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59" name="Picture 1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58" name="Picture 24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57" name="Picture 2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56" name="Picture 36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55" name="Picture 1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54" name="Picture 23" descr="Slovenija">
          <a:hlinkClick xmlns:r="http://schemas.openxmlformats.org/officeDocument/2006/relationships" r:id="rId8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53" name="Picture 27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52" name="Picture 32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51" name="Picture 1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50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49" name="Picture 17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48" name="Picture 19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47" name="Picture 2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46" name="Picture 2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45" name="Picture 22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44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43" name="Picture 2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42" name="Picture 25" descr="Israel">
          <a:hlinkClick xmlns:r="http://schemas.openxmlformats.org/officeDocument/2006/relationships" r:id="rId1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41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40" name="Picture 27" descr="Việt Nam">
          <a:hlinkClick xmlns:r="http://schemas.openxmlformats.org/officeDocument/2006/relationships" r:id="rId1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39" name="Picture 28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38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37" name="Picture 32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36" name="Picture 12" descr="Suomi">
          <a:hlinkClick xmlns:r="http://schemas.openxmlformats.org/officeDocument/2006/relationships" r:id="rId1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35" name="Picture 14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34" name="Picture 15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33" name="Picture 17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32" name="Picture 18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31" name="Picture 19" descr="Northern Ireland">
          <a:hlinkClick xmlns:r="http://schemas.openxmlformats.org/officeDocument/2006/relationships" r:id="rId2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30" name="Picture 20" descr="China">
          <a:hlinkClick xmlns:r="http://schemas.openxmlformats.org/officeDocument/2006/relationships" r:id="rId2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29" name="Picture 21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28" name="Picture 23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27" name="Picture 25" descr="Danmark">
          <a:hlinkClick xmlns:r="http://schemas.openxmlformats.org/officeDocument/2006/relationships" r:id="rId2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26" name="Picture 2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25" name="Picture 27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24" name="Picture 28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23" name="Picture 31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22" name="Picture 33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21" name="Picture 37" descr="Việt Nam">
          <a:hlinkClick xmlns:r="http://schemas.openxmlformats.org/officeDocument/2006/relationships" r:id="rId2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20" name="Picture 38" descr="Italia">
          <a:hlinkClick xmlns:r="http://schemas.openxmlformats.org/officeDocument/2006/relationships" r:id="rId2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19" name="Picture 39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18" name="Picture 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17" name="Picture 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16" name="Picture 10" descr="Suomi">
          <a:hlinkClick xmlns:r="http://schemas.openxmlformats.org/officeDocument/2006/relationships" r:id="rId3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15" name="Picture 1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14" name="Picture 13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13" name="Picture 14" descr="Colombia">
          <a:hlinkClick xmlns:r="http://schemas.openxmlformats.org/officeDocument/2006/relationships" r:id="rId3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12" name="Picture 15" descr="Portugal">
          <a:hlinkClick xmlns:r="http://schemas.openxmlformats.org/officeDocument/2006/relationships" r:id="rId3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11" name="Picture 16" descr="Nederland">
          <a:hlinkClick xmlns:r="http://schemas.openxmlformats.org/officeDocument/2006/relationships" r:id="rId3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10" name="Picture 17" descr="Northern Ireland">
          <a:hlinkClick xmlns:r="http://schemas.openxmlformats.org/officeDocument/2006/relationships" r:id="rId3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09" name="Picture 18" descr="China">
          <a:hlinkClick xmlns:r="http://schemas.openxmlformats.org/officeDocument/2006/relationships" r:id="rId3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08" name="Picture 19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07" name="Picture 20" descr="Danmark">
          <a:hlinkClick xmlns:r="http://schemas.openxmlformats.org/officeDocument/2006/relationships" r:id="rId4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06" name="Picture 21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05" name="Picture 24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04" name="Picture 2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03" name="Picture 2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02" name="Picture 30" descr="Việt Nam">
          <a:hlinkClick xmlns:r="http://schemas.openxmlformats.org/officeDocument/2006/relationships" r:id="rId4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01" name="Picture 31" descr="Italia">
          <a:hlinkClick xmlns:r="http://schemas.openxmlformats.org/officeDocument/2006/relationships" r:id="rId4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00" name="Picture 35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99" name="Picture 7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98" name="Picture 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97" name="Picture 10" descr="Suomi">
          <a:hlinkClick xmlns:r="http://schemas.openxmlformats.org/officeDocument/2006/relationships" r:id="rId4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96" name="Picture 12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95" name="Picture 1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94" name="Picture 14" descr="Colombia">
          <a:hlinkClick xmlns:r="http://schemas.openxmlformats.org/officeDocument/2006/relationships" r:id="rId4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93" name="Picture 15" descr="Portugal">
          <a:hlinkClick xmlns:r="http://schemas.openxmlformats.org/officeDocument/2006/relationships" r:id="rId5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92" name="Picture 16" descr="Nederland">
          <a:hlinkClick xmlns:r="http://schemas.openxmlformats.org/officeDocument/2006/relationships" r:id="rId5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91" name="Picture 17" descr="Northern Ireland">
          <a:hlinkClick xmlns:r="http://schemas.openxmlformats.org/officeDocument/2006/relationships" r:id="rId5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90" name="Picture 18" descr="China">
          <a:hlinkClick xmlns:r="http://schemas.openxmlformats.org/officeDocument/2006/relationships" r:id="rId5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89" name="Picture 19" descr="Polska">
          <a:hlinkClick xmlns:r="http://schemas.openxmlformats.org/officeDocument/2006/relationships" r:id="rId5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88" name="Picture 20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87" name="Picture 22" descr="Danmark">
          <a:hlinkClick xmlns:r="http://schemas.openxmlformats.org/officeDocument/2006/relationships" r:id="rId5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86" name="Picture 24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85" name="Picture 28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84" name="Picture 30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83" name="Picture 31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82" name="Picture 32" descr="Việt Nam">
          <a:hlinkClick xmlns:r="http://schemas.openxmlformats.org/officeDocument/2006/relationships" r:id="rId5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81" name="Picture 36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80" name="Picture 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79" name="Picture 9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78" name="Picture 10" descr="Suomi">
          <a:hlinkClick xmlns:r="http://schemas.openxmlformats.org/officeDocument/2006/relationships" r:id="rId5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77" name="Picture 12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76" name="Picture 1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75" name="Picture 14" descr="Colombia">
          <a:hlinkClick xmlns:r="http://schemas.openxmlformats.org/officeDocument/2006/relationships" r:id="rId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74" name="Picture 15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73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72" name="Picture 17" descr="Northern Ireland">
          <a:hlinkClick xmlns:r="http://schemas.openxmlformats.org/officeDocument/2006/relationships" r:id="rId6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71" name="Picture 18" descr="China">
          <a:hlinkClick xmlns:r="http://schemas.openxmlformats.org/officeDocument/2006/relationships" r:id="rId6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70" name="Picture 19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69" name="Picture 20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68" name="Picture 22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67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66" name="Picture 28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65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64" name="Picture 35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63" name="Picture 7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62" name="Picture 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61" name="Picture 10" descr="Suomi">
          <a:hlinkClick xmlns:r="http://schemas.openxmlformats.org/officeDocument/2006/relationships" r:id="rId6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60" name="Picture 12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59" name="Picture 1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58" name="Picture 14" descr="Colombia">
          <a:hlinkClick xmlns:r="http://schemas.openxmlformats.org/officeDocument/2006/relationships" r:id="rId6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57" name="Picture 15" descr="Portugal">
          <a:hlinkClick xmlns:r="http://schemas.openxmlformats.org/officeDocument/2006/relationships" r:id="rId6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56" name="Picture 16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55" name="Picture 17" descr="Northern Ireland">
          <a:hlinkClick xmlns:r="http://schemas.openxmlformats.org/officeDocument/2006/relationships" r:id="rId7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54" name="Picture 19" descr="China">
          <a:hlinkClick xmlns:r="http://schemas.openxmlformats.org/officeDocument/2006/relationships" r:id="rId7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53" name="Picture 20" descr="Polska">
          <a:hlinkClick xmlns:r="http://schemas.openxmlformats.org/officeDocument/2006/relationships" r:id="rId7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52" name="Picture 2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51" name="Picture 23" descr="Danmark">
          <a:hlinkClick xmlns:r="http://schemas.openxmlformats.org/officeDocument/2006/relationships" r:id="rId7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50" name="Picture 25" descr="France">
          <a:hlinkClick xmlns:r="http://schemas.openxmlformats.org/officeDocument/2006/relationships" r:id="rId7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49" name="Picture 28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48" name="Picture 30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47" name="Picture 31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46" name="Picture 3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45" name="Picture 37" descr="România">
          <a:hlinkClick xmlns:r="http://schemas.openxmlformats.org/officeDocument/2006/relationships" r:id="rId7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44" name="Picture 7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43" name="Picture 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42" name="Picture 10" descr="Suomi">
          <a:hlinkClick xmlns:r="http://schemas.openxmlformats.org/officeDocument/2006/relationships" r:id="rId7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41" name="Picture 12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40" name="Picture 13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39" name="Picture 15" descr="Colombia">
          <a:hlinkClick xmlns:r="http://schemas.openxmlformats.org/officeDocument/2006/relationships" r:id="rId8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38" name="Picture 16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37" name="Picture 17" descr="Nederland">
          <a:hlinkClick xmlns:r="http://schemas.openxmlformats.org/officeDocument/2006/relationships" r:id="rId8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36" name="Picture 18" descr="Northern Ireland">
          <a:hlinkClick xmlns:r="http://schemas.openxmlformats.org/officeDocument/2006/relationships" r:id="rId8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35" name="Picture 19" descr="China">
          <a:hlinkClick xmlns:r="http://schemas.openxmlformats.org/officeDocument/2006/relationships" r:id="rId8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34" name="Picture 20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33" name="Picture 2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32" name="Picture 22" descr="Danmark">
          <a:hlinkClick xmlns:r="http://schemas.openxmlformats.org/officeDocument/2006/relationships" r:id="rId8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31" name="Picture 24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30" name="Picture 26" descr="România">
          <a:hlinkClick xmlns:r="http://schemas.openxmlformats.org/officeDocument/2006/relationships" r:id="rId8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29" name="Picture 28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28" name="Picture 2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27" name="Picture 30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26" name="Picture 33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25" name="Picture 37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24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23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22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21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20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19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18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17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16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15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14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13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12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11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10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09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08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07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06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05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04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03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02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01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00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99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98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97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96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95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94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93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92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91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90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89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88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87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86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85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84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83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82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81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80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79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78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77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76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75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74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73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72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71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70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69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68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67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66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65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64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63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62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61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60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59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58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57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56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55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54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53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52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51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50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49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48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47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46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45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44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43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42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41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40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39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38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37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36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35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34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33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32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31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30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29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28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27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26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25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24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23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22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21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20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19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18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17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16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15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14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13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12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11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10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09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08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07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06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05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04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03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02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01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00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99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98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97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96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95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94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93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92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91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90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89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88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87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86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85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84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83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82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81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80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79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78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77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76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75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74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73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72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71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70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69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68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67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66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65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64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63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62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61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60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59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58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57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56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55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54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53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52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51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50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49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48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47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46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45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44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43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42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41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40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39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38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37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36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35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34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33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32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31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30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29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28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27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26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25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24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23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22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21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20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19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18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17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16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15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14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13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12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11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10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09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08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07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06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05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04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03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02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01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00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99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98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97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96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95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94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93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92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91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90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89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88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87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86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85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84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83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82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81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80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79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78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77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76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75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74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73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72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71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70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69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68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67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66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65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64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63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62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61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60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59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58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57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56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55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54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53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52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51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50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49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48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47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46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45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44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43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42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41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40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39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38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37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36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35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34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33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32" name="Picture 7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31" name="Picture 9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30" name="Picture 1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29" name="Picture 1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28" name="Picture 13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27" name="Picture 14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26" name="Picture 16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25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24" name="Picture 19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23" name="Picture 2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22" name="Picture 21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21" name="Picture 23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20" name="Picture 25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19" name="Picture 26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18" name="Picture 27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17" name="Picture 28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16" name="Picture 29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15" name="Picture 30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14" name="Picture 32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13" name="Picture 33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12</xdr:row>
      <xdr:rowOff>0</xdr:rowOff>
    </xdr:from>
    <xdr:to>
      <xdr:col>20</xdr:col>
      <xdr:colOff>9525</xdr:colOff>
      <xdr:row>12</xdr:row>
      <xdr:rowOff>9525</xdr:rowOff>
    </xdr:to>
    <xdr:pic macro="">
      <xdr:nvPicPr>
        <xdr:cNvPr id="512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UAAAAAAAAAAwAAAAUAAAAMQAMAJBaAAC4D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39268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12</xdr:row>
      <xdr:rowOff>0</xdr:rowOff>
    </xdr:from>
    <xdr:to>
      <xdr:col>20</xdr:col>
      <xdr:colOff>9525</xdr:colOff>
      <xdr:row>12</xdr:row>
      <xdr:rowOff>9525</xdr:rowOff>
    </xdr:to>
    <xdr:pic macro="">
      <xdr:nvPicPr>
        <xdr:cNvPr id="511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UAAAAAAAAAAwAAAAUAAAAMQAMAJBaAAC4D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39268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510" name="Picture 18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509" name="Picture 29" descr="Belgium">
          <a:hlinkClick xmlns:r="http://schemas.openxmlformats.org/officeDocument/2006/relationships" r:id="rId1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508" name="Picture 16" descr="Colombia">
          <a:hlinkClick xmlns:r="http://schemas.openxmlformats.org/officeDocument/2006/relationships" r:id="rId2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507" name="Picture 30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506" name="Picture 3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505" name="Picture 42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504" name="Picture 11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503" name="Picture 2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502" name="Picture 28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501" name="Picture 34" descr="România">
          <a:hlinkClick xmlns:r="http://schemas.openxmlformats.org/officeDocument/2006/relationships" r:id="rId4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500" name="Picture 11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499" name="Picture 2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498" name="Picture 2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497" name="Picture 35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496" name="Picture 1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495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494" name="Picture 2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493" name="Picture 3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492" name="Picture 1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491" name="Picture 24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490" name="Picture 2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489" name="Picture 36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488" name="Picture 1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487" name="Picture 23" descr="Slovenija">
          <a:hlinkClick xmlns:r="http://schemas.openxmlformats.org/officeDocument/2006/relationships" r:id="rId8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486" name="Picture 27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485" name="Picture 32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84" name="Picture 1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83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82" name="Picture 17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81" name="Picture 19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80" name="Picture 2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79" name="Picture 2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78" name="Picture 22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77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76" name="Picture 2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75" name="Picture 25" descr="Israel">
          <a:hlinkClick xmlns:r="http://schemas.openxmlformats.org/officeDocument/2006/relationships" r:id="rId1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74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73" name="Picture 27" descr="Việt Nam">
          <a:hlinkClick xmlns:r="http://schemas.openxmlformats.org/officeDocument/2006/relationships" r:id="rId1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72" name="Picture 28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71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70" name="Picture 32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69" name="Picture 12" descr="Suomi">
          <a:hlinkClick xmlns:r="http://schemas.openxmlformats.org/officeDocument/2006/relationships" r:id="rId1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68" name="Picture 14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67" name="Picture 15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66" name="Picture 17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65" name="Picture 18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64" name="Picture 19" descr="Northern Ireland">
          <a:hlinkClick xmlns:r="http://schemas.openxmlformats.org/officeDocument/2006/relationships" r:id="rId2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63" name="Picture 20" descr="China">
          <a:hlinkClick xmlns:r="http://schemas.openxmlformats.org/officeDocument/2006/relationships" r:id="rId2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62" name="Picture 21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61" name="Picture 23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60" name="Picture 25" descr="Danmark">
          <a:hlinkClick xmlns:r="http://schemas.openxmlformats.org/officeDocument/2006/relationships" r:id="rId2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59" name="Picture 2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58" name="Picture 27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57" name="Picture 28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56" name="Picture 31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55" name="Picture 33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54" name="Picture 37" descr="Việt Nam">
          <a:hlinkClick xmlns:r="http://schemas.openxmlformats.org/officeDocument/2006/relationships" r:id="rId2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53" name="Picture 38" descr="Italia">
          <a:hlinkClick xmlns:r="http://schemas.openxmlformats.org/officeDocument/2006/relationships" r:id="rId2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52" name="Picture 39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51" name="Picture 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50" name="Picture 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49" name="Picture 10" descr="Suomi">
          <a:hlinkClick xmlns:r="http://schemas.openxmlformats.org/officeDocument/2006/relationships" r:id="rId3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48" name="Picture 1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47" name="Picture 13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46" name="Picture 14" descr="Colombia">
          <a:hlinkClick xmlns:r="http://schemas.openxmlformats.org/officeDocument/2006/relationships" r:id="rId3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45" name="Picture 15" descr="Portugal">
          <a:hlinkClick xmlns:r="http://schemas.openxmlformats.org/officeDocument/2006/relationships" r:id="rId3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44" name="Picture 16" descr="Nederland">
          <a:hlinkClick xmlns:r="http://schemas.openxmlformats.org/officeDocument/2006/relationships" r:id="rId3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43" name="Picture 17" descr="Northern Ireland">
          <a:hlinkClick xmlns:r="http://schemas.openxmlformats.org/officeDocument/2006/relationships" r:id="rId3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42" name="Picture 18" descr="China">
          <a:hlinkClick xmlns:r="http://schemas.openxmlformats.org/officeDocument/2006/relationships" r:id="rId3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41" name="Picture 19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40" name="Picture 20" descr="Danmark">
          <a:hlinkClick xmlns:r="http://schemas.openxmlformats.org/officeDocument/2006/relationships" r:id="rId4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39" name="Picture 21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38" name="Picture 24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37" name="Picture 2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36" name="Picture 2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35" name="Picture 30" descr="Việt Nam">
          <a:hlinkClick xmlns:r="http://schemas.openxmlformats.org/officeDocument/2006/relationships" r:id="rId4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34" name="Picture 31" descr="Italia">
          <a:hlinkClick xmlns:r="http://schemas.openxmlformats.org/officeDocument/2006/relationships" r:id="rId4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33" name="Picture 35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32" name="Picture 7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31" name="Picture 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30" name="Picture 10" descr="Suomi">
          <a:hlinkClick xmlns:r="http://schemas.openxmlformats.org/officeDocument/2006/relationships" r:id="rId4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29" name="Picture 12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28" name="Picture 1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27" name="Picture 14" descr="Colombia">
          <a:hlinkClick xmlns:r="http://schemas.openxmlformats.org/officeDocument/2006/relationships" r:id="rId4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26" name="Picture 15" descr="Portugal">
          <a:hlinkClick xmlns:r="http://schemas.openxmlformats.org/officeDocument/2006/relationships" r:id="rId5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25" name="Picture 16" descr="Nederland">
          <a:hlinkClick xmlns:r="http://schemas.openxmlformats.org/officeDocument/2006/relationships" r:id="rId5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24" name="Picture 17" descr="Northern Ireland">
          <a:hlinkClick xmlns:r="http://schemas.openxmlformats.org/officeDocument/2006/relationships" r:id="rId5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23" name="Picture 18" descr="China">
          <a:hlinkClick xmlns:r="http://schemas.openxmlformats.org/officeDocument/2006/relationships" r:id="rId5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22" name="Picture 19" descr="Polska">
          <a:hlinkClick xmlns:r="http://schemas.openxmlformats.org/officeDocument/2006/relationships" r:id="rId5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21" name="Picture 20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20" name="Picture 22" descr="Danmark">
          <a:hlinkClick xmlns:r="http://schemas.openxmlformats.org/officeDocument/2006/relationships" r:id="rId5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19" name="Picture 24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18" name="Picture 28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17" name="Picture 30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16" name="Picture 31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15" name="Picture 32" descr="Việt Nam">
          <a:hlinkClick xmlns:r="http://schemas.openxmlformats.org/officeDocument/2006/relationships" r:id="rId5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14" name="Picture 36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13" name="Picture 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12" name="Picture 9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11" name="Picture 10" descr="Suomi">
          <a:hlinkClick xmlns:r="http://schemas.openxmlformats.org/officeDocument/2006/relationships" r:id="rId5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10" name="Picture 12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09" name="Picture 1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08" name="Picture 14" descr="Colombia">
          <a:hlinkClick xmlns:r="http://schemas.openxmlformats.org/officeDocument/2006/relationships" r:id="rId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07" name="Picture 15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06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05" name="Picture 17" descr="Northern Ireland">
          <a:hlinkClick xmlns:r="http://schemas.openxmlformats.org/officeDocument/2006/relationships" r:id="rId6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04" name="Picture 18" descr="China">
          <a:hlinkClick xmlns:r="http://schemas.openxmlformats.org/officeDocument/2006/relationships" r:id="rId6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03" name="Picture 19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02" name="Picture 20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01" name="Picture 22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00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99" name="Picture 28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98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97" name="Picture 35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96" name="Picture 7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95" name="Picture 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94" name="Picture 10" descr="Suomi">
          <a:hlinkClick xmlns:r="http://schemas.openxmlformats.org/officeDocument/2006/relationships" r:id="rId6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93" name="Picture 12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92" name="Picture 1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91" name="Picture 14" descr="Colombia">
          <a:hlinkClick xmlns:r="http://schemas.openxmlformats.org/officeDocument/2006/relationships" r:id="rId6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90" name="Picture 15" descr="Portugal">
          <a:hlinkClick xmlns:r="http://schemas.openxmlformats.org/officeDocument/2006/relationships" r:id="rId6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89" name="Picture 16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88" name="Picture 17" descr="Northern Ireland">
          <a:hlinkClick xmlns:r="http://schemas.openxmlformats.org/officeDocument/2006/relationships" r:id="rId7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87" name="Picture 19" descr="China">
          <a:hlinkClick xmlns:r="http://schemas.openxmlformats.org/officeDocument/2006/relationships" r:id="rId7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86" name="Picture 20" descr="Polska">
          <a:hlinkClick xmlns:r="http://schemas.openxmlformats.org/officeDocument/2006/relationships" r:id="rId7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85" name="Picture 2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84" name="Picture 23" descr="Danmark">
          <a:hlinkClick xmlns:r="http://schemas.openxmlformats.org/officeDocument/2006/relationships" r:id="rId7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83" name="Picture 25" descr="France">
          <a:hlinkClick xmlns:r="http://schemas.openxmlformats.org/officeDocument/2006/relationships" r:id="rId7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82" name="Picture 28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81" name="Picture 30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80" name="Picture 31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79" name="Picture 3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78" name="Picture 37" descr="România">
          <a:hlinkClick xmlns:r="http://schemas.openxmlformats.org/officeDocument/2006/relationships" r:id="rId7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77" name="Picture 7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76" name="Picture 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75" name="Picture 10" descr="Suomi">
          <a:hlinkClick xmlns:r="http://schemas.openxmlformats.org/officeDocument/2006/relationships" r:id="rId7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74" name="Picture 12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73" name="Picture 13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72" name="Picture 15" descr="Colombia">
          <a:hlinkClick xmlns:r="http://schemas.openxmlformats.org/officeDocument/2006/relationships" r:id="rId8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71" name="Picture 16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70" name="Picture 17" descr="Nederland">
          <a:hlinkClick xmlns:r="http://schemas.openxmlformats.org/officeDocument/2006/relationships" r:id="rId8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69" name="Picture 18" descr="Northern Ireland">
          <a:hlinkClick xmlns:r="http://schemas.openxmlformats.org/officeDocument/2006/relationships" r:id="rId8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68" name="Picture 19" descr="China">
          <a:hlinkClick xmlns:r="http://schemas.openxmlformats.org/officeDocument/2006/relationships" r:id="rId8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67" name="Picture 20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66" name="Picture 2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65" name="Picture 22" descr="Danmark">
          <a:hlinkClick xmlns:r="http://schemas.openxmlformats.org/officeDocument/2006/relationships" r:id="rId8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64" name="Picture 24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63" name="Picture 26" descr="România">
          <a:hlinkClick xmlns:r="http://schemas.openxmlformats.org/officeDocument/2006/relationships" r:id="rId8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62" name="Picture 28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61" name="Picture 2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60" name="Picture 30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59" name="Picture 33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58" name="Picture 37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5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5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5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5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5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5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5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5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4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4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4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4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4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4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4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4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4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4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3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3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3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3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3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3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3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3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3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3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2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2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2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2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2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2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2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2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2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2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1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1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1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1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1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1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1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1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1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1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0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0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0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0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0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0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0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0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0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0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9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9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9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9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9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9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9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9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9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9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8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8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8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8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8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8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8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8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81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80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79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78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77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76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75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7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73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72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71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70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69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68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67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66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65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64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63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62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6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6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5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5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5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5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5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5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5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5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5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5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4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4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4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4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4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4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4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4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4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4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1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0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9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8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7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6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5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3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2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1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0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9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8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7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6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5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4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3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2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5" name="Picture 7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4" name="Picture 9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3" name="Picture 1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2" name="Picture 1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1" name="Picture 13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0" name="Picture 14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9" name="Picture 16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7" name="Picture 19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6" name="Picture 2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5" name="Picture 21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4" name="Picture 23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3" name="Picture 25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2" name="Picture 26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1" name="Picture 27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0" name="Picture 28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9" name="Picture 29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8" name="Picture 30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7" name="Picture 32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6" name="Picture 33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12</xdr:row>
      <xdr:rowOff>0</xdr:rowOff>
    </xdr:from>
    <xdr:to>
      <xdr:col>20</xdr:col>
      <xdr:colOff>9525</xdr:colOff>
      <xdr:row>12</xdr:row>
      <xdr:rowOff>9525</xdr:rowOff>
    </xdr:to>
    <xdr:pic macro="">
      <xdr:nvPicPr>
        <xdr:cNvPr id="45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UAAAAAAAAAAwAAAAUAAAAMQAMAJBaAAC4D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39268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12</xdr:row>
      <xdr:rowOff>0</xdr:rowOff>
    </xdr:from>
    <xdr:to>
      <xdr:col>20</xdr:col>
      <xdr:colOff>9525</xdr:colOff>
      <xdr:row>12</xdr:row>
      <xdr:rowOff>9525</xdr:rowOff>
    </xdr:to>
    <xdr:pic macro="">
      <xdr:nvPicPr>
        <xdr:cNvPr id="44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UAAAAAAAAAAwAAAAUAAAAMQAMAJBaAAC4D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39268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43" name="Picture 15" descr="Bulgaria">
          <a:hlinkClick xmlns:r="http://schemas.openxmlformats.org/officeDocument/2006/relationships" r:id="rId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42" name="Picture 13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41" name="Picture 40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40" name="Picture 41" descr="România">
          <a:hlinkClick xmlns:r="http://schemas.openxmlformats.org/officeDocument/2006/relationships" r:id="rId3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39" name="Picture 8" descr="Argentina">
          <a:hlinkClick xmlns:r="http://schemas.openxmlformats.org/officeDocument/2006/relationships" r:id="rId3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38" name="Picture 32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37" name="Picture 33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36" name="Picture 8" descr="Argentina">
          <a:hlinkClick xmlns:r="http://schemas.openxmlformats.org/officeDocument/2006/relationships" r:id="rId4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35" name="Picture 3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34" name="Picture 34" descr="Italia">
          <a:hlinkClick xmlns:r="http://schemas.openxmlformats.org/officeDocument/2006/relationships" r:id="rId5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33" name="Picture 38" descr="Portugal">
          <a:hlinkClick xmlns:r="http://schemas.openxmlformats.org/officeDocument/2006/relationships" r:id="rId5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32" name="Picture 8" descr="Argentina">
          <a:hlinkClick xmlns:r="http://schemas.openxmlformats.org/officeDocument/2006/relationships" r:id="rId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31" name="Picture 31" descr="Việt Nam">
          <a:hlinkClick xmlns:r="http://schemas.openxmlformats.org/officeDocument/2006/relationships" r:id="rId1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30" name="Picture 33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29" name="Picture 37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28" name="Picture 8" descr="Argentina">
          <a:hlinkClick xmlns:r="http://schemas.openxmlformats.org/officeDocument/2006/relationships" r:id="rId6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27" name="Picture 34" descr="Italia">
          <a:hlinkClick xmlns:r="http://schemas.openxmlformats.org/officeDocument/2006/relationships" r:id="rId7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26" name="Picture 35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25" name="Picture 8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24" name="Picture 31" descr="Nederland">
          <a:hlinkClick xmlns:r="http://schemas.openxmlformats.org/officeDocument/2006/relationships" r:id="rId8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23" name="Picture 35" descr="România">
          <a:hlinkClick xmlns:r="http://schemas.openxmlformats.org/officeDocument/2006/relationships" r:id="rId8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22" name="Picture 15" descr="Bulgaria">
          <a:hlinkClick xmlns:r="http://schemas.openxmlformats.org/officeDocument/2006/relationships" r:id="rId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21" name="Picture 13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20" name="Picture 40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19" name="Picture 41" descr="România">
          <a:hlinkClick xmlns:r="http://schemas.openxmlformats.org/officeDocument/2006/relationships" r:id="rId3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18" name="Picture 8" descr="Argentina">
          <a:hlinkClick xmlns:r="http://schemas.openxmlformats.org/officeDocument/2006/relationships" r:id="rId3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17" name="Picture 32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16" name="Picture 33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15" name="Picture 8" descr="Argentina">
          <a:hlinkClick xmlns:r="http://schemas.openxmlformats.org/officeDocument/2006/relationships" r:id="rId4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14" name="Picture 3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13" name="Picture 34" descr="Italia">
          <a:hlinkClick xmlns:r="http://schemas.openxmlformats.org/officeDocument/2006/relationships" r:id="rId5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12" name="Picture 38" descr="Portugal">
          <a:hlinkClick xmlns:r="http://schemas.openxmlformats.org/officeDocument/2006/relationships" r:id="rId50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11" name="Picture 8" descr="Argentina">
          <a:hlinkClick xmlns:r="http://schemas.openxmlformats.org/officeDocument/2006/relationships" r:id="rId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10" name="Picture 31" descr="Việt Nam">
          <a:hlinkClick xmlns:r="http://schemas.openxmlformats.org/officeDocument/2006/relationships" r:id="rId1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9" name="Picture 33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8" name="Picture 37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7" name="Picture 8" descr="Argentina">
          <a:hlinkClick xmlns:r="http://schemas.openxmlformats.org/officeDocument/2006/relationships" r:id="rId64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6" name="Picture 34" descr="Italia">
          <a:hlinkClick xmlns:r="http://schemas.openxmlformats.org/officeDocument/2006/relationships" r:id="rId75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5" name="Picture 35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4" name="Picture 8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3" name="Picture 31" descr="Nederland">
          <a:hlinkClick xmlns:r="http://schemas.openxmlformats.org/officeDocument/2006/relationships" r:id="rId82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2" name="Picture 35" descr="România">
          <a:hlinkClick xmlns:r="http://schemas.openxmlformats.org/officeDocument/2006/relationships" r:id="rId89"/>
        </xdr:cNvPr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35560</xdr:colOff>
      <xdr:row>12</xdr:row>
      <xdr:rowOff>147320</xdr:rowOff>
    </xdr:from>
    <xdr:to>
      <xdr:col>14</xdr:col>
      <xdr:colOff>723900</xdr:colOff>
      <xdr:row>30</xdr:row>
      <xdr:rowOff>161925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1</xdr:row>
      <xdr:rowOff>19050</xdr:rowOff>
    </xdr:from>
    <xdr:to>
      <xdr:col>7</xdr:col>
      <xdr:colOff>133350</xdr:colOff>
      <xdr:row>19</xdr:row>
      <xdr:rowOff>85725</xdr:rowOff>
    </xdr:to>
    <xdr:pic macro="">
      <xdr:nvPicPr>
        <xdr:cNvPr id="2" name="Imagen 1"/>
        <xdr:cNvPicPr>
          <a:picLocks noChangeAspect="1"/>
          <a:extLst>
            <a:ext uri="smNativeData">
              <pm:smNativeData xmlns:pm="smNativeData" val="SMDATA_13_USvfXhMAAAAlAAAAEQAAAK0AAAAAkAAAAEgAAACQAAAASAAAAAAAAAAAAAAAAAAAAAEAAABQAAAAAAAAAAAA4D8AAAAAAADgPwAAAAAAAOA/AAAAAAAA4D8AAAAAAADgPwAAAAAAAOA/AAAAAAAA4D8AAAAAAADgPwAAAAAAAOA/AAAAAAAA4D8CAAAAjAAAAAAAAAAAAAAA////AAAAAAAAAAAAAAAAAAAAAAAAAAAAAAAAAAAAAAAAAAAAeAAAAAEAAABAAAAAAAAAAAAAAAB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ZRsAABYLAADyBwAAUhAAAAAAAABkAAAAZAAAAAEAAAAjAAAABAAAAGQAAAAXAAAAFAAAAAAAAAAAAAAA/38AAP9/AAAAAAAACQAAAAQAAAAQkh0DDAAAABAAAAAAAAAAAAAAAAAAAAAAAAAAHgAAAGgAAAAAAAAAAAAAAAAAAAAAAAAAAAAAABAnAAAQJwAAAAAAAAAAAAAAAAAAAAAAAAAAAAAAAAAAAAAAAAAAAAAUAAAAAAAAAMDA/wAAAAAAZAAAADIAAAAAAAAAZAAAAAAAAAB/f38ACgAAACEAAAAwAAAALAAAAAEAAAAAAAAAZABBARMAAAAHAAAAwQG0AHcBAABSAQAACCAAABEWAAABAAAA"/>
            </a:ext>
          </a:extLst>
        </xdr:cNvPicPr>
      </xdr:nvPicPr>
      <xdr:blipFill>
        <a:blip xmlns:r="http://schemas.openxmlformats.org/officeDocument/2006/relationships" r:embed="rId1"/>
        <a:srcRect l="70130" t="28380" r="20340" b="41780"/>
        <a:stretch>
          <a:fillRect/>
        </a:stretch>
      </xdr:blipFill>
      <xdr:spPr>
        <a:xfrm>
          <a:off x="238125" y="214630"/>
          <a:ext cx="5207000" cy="358711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</xdr:wsDr>
</file>

<file path=xl/externalLinks/_rels/externalLink1.xml.rels><?xml version="1.0" encoding="UTF-8" standalone="yes" ?>
<Relationships xmlns="http://schemas.openxmlformats.org/package/2006/relationships"><Relationship Id="rId1" Type="http://schemas.openxmlformats.org/officeDocument/2006/relationships/externalLinkPath" Target="/home/uny11/HI/projects/current/hattrick/2-Ac@demiaSith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CALENDARIO"/>
      <sheetName val="Jugadores"/>
      <sheetName val="Promocionados"/>
      <sheetName val="%entreno"/>
      <sheetName val="Recomendaciones"/>
      <sheetName val="Denominaciones"/>
      <sheetName val="NivelInicial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pivotCache/_rels/pivotCacheDefinition1.xml.rels><?xml version="1.0" encoding="UTF-8" standalone="yes" ?>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4" refreshedVersion="4" minRefreshableVersion="3" recordCount="87">
  <cacheSource type="worksheet">
    <worksheetSource ref="A:H" sheet="EstudioConversion"/>
  </cacheSource>
  <cacheFields count="8">
    <cacheField name="Fecha" numFmtId="0">
      <sharedItems containsNonDate="0" containsDate="1" containsString="0" containsBlank="1" count="63">
        <d v="2019-07-24T00:00:00"/>
        <d v="2019-06-01T00:00:00"/>
        <d v="2019-08-07T00:00:00"/>
        <d v="2019-08-14T00:00:00"/>
        <d v="2019-08-03T00:00:00"/>
        <d v="2019-07-31T00:00:00"/>
        <d v="2019-06-26T00:00:00"/>
        <d v="2019-06-25T00:00:00"/>
        <d v="2019-06-24T00:00:00"/>
        <d v="2019-06-20T00:00:00"/>
        <d v="2019-06-19T00:00:00"/>
        <d v="2019-06-18T00:00:00"/>
        <d v="2019-06-17T00:00:00"/>
        <d v="2019-06-08T00:00:00"/>
        <d v="2019-05-30T00:00:00"/>
        <d v="2019-05-25T00:00:00"/>
        <d v="2019-05-17T00:00:00"/>
        <d v="2019-03-26T00:00:00"/>
        <d v="2019-06-28T00:00:00"/>
        <d v="2019-06-27T00:00:00"/>
        <d v="2019-05-18T00:00:00"/>
        <d v="2019-05-11T00:00:00"/>
        <d v="2019-05-04T00:00:00"/>
        <d v="2019-03-23T00:00:00"/>
        <d v="2019-03-16T00:00:00"/>
        <d v="2019-03-13T00:00:00"/>
        <d v="2019-08-27T00:00:00"/>
        <d v="2019-07-10T00:00:00"/>
        <d v="2019-07-09T00:00:00"/>
        <d v="2019-04-27T00:00:00"/>
        <d v="2019-04-20T00:00:00"/>
        <d v="2019-04-13T00:00:00"/>
        <d v="2019-04-06T00:00:00"/>
        <d v="2019-03-30T00:00:00"/>
        <d v="2019-08-10T00:00:00"/>
        <d v="2019-08-24T00:00:00"/>
        <d v="2019-07-20T00:00:00"/>
        <d v="2019-07-11T00:00:00"/>
        <d v="2019-07-06T00:00:00"/>
        <d v="2019-07-26T00:00:00"/>
        <d v="2019-07-17T00:00:00"/>
        <d v="2019-08-31T00:00:00"/>
        <d v="2019-09-03T00:00:00"/>
        <d v="2019-09-05T00:00:00"/>
        <d v="2019-09-07T00:00:00"/>
        <d v="2019-09-09T00:00:00"/>
        <d v="2019-09-11T00:00:00"/>
        <d v="2019-09-14T00:00:00"/>
        <d v="2019-09-16T00:00:00"/>
        <d v="2019-09-23T00:00:00"/>
        <d v="2019-09-28T00:00:00"/>
        <d v="2019-09-30T00:00:00"/>
        <d v="2019-10-01T00:00:00"/>
        <d v="2019-10-04T00:00:00"/>
        <d v="2019-10-05T00:00:00"/>
        <d v="2019-10-07T00:00:00"/>
        <d v="2019-10-08T00:00:00"/>
        <d v="2019-10-09T00:00:00"/>
        <d v="2019-10-10T00:00:00"/>
        <d v="2019-10-15T00:00:00"/>
        <d v="2019-10-16T00:00:00"/>
        <d v="2019-10-17T00:00:00"/>
        <m/>
      </sharedItems>
    </cacheField>
    <cacheField name="Local" numFmtId="0">
      <sharedItems containsBlank="1" count="42">
        <s v="V@der SC"/>
        <s v="Prodigy Sucany"/>
        <s v="white widow"/>
        <s v="mehmet"/>
        <s v="Los amiguitos de Don Pimpon"/>
        <s v="VINATIKA FC 2"/>
        <s v="konary"/>
        <s v="Ladány City"/>
        <s v="Ju.far72"/>
        <s v="Mks Pilica PEDEZET"/>
        <s v="CD Castalia"/>
        <s v="Cogollos F.C"/>
        <s v="Hakom"/>
        <s v="Santa Barbosa Aludosa"/>
        <s v="Insulae Atlantis"/>
        <s v="Dzsoni Valkur"/>
        <s v="Wisla Skawina"/>
        <s v="USC Olaf Football"/>
        <s v="Refucilo CF"/>
        <s v="Kersky"/>
        <s v="Menkoko C.F."/>
        <s v="Tuviejahuelemal"/>
        <s v="Lobos del Viento"/>
        <s v="Splug Team"/>
        <s v="iRatlle"/>
        <s v="TOERS TEAM"/>
        <s v="FC BvB"/>
        <s v="Romdi"/>
        <s v="Funkickers zwarte Schapen"/>
        <s v="von der veck"/>
        <s v="P.C.N"/>
        <s v="F.c. de Rositas"/>
        <s v="Dinamo skiejef"/>
        <s v="Athletic MSS"/>
        <s v="Luso Futebol do Dafundo"/>
        <s v="FC FLEW"/>
        <s v="CF Crystynho 07"/>
        <s v="Legazpi de Maputo"/>
        <s v="CMM Canoa Polo Triste"/>
        <s v="Gälka Warriors"/>
        <s v="Die Nashorner Logans"/>
        <m/>
      </sharedItems>
    </cacheField>
    <cacheField name="Visitante" numFmtId="0">
      <sharedItems containsBlank="1" count="42">
        <s v="Fernando de Rojas"/>
        <s v="V@der SC"/>
        <s v="Splug Team"/>
        <s v="John Rebus F.c"/>
        <s v="Basil444"/>
        <s v="Nie Zjednoczeni Kaczory"/>
        <s v="Cuchufritos F.C."/>
        <s v="FC Bayern München 16"/>
        <s v="Grasshopper Club Nidwalden"/>
        <s v="Ulls de Gat Mesquer"/>
        <s v="iRatlle"/>
        <s v="Fc De Rositas"/>
        <s v="Bar Karakas C.F."/>
        <s v="Ornitorrincos Purpura"/>
        <s v="CD Castalia"/>
        <s v="CSD Avengers"/>
        <s v="US Women National Tema"/>
        <s v="S.H.M.Piast Gliwice"/>
        <s v="Kersky"/>
        <s v="Refucilo CF"/>
        <s v="Cogollos F.C"/>
        <s v="Proxibecas"/>
        <s v="I treni di Tozeur"/>
        <s v="The Pyramid Mystery"/>
        <s v="Wing Men"/>
        <s v="Mendibil"/>
        <s v="TOWERS TEAM"/>
        <s v="Babbu team"/>
        <s v="Club de Catalunya"/>
        <s v="Atletico ius"/>
        <s v="Bandurrias del Sur"/>
        <s v="Nacidos de la Bruma"/>
        <s v="La Pobla FC"/>
        <s v="Demos returns"/>
        <s v="P.E.C. Zwolle"/>
        <s v="Start Rudnik"/>
        <s v="Vicers PS"/>
        <s v="Organización"/>
        <s v="Jyderups Jubelasnor"/>
        <s v="CabaretVoltaire"/>
        <s v="UF_United"/>
        <m/>
      </sharedItems>
    </cacheField>
    <cacheField name="NivelTactica" numFmtId="0">
      <sharedItems containsString="0" containsBlank="1" containsNumber="1" containsInteger="1" count="8">
        <n v="14"/>
        <n v="15"/>
        <n v="16"/>
        <n v="17"/>
        <n v="18"/>
        <n v="19"/>
        <n v="20"/>
        <m/>
      </sharedItems>
    </cacheField>
    <cacheField name="NivelMedioVader" numFmtId="0">
      <sharedItems containsString="0" containsBlank="1" containsNumber="1" count="21">
        <n v="11.5454545454545006"/>
        <n v="11.7272727272727"/>
        <n v="10.5454545454545006"/>
        <n v="10.8181818181818006"/>
        <n v="11.8181818181818006"/>
        <n v="11"/>
        <n v="12.1818181818181994"/>
        <n v="12"/>
        <n v="12.3636363636364006"/>
        <n v="12.0909090909091006"/>
        <n v="11.9090909090908994"/>
        <n v="12.5454545454545006"/>
        <n v="12.8181818181818006"/>
        <n v="11.4545454545454994"/>
        <n v="12.2727272727273"/>
        <n v="12.4090909090908994"/>
        <n v="12.7272727272727"/>
        <n v="13.0909090909091006"/>
        <n v="13.1818181818181994"/>
        <n v="12.9090909090908994"/>
        <m/>
      </sharedItems>
    </cacheField>
    <cacheField name="OcasionesFalladas" numFmtId="0">
      <sharedItems containsString="0" containsBlank="1" containsNumber="1" containsInteger="1" count="10">
        <n v="7"/>
        <n v="9"/>
        <n v="6"/>
        <n v="4"/>
        <n v="3"/>
        <n v="5"/>
        <n v="10"/>
        <n v="8"/>
        <n v="12"/>
        <m/>
      </sharedItems>
    </cacheField>
    <cacheField name="CAs" numFmtId="0">
      <sharedItems containsString="0" containsBlank="1" containsNumber="1" containsInteger="1" count="6">
        <n v="2"/>
        <n v="4"/>
        <n v="1"/>
        <n v="3"/>
        <n v="5"/>
        <m/>
      </sharedItems>
    </cacheField>
    <cacheField name="%_Conversión" numFmtId="0">
      <sharedItems containsString="0" containsBlank="1" containsNumber="1" count="19">
        <n v="0.285714285714285978"/>
        <n v="0.222222222222221966"/>
        <n v="0.444444444444443931"/>
        <n v="0.333333333333332993"/>
        <n v="0.25"/>
        <n v="0.428571428571429003"/>
        <n v="0.5"/>
        <n v="0.666666666666666963"/>
        <n v="0.4"/>
        <n v="0.3"/>
        <n v="0.6"/>
        <n v="0.16666666666666698"/>
        <n v="0.142857142857142989"/>
        <n v="0.375"/>
        <n v="0.555555555555556069"/>
        <n v="0.2"/>
        <n v="0.571428571428571974"/>
        <n v="0.416666666666667052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7">
  <r>
    <x v="0"/>
    <x v="0"/>
    <x v="0"/>
    <x v="0"/>
    <x v="0"/>
    <x v="0"/>
    <x v="0"/>
    <x v="0"/>
  </r>
  <r>
    <x v="1"/>
    <x v="1"/>
    <x v="1"/>
    <x v="1"/>
    <x v="1"/>
    <x v="1"/>
    <x v="0"/>
    <x v="1"/>
  </r>
  <r>
    <x v="2"/>
    <x v="2"/>
    <x v="1"/>
    <x v="1"/>
    <x v="2"/>
    <x v="1"/>
    <x v="1"/>
    <x v="2"/>
  </r>
  <r>
    <x v="3"/>
    <x v="3"/>
    <x v="1"/>
    <x v="1"/>
    <x v="3"/>
    <x v="2"/>
    <x v="0"/>
    <x v="3"/>
  </r>
  <r>
    <x v="4"/>
    <x v="0"/>
    <x v="2"/>
    <x v="2"/>
    <x v="4"/>
    <x v="3"/>
    <x v="2"/>
    <x v="4"/>
  </r>
  <r>
    <x v="5"/>
    <x v="4"/>
    <x v="1"/>
    <x v="2"/>
    <x v="5"/>
    <x v="0"/>
    <x v="3"/>
    <x v="5"/>
  </r>
  <r>
    <x v="6"/>
    <x v="0"/>
    <x v="3"/>
    <x v="2"/>
    <x v="6"/>
    <x v="1"/>
    <x v="3"/>
    <x v="3"/>
  </r>
  <r>
    <x v="7"/>
    <x v="5"/>
    <x v="1"/>
    <x v="2"/>
    <x v="6"/>
    <x v="2"/>
    <x v="0"/>
    <x v="3"/>
  </r>
  <r>
    <x v="7"/>
    <x v="0"/>
    <x v="4"/>
    <x v="2"/>
    <x v="6"/>
    <x v="3"/>
    <x v="0"/>
    <x v="6"/>
  </r>
  <r>
    <x v="8"/>
    <x v="6"/>
    <x v="1"/>
    <x v="2"/>
    <x v="6"/>
    <x v="4"/>
    <x v="0"/>
    <x v="7"/>
  </r>
  <r>
    <x v="9"/>
    <x v="7"/>
    <x v="1"/>
    <x v="2"/>
    <x v="6"/>
    <x v="1"/>
    <x v="0"/>
    <x v="1"/>
  </r>
  <r>
    <x v="10"/>
    <x v="0"/>
    <x v="5"/>
    <x v="2"/>
    <x v="6"/>
    <x v="0"/>
    <x v="0"/>
    <x v="0"/>
  </r>
  <r>
    <x v="10"/>
    <x v="0"/>
    <x v="6"/>
    <x v="2"/>
    <x v="6"/>
    <x v="5"/>
    <x v="0"/>
    <x v="8"/>
  </r>
  <r>
    <x v="11"/>
    <x v="8"/>
    <x v="1"/>
    <x v="2"/>
    <x v="6"/>
    <x v="1"/>
    <x v="3"/>
    <x v="3"/>
  </r>
  <r>
    <x v="11"/>
    <x v="9"/>
    <x v="1"/>
    <x v="2"/>
    <x v="6"/>
    <x v="2"/>
    <x v="0"/>
    <x v="3"/>
  </r>
  <r>
    <x v="12"/>
    <x v="0"/>
    <x v="7"/>
    <x v="2"/>
    <x v="6"/>
    <x v="6"/>
    <x v="3"/>
    <x v="9"/>
  </r>
  <r>
    <x v="12"/>
    <x v="0"/>
    <x v="8"/>
    <x v="2"/>
    <x v="6"/>
    <x v="0"/>
    <x v="3"/>
    <x v="5"/>
  </r>
  <r>
    <x v="13"/>
    <x v="10"/>
    <x v="1"/>
    <x v="2"/>
    <x v="6"/>
    <x v="3"/>
    <x v="0"/>
    <x v="6"/>
  </r>
  <r>
    <x v="1"/>
    <x v="11"/>
    <x v="1"/>
    <x v="2"/>
    <x v="7"/>
    <x v="5"/>
    <x v="3"/>
    <x v="10"/>
  </r>
  <r>
    <x v="14"/>
    <x v="0"/>
    <x v="9"/>
    <x v="2"/>
    <x v="8"/>
    <x v="1"/>
    <x v="1"/>
    <x v="2"/>
  </r>
  <r>
    <x v="15"/>
    <x v="0"/>
    <x v="10"/>
    <x v="2"/>
    <x v="9"/>
    <x v="5"/>
    <x v="3"/>
    <x v="10"/>
  </r>
  <r>
    <x v="16"/>
    <x v="12"/>
    <x v="1"/>
    <x v="2"/>
    <x v="9"/>
    <x v="2"/>
    <x v="3"/>
    <x v="6"/>
  </r>
  <r>
    <x v="17"/>
    <x v="13"/>
    <x v="1"/>
    <x v="2"/>
    <x v="1"/>
    <x v="3"/>
    <x v="0"/>
    <x v="6"/>
  </r>
  <r>
    <x v="18"/>
    <x v="0"/>
    <x v="11"/>
    <x v="3"/>
    <x v="4"/>
    <x v="6"/>
    <x v="1"/>
    <x v="8"/>
  </r>
  <r>
    <x v="19"/>
    <x v="14"/>
    <x v="1"/>
    <x v="3"/>
    <x v="6"/>
    <x v="3"/>
    <x v="0"/>
    <x v="6"/>
  </r>
  <r>
    <x v="19"/>
    <x v="0"/>
    <x v="12"/>
    <x v="3"/>
    <x v="6"/>
    <x v="2"/>
    <x v="2"/>
    <x v="11"/>
  </r>
  <r>
    <x v="19"/>
    <x v="15"/>
    <x v="1"/>
    <x v="3"/>
    <x v="6"/>
    <x v="0"/>
    <x v="3"/>
    <x v="5"/>
  </r>
  <r>
    <x v="6"/>
    <x v="16"/>
    <x v="1"/>
    <x v="3"/>
    <x v="6"/>
    <x v="0"/>
    <x v="2"/>
    <x v="12"/>
  </r>
  <r>
    <x v="7"/>
    <x v="0"/>
    <x v="13"/>
    <x v="3"/>
    <x v="6"/>
    <x v="7"/>
    <x v="3"/>
    <x v="13"/>
  </r>
  <r>
    <x v="9"/>
    <x v="17"/>
    <x v="1"/>
    <x v="3"/>
    <x v="6"/>
    <x v="7"/>
    <x v="3"/>
    <x v="13"/>
  </r>
  <r>
    <x v="20"/>
    <x v="18"/>
    <x v="1"/>
    <x v="3"/>
    <x v="9"/>
    <x v="1"/>
    <x v="4"/>
    <x v="14"/>
  </r>
  <r>
    <x v="21"/>
    <x v="0"/>
    <x v="2"/>
    <x v="3"/>
    <x v="9"/>
    <x v="2"/>
    <x v="2"/>
    <x v="11"/>
  </r>
  <r>
    <x v="22"/>
    <x v="19"/>
    <x v="1"/>
    <x v="3"/>
    <x v="10"/>
    <x v="7"/>
    <x v="1"/>
    <x v="6"/>
  </r>
  <r>
    <x v="23"/>
    <x v="0"/>
    <x v="14"/>
    <x v="3"/>
    <x v="10"/>
    <x v="5"/>
    <x v="2"/>
    <x v="15"/>
  </r>
  <r>
    <x v="24"/>
    <x v="20"/>
    <x v="1"/>
    <x v="3"/>
    <x v="1"/>
    <x v="0"/>
    <x v="3"/>
    <x v="5"/>
  </r>
  <r>
    <x v="25"/>
    <x v="21"/>
    <x v="1"/>
    <x v="3"/>
    <x v="1"/>
    <x v="0"/>
    <x v="1"/>
    <x v="16"/>
  </r>
  <r>
    <x v="26"/>
    <x v="0"/>
    <x v="15"/>
    <x v="4"/>
    <x v="11"/>
    <x v="3"/>
    <x v="2"/>
    <x v="4"/>
  </r>
  <r>
    <x v="27"/>
    <x v="22"/>
    <x v="1"/>
    <x v="4"/>
    <x v="6"/>
    <x v="2"/>
    <x v="0"/>
    <x v="3"/>
  </r>
  <r>
    <x v="27"/>
    <x v="0"/>
    <x v="16"/>
    <x v="4"/>
    <x v="7"/>
    <x v="4"/>
    <x v="2"/>
    <x v="3"/>
  </r>
  <r>
    <x v="28"/>
    <x v="0"/>
    <x v="17"/>
    <x v="4"/>
    <x v="10"/>
    <x v="5"/>
    <x v="2"/>
    <x v="15"/>
  </r>
  <r>
    <x v="29"/>
    <x v="0"/>
    <x v="18"/>
    <x v="4"/>
    <x v="10"/>
    <x v="0"/>
    <x v="0"/>
    <x v="0"/>
  </r>
  <r>
    <x v="30"/>
    <x v="23"/>
    <x v="1"/>
    <x v="4"/>
    <x v="10"/>
    <x v="1"/>
    <x v="3"/>
    <x v="3"/>
  </r>
  <r>
    <x v="31"/>
    <x v="0"/>
    <x v="19"/>
    <x v="4"/>
    <x v="10"/>
    <x v="7"/>
    <x v="3"/>
    <x v="13"/>
  </r>
  <r>
    <x v="32"/>
    <x v="24"/>
    <x v="1"/>
    <x v="4"/>
    <x v="10"/>
    <x v="7"/>
    <x v="3"/>
    <x v="13"/>
  </r>
  <r>
    <x v="33"/>
    <x v="0"/>
    <x v="20"/>
    <x v="4"/>
    <x v="10"/>
    <x v="2"/>
    <x v="2"/>
    <x v="11"/>
  </r>
  <r>
    <x v="34"/>
    <x v="25"/>
    <x v="1"/>
    <x v="4"/>
    <x v="11"/>
    <x v="5"/>
    <x v="2"/>
    <x v="15"/>
  </r>
  <r>
    <x v="35"/>
    <x v="0"/>
    <x v="21"/>
    <x v="4"/>
    <x v="12"/>
    <x v="7"/>
    <x v="3"/>
    <x v="13"/>
  </r>
  <r>
    <x v="36"/>
    <x v="10"/>
    <x v="1"/>
    <x v="5"/>
    <x v="13"/>
    <x v="5"/>
    <x v="0"/>
    <x v="8"/>
  </r>
  <r>
    <x v="37"/>
    <x v="0"/>
    <x v="22"/>
    <x v="5"/>
    <x v="10"/>
    <x v="8"/>
    <x v="4"/>
    <x v="17"/>
  </r>
  <r>
    <x v="38"/>
    <x v="0"/>
    <x v="23"/>
    <x v="5"/>
    <x v="10"/>
    <x v="1"/>
    <x v="4"/>
    <x v="14"/>
  </r>
  <r>
    <x v="5"/>
    <x v="0"/>
    <x v="24"/>
    <x v="6"/>
    <x v="14"/>
    <x v="2"/>
    <x v="0"/>
    <x v="3"/>
  </r>
  <r>
    <x v="39"/>
    <x v="26"/>
    <x v="1"/>
    <x v="6"/>
    <x v="14"/>
    <x v="5"/>
    <x v="3"/>
    <x v="10"/>
  </r>
  <r>
    <x v="40"/>
    <x v="0"/>
    <x v="25"/>
    <x v="6"/>
    <x v="15"/>
    <x v="0"/>
    <x v="1"/>
    <x v="16"/>
  </r>
  <r>
    <x v="41"/>
    <x v="0"/>
    <x v="26"/>
    <x v="3"/>
    <x v="11"/>
    <x v="3"/>
    <x v="0"/>
    <x v="6"/>
  </r>
  <r>
    <x v="42"/>
    <x v="27"/>
    <x v="1"/>
    <x v="2"/>
    <x v="16"/>
    <x v="0"/>
    <x v="1"/>
    <x v="16"/>
  </r>
  <r>
    <x v="43"/>
    <x v="0"/>
    <x v="27"/>
    <x v="5"/>
    <x v="17"/>
    <x v="6"/>
    <x v="3"/>
    <x v="9"/>
  </r>
  <r>
    <x v="43"/>
    <x v="0"/>
    <x v="28"/>
    <x v="4"/>
    <x v="17"/>
    <x v="3"/>
    <x v="0"/>
    <x v="6"/>
  </r>
  <r>
    <x v="44"/>
    <x v="23"/>
    <x v="1"/>
    <x v="5"/>
    <x v="12"/>
    <x v="0"/>
    <x v="1"/>
    <x v="16"/>
  </r>
  <r>
    <x v="45"/>
    <x v="0"/>
    <x v="29"/>
    <x v="4"/>
    <x v="10"/>
    <x v="2"/>
    <x v="3"/>
    <x v="6"/>
  </r>
  <r>
    <x v="46"/>
    <x v="28"/>
    <x v="1"/>
    <x v="4"/>
    <x v="17"/>
    <x v="3"/>
    <x v="2"/>
    <x v="4"/>
  </r>
  <r>
    <x v="47"/>
    <x v="20"/>
    <x v="1"/>
    <x v="4"/>
    <x v="9"/>
    <x v="4"/>
    <x v="2"/>
    <x v="3"/>
  </r>
  <r>
    <x v="48"/>
    <x v="0"/>
    <x v="30"/>
    <x v="5"/>
    <x v="12"/>
    <x v="2"/>
    <x v="0"/>
    <x v="3"/>
  </r>
  <r>
    <x v="49"/>
    <x v="29"/>
    <x v="1"/>
    <x v="4"/>
    <x v="12"/>
    <x v="1"/>
    <x v="1"/>
    <x v="2"/>
  </r>
  <r>
    <x v="50"/>
    <x v="30"/>
    <x v="1"/>
    <x v="5"/>
    <x v="16"/>
    <x v="3"/>
    <x v="0"/>
    <x v="6"/>
  </r>
  <r>
    <x v="51"/>
    <x v="0"/>
    <x v="31"/>
    <x v="5"/>
    <x v="17"/>
    <x v="1"/>
    <x v="4"/>
    <x v="14"/>
  </r>
  <r>
    <x v="52"/>
    <x v="31"/>
    <x v="1"/>
    <x v="4"/>
    <x v="18"/>
    <x v="0"/>
    <x v="3"/>
    <x v="5"/>
  </r>
  <r>
    <x v="53"/>
    <x v="0"/>
    <x v="32"/>
    <x v="5"/>
    <x v="18"/>
    <x v="2"/>
    <x v="3"/>
    <x v="6"/>
  </r>
  <r>
    <x v="54"/>
    <x v="31"/>
    <x v="1"/>
    <x v="4"/>
    <x v="18"/>
    <x v="6"/>
    <x v="3"/>
    <x v="9"/>
  </r>
  <r>
    <x v="55"/>
    <x v="32"/>
    <x v="1"/>
    <x v="5"/>
    <x v="18"/>
    <x v="0"/>
    <x v="1"/>
    <x v="16"/>
  </r>
  <r>
    <x v="55"/>
    <x v="33"/>
    <x v="1"/>
    <x v="5"/>
    <x v="18"/>
    <x v="0"/>
    <x v="0"/>
    <x v="0"/>
  </r>
  <r>
    <x v="55"/>
    <x v="0"/>
    <x v="33"/>
    <x v="5"/>
    <x v="18"/>
    <x v="8"/>
    <x v="3"/>
    <x v="4"/>
  </r>
  <r>
    <x v="55"/>
    <x v="0"/>
    <x v="34"/>
    <x v="5"/>
    <x v="18"/>
    <x v="1"/>
    <x v="4"/>
    <x v="14"/>
  </r>
  <r>
    <x v="56"/>
    <x v="34"/>
    <x v="1"/>
    <x v="4"/>
    <x v="18"/>
    <x v="1"/>
    <x v="3"/>
    <x v="3"/>
  </r>
  <r>
    <x v="56"/>
    <x v="35"/>
    <x v="1"/>
    <x v="5"/>
    <x v="18"/>
    <x v="6"/>
    <x v="4"/>
    <x v="6"/>
  </r>
  <r>
    <x v="57"/>
    <x v="36"/>
    <x v="1"/>
    <x v="5"/>
    <x v="19"/>
    <x v="6"/>
    <x v="0"/>
    <x v="15"/>
  </r>
  <r>
    <x v="58"/>
    <x v="0"/>
    <x v="35"/>
    <x v="4"/>
    <x v="19"/>
    <x v="7"/>
    <x v="3"/>
    <x v="13"/>
  </r>
  <r>
    <x v="58"/>
    <x v="0"/>
    <x v="36"/>
    <x v="5"/>
    <x v="19"/>
    <x v="0"/>
    <x v="3"/>
    <x v="5"/>
  </r>
  <r>
    <x v="58"/>
    <x v="0"/>
    <x v="37"/>
    <x v="5"/>
    <x v="19"/>
    <x v="7"/>
    <x v="3"/>
    <x v="13"/>
  </r>
  <r>
    <x v="59"/>
    <x v="37"/>
    <x v="1"/>
    <x v="4"/>
    <x v="19"/>
    <x v="7"/>
    <x v="3"/>
    <x v="13"/>
  </r>
  <r>
    <x v="59"/>
    <x v="38"/>
    <x v="1"/>
    <x v="5"/>
    <x v="19"/>
    <x v="2"/>
    <x v="2"/>
    <x v="11"/>
  </r>
  <r>
    <x v="59"/>
    <x v="39"/>
    <x v="1"/>
    <x v="5"/>
    <x v="19"/>
    <x v="1"/>
    <x v="1"/>
    <x v="2"/>
  </r>
  <r>
    <x v="60"/>
    <x v="0"/>
    <x v="38"/>
    <x v="5"/>
    <x v="19"/>
    <x v="1"/>
    <x v="1"/>
    <x v="2"/>
  </r>
  <r>
    <x v="60"/>
    <x v="40"/>
    <x v="1"/>
    <x v="5"/>
    <x v="19"/>
    <x v="0"/>
    <x v="3"/>
    <x v="5"/>
  </r>
  <r>
    <x v="60"/>
    <x v="0"/>
    <x v="39"/>
    <x v="5"/>
    <x v="19"/>
    <x v="2"/>
    <x v="0"/>
    <x v="3"/>
  </r>
  <r>
    <x v="61"/>
    <x v="0"/>
    <x v="40"/>
    <x v="5"/>
    <x v="19"/>
    <x v="7"/>
    <x v="1"/>
    <x v="6"/>
  </r>
  <r>
    <x v="62"/>
    <x v="41"/>
    <x v="41"/>
    <x v="7"/>
    <x v="20"/>
    <x v="9"/>
    <x v="5"/>
    <x v="18"/>
  </r>
  <r>
    <x v="62"/>
    <x v="41"/>
    <x v="41"/>
    <x v="7"/>
    <x v="20"/>
    <x v="9"/>
    <x v="5"/>
    <x v="18"/>
  </r>
</pivotCacheRecords>
</file>

<file path=xl/pivotTables/_rels/pivotTable1.xml.rels><?xml version="1.0" encoding="UTF-8" standalone="yes" ?>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1" cacheId="1" applyNumberFormats="0" applyBorderFormats="0" applyFontFormats="0" applyPatternFormats="0" applyAlignmentFormats="0" applyWidthHeightFormats="1" dataCaption="Valores" missingCaption="" showMissing="1" updatedVersion="4" minRefreshableVersion="3" useAutoFormatting="1" createdVersion="4" indent="0" multipleFieldFilters="0">
  <location ref="J1:M9" firstHeaderRow="0" firstDataRow="1" firstDataCol="1"/>
  <pivotFields count="8">
    <pivotField dataField="1" showAll="0" includeNewItemsInFilter="1" sortType="ascending">
      <items count="64">
        <item x="40"/>
        <item x="32"/>
        <item x="38"/>
        <item x="39"/>
        <item x="37"/>
        <item x="36"/>
        <item x="24"/>
        <item x="27"/>
        <item x="25"/>
        <item x="23"/>
        <item x="22"/>
        <item x="19"/>
        <item x="16"/>
        <item x="18"/>
        <item x="17"/>
        <item x="15"/>
        <item x="14"/>
        <item x="7"/>
        <item x="12"/>
        <item x="11"/>
        <item x="10"/>
        <item x="9"/>
        <item x="8"/>
        <item x="4"/>
        <item x="13"/>
        <item x="0"/>
        <item x="33"/>
        <item x="29"/>
        <item x="1"/>
        <item x="5"/>
        <item x="2"/>
        <item x="21"/>
        <item x="20"/>
        <item x="26"/>
        <item x="31"/>
        <item x="34"/>
        <item x="3"/>
        <item x="6"/>
        <item x="30"/>
        <item x="35"/>
        <item x="28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showAll="0" includeNewItemsInFilter="1" sortType="ascending">
      <items count="43">
        <item x="40"/>
        <item x="39"/>
        <item x="38"/>
        <item x="37"/>
        <item x="36"/>
        <item x="35"/>
        <item x="34"/>
        <item x="33"/>
        <item x="32"/>
        <item x="28"/>
        <item x="21"/>
        <item x="31"/>
        <item x="30"/>
        <item x="26"/>
        <item x="29"/>
        <item x="5"/>
        <item x="2"/>
        <item x="24"/>
        <item x="23"/>
        <item x="27"/>
        <item x="8"/>
        <item x="15"/>
        <item x="22"/>
        <item x="19"/>
        <item x="7"/>
        <item x="4"/>
        <item x="20"/>
        <item x="25"/>
        <item x="12"/>
        <item x="6"/>
        <item x="0"/>
        <item x="10"/>
        <item x="17"/>
        <item x="18"/>
        <item x="16"/>
        <item x="3"/>
        <item x="13"/>
        <item x="1"/>
        <item x="14"/>
        <item x="9"/>
        <item x="11"/>
        <item x="41"/>
        <item t="default"/>
      </items>
    </pivotField>
    <pivotField showAll="0" includeNewItemsInFilter="1" sortType="ascending">
      <items count="43">
        <item x="39"/>
        <item x="40"/>
        <item x="38"/>
        <item x="37"/>
        <item x="20"/>
        <item x="31"/>
        <item x="35"/>
        <item x="15"/>
        <item x="29"/>
        <item x="33"/>
        <item x="27"/>
        <item x="28"/>
        <item x="1"/>
        <item x="16"/>
        <item x="30"/>
        <item x="2"/>
        <item x="23"/>
        <item x="34"/>
        <item x="10"/>
        <item x="32"/>
        <item x="25"/>
        <item x="18"/>
        <item x="26"/>
        <item x="8"/>
        <item x="17"/>
        <item x="4"/>
        <item x="9"/>
        <item x="19"/>
        <item x="13"/>
        <item x="24"/>
        <item x="7"/>
        <item x="11"/>
        <item x="36"/>
        <item x="0"/>
        <item x="14"/>
        <item x="3"/>
        <item x="21"/>
        <item x="6"/>
        <item x="12"/>
        <item x="22"/>
        <item x="5"/>
        <item x="41"/>
        <item t="default"/>
      </items>
    </pivotField>
    <pivotField axis="axisRow" showAll="0" includeNewItemsInFilter="1" sortType="ascending">
      <items count="9">
        <item x="0"/>
        <item x="1"/>
        <item x="2"/>
        <item x="3"/>
        <item x="4"/>
        <item x="5"/>
        <item x="6"/>
        <item h="1" x="7"/>
        <item t="default"/>
      </items>
    </pivotField>
    <pivotField showAll="0" includeNewItemsInFilter="1" sortType="ascending">
      <items count="22">
        <item x="13"/>
        <item x="5"/>
        <item x="1"/>
        <item x="0"/>
        <item x="3"/>
        <item x="4"/>
        <item x="2"/>
        <item x="10"/>
        <item x="14"/>
        <item x="6"/>
        <item x="7"/>
        <item x="15"/>
        <item x="16"/>
        <item x="12"/>
        <item x="11"/>
        <item x="8"/>
        <item x="9"/>
        <item x="19"/>
        <item x="17"/>
        <item x="18"/>
        <item x="20"/>
        <item t="default"/>
      </items>
    </pivotField>
    <pivotField dataField="1" showAll="0" includeNewItemsInFilter="1" sortType="ascending">
      <items count="11">
        <item x="5"/>
        <item x="7"/>
        <item x="3"/>
        <item x="0"/>
        <item x="1"/>
        <item x="2"/>
        <item x="4"/>
        <item x="6"/>
        <item x="8"/>
        <item x="9"/>
        <item t="default"/>
      </items>
    </pivotField>
    <pivotField dataField="1" showAll="0" includeNewItemsInFilter="1" sortType="ascending">
      <items count="7">
        <item x="2"/>
        <item x="3"/>
        <item x="1"/>
        <item x="0"/>
        <item x="4"/>
        <item x="5"/>
        <item t="default"/>
      </items>
    </pivotField>
    <pivotField showAll="0" includeNewItemsInFilter="1" sortType="ascending">
      <items count="20">
        <item x="15"/>
        <item x="12"/>
        <item x="17"/>
        <item x="13"/>
        <item x="0"/>
        <item x="11"/>
        <item x="9"/>
        <item x="4"/>
        <item x="14"/>
        <item x="3"/>
        <item x="16"/>
        <item x="7"/>
        <item x="1"/>
        <item x="2"/>
        <item x="8"/>
        <item x="5"/>
        <item x="6"/>
        <item x="10"/>
        <item x="18"/>
        <item t="default"/>
      </items>
    </pivotField>
  </pivotFields>
  <rowFields count="2">
    <field x="3"/>
  </rowFields>
  <colFields count="1">
    <field x="-2"/>
  </colFields>
  <dataFields count="3">
    <dataField name="partidos" fld="0" subtotal="count"/>
    <dataField name="Suma de OcasionesFalladas" fld="5"/>
    <dataField name="Suma de CAs" fld="6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EEECE1"/>
      </a:dk2>
      <a:lt2>
        <a:srgbClr val="1F497D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Calibri"/>
        <a:ea typeface="Basic Roman"/>
        <a:cs typeface="Basic Roma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>
        <a:prstTxWarp prst="textNoShape">
          <a:avLst/>
        </a:prstTxWarp>
        <a:noAutofit/>
      </a:bodyPr>
      <a:lstStyle>
        <a:defPPr>
          <a:defRPr/>
        </a:defPPr>
      </a:lstStyle>
      <a:style>
        <a:lnRef idx="0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 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vmlDrawing" Target="../drawings/vmlDrawing1.vml"/></Relationships>
</file>

<file path=xl/worksheets/_rels/sheet2.xml.rels><?xml version="1.0" encoding="UTF-8" standalone="yes" 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vmlDrawing" Target="../drawings/vmlDrawing2.vml"/></Relationships>
</file>

<file path=xl/worksheets/_rels/sheet3.xml.rels><?xml version="1.0" encoding="UTF-8" standalone="yes" ?>
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vmlDrawing" Target="../drawings/vmlDrawing3.vml"/></Relationships>
</file>

<file path=xl/worksheets/_rels/sheet6.xml.rels><?xml version="1.0" encoding="UTF-8" standalone="yes" ?>
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vmlDrawing" Target="../drawings/vmlDrawing4.vml"/></Relationships>
</file>

<file path=xl/worksheets/_rels/sheet7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ivotTable" Target="../pivotTables/pivotTable1.xml"/></Relationships>
</file>

<file path=xl/worksheets/_rels/sheet12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3.xml.rels><?xml version="1.0" encoding="UTF-8" standalone="yes" ?>
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vmlDrawing" Target="../drawings/vmlDrawing5.vml"/></Relationships>
</file>

<file path=xl/worksheets/_rels/sheet16.xml.rels><?xml version="1.0" encoding="UTF-8" standalone="yes" ?>
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vmlDrawing" Target="../drawings/vmlDrawing6.vml"/></Relationships>
</file>

<file path=xl/worksheets/_rels/sheet17.xml.rels><?xml version="1.0" encoding="UTF-8" standalone="yes" ?>
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7030A0"/>
  </sheetPr>
  <dimension ref="A1:X32"/>
  <sheetViews>
    <sheetView view="normal" workbookViewId="0">
      <selection activeCell="C4" sqref="C4"/>
    </sheetView>
  </sheetViews>
  <sheetFormatPr baseColWidth="10" defaultColWidth="11.428571" defaultRowHeight="15.40"/>
  <cols>
    <col min="1" max="1" width="12.285714" customWidth="1"/>
    <col min="2" max="2" width="22.428571" customWidth="1"/>
    <col min="3" max="3" width="10.714286" customWidth="1"/>
    <col min="4" max="4" width="9.142857" customWidth="1" style="44"/>
    <col min="5" max="5" width="5.142857" customWidth="1"/>
    <col min="6" max="6" width="5.285714" customWidth="1" style="44"/>
    <col min="7" max="7" width="20.857143" customWidth="1"/>
    <col min="8" max="8" width="5.857143" customWidth="1" style="44"/>
    <col min="9" max="9" width="6.857143" customWidth="1"/>
    <col min="10" max="10" width="5.285714" customWidth="1" style="44"/>
    <col min="11" max="11" width="21.714286" customWidth="1"/>
    <col min="12" max="12" width="5.857143" customWidth="1"/>
    <col min="13" max="13" width="6.142857" customWidth="1"/>
    <col min="14" max="14" width="5.285714" customWidth="1" style="44"/>
    <col min="15" max="15" width="21.285714" customWidth="1"/>
    <col min="16" max="16" width="5.857143" customWidth="1"/>
    <col min="17" max="17" width="6.142857" customWidth="1"/>
    <col min="18" max="18" width="5.285714" customWidth="1"/>
    <col min="19" max="19" width="21.714286" customWidth="1"/>
    <col min="20" max="20" width="5.142857" customWidth="1" style="44"/>
    <col min="21" max="21" width="5.714286" customWidth="1"/>
    <col min="22" max="22" width="5.285714" customWidth="1"/>
    <col min="23" max="23" width="20.857143" customWidth="1"/>
    <col min="24" max="24" width="11.428571" style="44"/>
  </cols>
  <sheetData>
    <row r="1" spans="1:24">
      <c r="A1" s="94" t="s">
        <v>0</v>
      </c>
      <c r="F1" s="96" t="s">
        <v>1</v>
      </c>
      <c r="G1" s="96" t="s">
        <v>2</v>
      </c>
      <c r="H1" s="96"/>
      <c r="J1" s="96" t="s">
        <v>1</v>
      </c>
      <c r="K1" s="96" t="s">
        <v>3</v>
      </c>
      <c r="L1" s="96"/>
      <c r="N1" s="96" t="s">
        <v>1</v>
      </c>
      <c r="O1" s="96" t="s">
        <v>4</v>
      </c>
      <c r="P1" s="96"/>
      <c r="R1" s="356" t="s">
        <v>1</v>
      </c>
      <c r="S1" s="356" t="s">
        <v>5</v>
      </c>
      <c r="T1" s="356"/>
      <c r="V1" s="356" t="s">
        <v>1</v>
      </c>
      <c r="W1" s="356" t="s">
        <v>6</v>
      </c>
      <c r="X1" s="356"/>
    </row>
    <row r="2" spans="1:24">
      <c r="A2" s="25" t="n">
        <v>43741</v>
      </c>
      <c r="F2" s="45" t="n">
        <v>1</v>
      </c>
      <c r="G2" s="95" t="s">
        <v>7</v>
      </c>
      <c r="H2" s="44" t="s">
        <v>8</v>
      </c>
      <c r="J2" s="45" t="n">
        <v>1</v>
      </c>
      <c r="K2" s="95" t="s">
        <v>9</v>
      </c>
      <c r="L2" s="44" t="n">
        <v>175</v>
      </c>
      <c r="N2" s="45" t="n">
        <v>1</v>
      </c>
      <c r="O2" s="95" t="s">
        <v>10</v>
      </c>
      <c r="P2" s="44" t="n">
        <v>58</v>
      </c>
      <c r="R2" s="45" t="n">
        <v>1</v>
      </c>
      <c r="S2" s="355" t="s">
        <v>11</v>
      </c>
      <c r="T2" s="44" t="n">
        <v>21</v>
      </c>
      <c r="V2" s="45" t="n">
        <v>1</v>
      </c>
      <c r="W2" s="355" t="s">
        <v>12</v>
      </c>
      <c r="X2" s="44" t="n">
        <v>24</v>
      </c>
    </row>
    <row r="3" spans="6:24">
      <c r="F3" s="45" t="n">
        <v>2</v>
      </c>
      <c r="G3" s="95" t="s">
        <v>13</v>
      </c>
      <c r="H3" s="44" t="s">
        <v>14</v>
      </c>
      <c r="J3" s="45" t="n">
        <v>2</v>
      </c>
      <c r="K3" s="95" t="s">
        <v>15</v>
      </c>
      <c r="L3" s="44" t="n">
        <v>155</v>
      </c>
      <c r="N3" s="45" t="n">
        <v>2</v>
      </c>
      <c r="O3" s="95" t="s">
        <v>16</v>
      </c>
      <c r="P3" s="44" t="n">
        <v>57</v>
      </c>
      <c r="R3" s="45" t="n">
        <v>2</v>
      </c>
      <c r="S3" s="355" t="s">
        <v>17</v>
      </c>
      <c r="T3" s="44" t="n">
        <v>17</v>
      </c>
      <c r="V3" s="45" t="n">
        <v>2</v>
      </c>
      <c r="W3" s="355" t="s">
        <v>17</v>
      </c>
      <c r="X3" s="44" t="n">
        <v>3</v>
      </c>
    </row>
    <row r="4" spans="1:24">
      <c r="A4" s="94" t="s">
        <v>18</v>
      </c>
      <c r="F4" s="45" t="n">
        <v>3</v>
      </c>
      <c r="G4" s="95" t="s">
        <v>19</v>
      </c>
      <c r="H4" s="44" t="s">
        <v>20</v>
      </c>
      <c r="J4" s="45" t="n">
        <v>3</v>
      </c>
      <c r="K4" s="95" t="s">
        <v>21</v>
      </c>
      <c r="L4" s="44" t="n">
        <v>145</v>
      </c>
      <c r="N4" s="45" t="n">
        <v>3</v>
      </c>
      <c r="O4" s="95" t="s">
        <v>13</v>
      </c>
      <c r="P4" s="44" t="n">
        <v>44</v>
      </c>
      <c r="R4" s="45" t="n">
        <v>2</v>
      </c>
      <c r="S4" s="355" t="s">
        <v>22</v>
      </c>
      <c r="T4" s="44" t="n">
        <v>17</v>
      </c>
      <c r="V4" s="45" t="n">
        <v>2</v>
      </c>
      <c r="W4" s="355" t="s">
        <v>23</v>
      </c>
      <c r="X4" s="44" t="n">
        <v>3</v>
      </c>
    </row>
    <row r="5" spans="1:24">
      <c r="A5" s="44" t="s">
        <v>24</v>
      </c>
      <c r="B5" t="s">
        <v>25</v>
      </c>
      <c r="C5" s="25" t="n">
        <v>42847</v>
      </c>
      <c r="D5" s="45" t="s">
        <v>26</v>
      </c>
      <c r="F5" s="45" t="n">
        <v>4</v>
      </c>
      <c r="G5" s="95" t="s">
        <v>27</v>
      </c>
      <c r="H5" s="44" t="s">
        <v>28</v>
      </c>
      <c r="J5" s="45" t="n">
        <v>4</v>
      </c>
      <c r="K5" s="95" t="s">
        <v>27</v>
      </c>
      <c r="L5" s="44" t="n">
        <v>144</v>
      </c>
      <c r="N5" s="45" t="n">
        <v>4</v>
      </c>
      <c r="O5" s="95" t="s">
        <v>7</v>
      </c>
      <c r="P5" s="44" t="n">
        <v>42</v>
      </c>
      <c r="R5" s="45" t="n">
        <v>4</v>
      </c>
      <c r="S5" s="355" t="s">
        <v>29</v>
      </c>
      <c r="T5" s="44" t="n">
        <v>12</v>
      </c>
      <c r="V5" s="45" t="n">
        <v>4</v>
      </c>
      <c r="W5" s="355" t="s">
        <v>30</v>
      </c>
      <c r="X5" s="44" t="n">
        <v>3</v>
      </c>
    </row>
    <row r="6" spans="1:24">
      <c r="A6" s="44" t="s">
        <v>31</v>
      </c>
      <c r="B6" t="s">
        <v>32</v>
      </c>
      <c r="C6" s="25" t="n">
        <v>42991</v>
      </c>
      <c r="D6" s="45" t="s">
        <v>33</v>
      </c>
      <c r="F6" s="45" t="n">
        <v>5</v>
      </c>
      <c r="G6" s="95" t="s">
        <v>10</v>
      </c>
      <c r="H6" s="44" t="s">
        <v>28</v>
      </c>
      <c r="J6" s="45" t="n">
        <v>5</v>
      </c>
      <c r="K6" s="95" t="s">
        <v>7</v>
      </c>
      <c r="L6" s="44" t="n">
        <v>141</v>
      </c>
      <c r="N6" s="45" t="n">
        <v>4</v>
      </c>
      <c r="O6" s="355" t="s">
        <v>34</v>
      </c>
      <c r="P6" s="44" t="n">
        <v>42</v>
      </c>
      <c r="R6" s="45" t="n">
        <v>4</v>
      </c>
      <c r="S6" s="355" t="s">
        <v>23</v>
      </c>
      <c r="T6" s="44" t="n">
        <v>12</v>
      </c>
      <c r="V6" s="45" t="n">
        <v>4</v>
      </c>
      <c r="W6" s="95" t="s">
        <v>35</v>
      </c>
      <c r="X6" s="44" t="n">
        <v>3</v>
      </c>
    </row>
    <row r="7" spans="6:24">
      <c r="F7" s="45" t="n">
        <v>6</v>
      </c>
      <c r="G7" s="95" t="s">
        <v>21</v>
      </c>
      <c r="H7" s="44" t="s">
        <v>36</v>
      </c>
      <c r="J7" s="45" t="n">
        <v>6</v>
      </c>
      <c r="K7" s="95" t="s">
        <v>16</v>
      </c>
      <c r="L7" s="44" t="n">
        <v>140</v>
      </c>
      <c r="N7" s="45" t="n">
        <v>6</v>
      </c>
      <c r="O7" s="355" t="s">
        <v>37</v>
      </c>
      <c r="P7" s="44" t="n">
        <v>29</v>
      </c>
      <c r="R7" s="45" t="n">
        <v>6</v>
      </c>
      <c r="S7" s="355" t="s">
        <v>38</v>
      </c>
      <c r="T7" s="44" t="n">
        <v>11</v>
      </c>
      <c r="V7" s="45" t="n">
        <v>6</v>
      </c>
      <c r="W7" s="95" t="s">
        <v>39</v>
      </c>
      <c r="X7" s="44" t="n">
        <v>1</v>
      </c>
    </row>
    <row r="8" spans="1:24">
      <c r="A8" s="96" t="s">
        <v>1</v>
      </c>
      <c r="B8" s="96" t="s">
        <v>40</v>
      </c>
      <c r="C8" s="96"/>
      <c r="F8" s="45" t="n">
        <v>7</v>
      </c>
      <c r="G8" s="95" t="s">
        <v>41</v>
      </c>
      <c r="H8" s="44" t="s">
        <v>42</v>
      </c>
      <c r="J8" s="45" t="n">
        <v>7</v>
      </c>
      <c r="K8" s="95" t="s">
        <v>43</v>
      </c>
      <c r="L8" s="44" t="n">
        <v>135</v>
      </c>
      <c r="N8" s="45" t="n">
        <v>7</v>
      </c>
      <c r="O8" s="95" t="s">
        <v>19</v>
      </c>
      <c r="P8" s="44" t="n">
        <v>27</v>
      </c>
      <c r="R8" s="45" t="n">
        <v>7</v>
      </c>
      <c r="S8" s="95" t="s">
        <v>35</v>
      </c>
      <c r="T8" s="44" t="n">
        <v>7</v>
      </c>
      <c r="V8" s="45" t="n">
        <v>7</v>
      </c>
      <c r="W8" s="355" t="s">
        <v>22</v>
      </c>
      <c r="X8" s="44" t="n">
        <v>1</v>
      </c>
    </row>
    <row r="9" spans="1:23">
      <c r="A9" s="45" t="n">
        <v>1</v>
      </c>
      <c r="B9" s="95" t="s">
        <v>9</v>
      </c>
      <c r="C9" s="44" t="n">
        <v>71</v>
      </c>
      <c r="F9" s="45" t="n">
        <v>8</v>
      </c>
      <c r="G9" s="95" t="s">
        <v>44</v>
      </c>
      <c r="H9" s="44" t="s">
        <v>45</v>
      </c>
      <c r="J9" s="45" t="n">
        <v>8</v>
      </c>
      <c r="K9" s="95" t="s">
        <v>44</v>
      </c>
      <c r="L9" s="44" t="n">
        <v>111</v>
      </c>
      <c r="N9" s="45" t="n">
        <v>8</v>
      </c>
      <c r="O9" s="95" t="s">
        <v>46</v>
      </c>
      <c r="P9" s="44" t="n">
        <v>22</v>
      </c>
      <c r="R9" s="45" t="n">
        <v>7</v>
      </c>
      <c r="S9" s="355" t="s">
        <v>34</v>
      </c>
      <c r="T9" s="44" t="n">
        <v>7</v>
      </c>
      <c r="V9" s="45" t="n">
        <v>8</v>
      </c>
      <c r="W9" s="95"/>
    </row>
    <row r="10" spans="1:23">
      <c r="A10" s="45" t="n">
        <v>2</v>
      </c>
      <c r="B10" s="95" t="s">
        <v>47</v>
      </c>
      <c r="C10" s="44" t="n">
        <v>29</v>
      </c>
      <c r="F10" s="45" t="n">
        <v>9</v>
      </c>
      <c r="G10" s="95" t="s">
        <v>48</v>
      </c>
      <c r="H10" s="44" t="s">
        <v>45</v>
      </c>
      <c r="J10" s="45" t="n">
        <v>9</v>
      </c>
      <c r="K10" s="355" t="s">
        <v>17</v>
      </c>
      <c r="L10" s="44" t="n">
        <v>107</v>
      </c>
      <c r="N10" s="45" t="n">
        <v>9</v>
      </c>
      <c r="O10" s="95" t="s">
        <v>49</v>
      </c>
      <c r="P10" s="44" t="n">
        <v>20</v>
      </c>
      <c r="R10" s="45" t="n">
        <v>9</v>
      </c>
      <c r="S10" s="355" t="s">
        <v>37</v>
      </c>
      <c r="T10" s="44" t="n">
        <v>6</v>
      </c>
      <c r="V10" s="45" t="n">
        <v>9</v>
      </c>
      <c r="W10" s="95"/>
    </row>
    <row r="11" spans="1:23">
      <c r="A11" s="45" t="n">
        <v>3</v>
      </c>
      <c r="B11" s="95" t="s">
        <v>50</v>
      </c>
      <c r="C11" s="44" t="n">
        <v>16</v>
      </c>
      <c r="F11" s="45" t="n">
        <v>10</v>
      </c>
      <c r="G11" s="95" t="s">
        <v>51</v>
      </c>
      <c r="H11" s="44" t="s">
        <v>45</v>
      </c>
      <c r="J11" s="45" t="n">
        <v>10</v>
      </c>
      <c r="K11" s="95" t="s">
        <v>52</v>
      </c>
      <c r="L11" s="44" t="n">
        <v>105</v>
      </c>
      <c r="N11" s="45" t="n">
        <v>10</v>
      </c>
      <c r="O11" s="95" t="s">
        <v>53</v>
      </c>
      <c r="P11" s="44" t="n">
        <v>13</v>
      </c>
      <c r="R11" s="45" t="n">
        <v>10</v>
      </c>
      <c r="S11" s="355" t="s">
        <v>54</v>
      </c>
      <c r="T11" s="44" t="n">
        <v>5</v>
      </c>
      <c r="V11" s="45" t="n">
        <v>10</v>
      </c>
      <c r="W11" s="95"/>
    </row>
    <row r="12" spans="1:23">
      <c r="A12" s="45" t="n">
        <v>4</v>
      </c>
      <c r="B12" s="355" t="s">
        <v>12</v>
      </c>
      <c r="C12" s="44" t="n">
        <v>15</v>
      </c>
      <c r="F12" s="45" t="n">
        <v>11</v>
      </c>
      <c r="G12" s="95" t="s">
        <v>55</v>
      </c>
      <c r="H12" s="44" t="s">
        <v>45</v>
      </c>
      <c r="J12" s="45" t="n">
        <v>11</v>
      </c>
      <c r="K12" s="355" t="s">
        <v>29</v>
      </c>
      <c r="L12" s="44" t="n">
        <v>100</v>
      </c>
      <c r="N12" s="45" t="n">
        <v>10</v>
      </c>
      <c r="O12" s="95" t="s">
        <v>56</v>
      </c>
      <c r="P12" s="44" t="n">
        <v>12</v>
      </c>
      <c r="R12" s="45" t="n">
        <v>11</v>
      </c>
      <c r="S12" s="355" t="s">
        <v>57</v>
      </c>
      <c r="T12" s="44" t="n">
        <v>4</v>
      </c>
      <c r="V12" s="45" t="n">
        <v>11</v>
      </c>
      <c r="W12" s="95"/>
    </row>
    <row r="13" spans="1:23">
      <c r="A13" s="45" t="n">
        <v>5</v>
      </c>
      <c r="B13" s="95" t="s">
        <v>58</v>
      </c>
      <c r="C13" s="44" t="n">
        <v>12</v>
      </c>
      <c r="F13" s="45" t="n">
        <v>12</v>
      </c>
      <c r="G13" s="95" t="s">
        <v>59</v>
      </c>
      <c r="H13" s="44" t="s">
        <v>60</v>
      </c>
      <c r="J13" s="45" t="n">
        <v>12</v>
      </c>
      <c r="K13" s="95" t="s">
        <v>47</v>
      </c>
      <c r="L13" s="44" t="n">
        <v>93</v>
      </c>
      <c r="N13" s="45" t="n">
        <v>10</v>
      </c>
      <c r="O13" s="95" t="s">
        <v>61</v>
      </c>
      <c r="P13" s="44" t="n">
        <v>12</v>
      </c>
      <c r="R13" s="45" t="n">
        <v>12</v>
      </c>
      <c r="S13" s="355" t="s">
        <v>30</v>
      </c>
      <c r="T13" s="44" t="n">
        <v>3</v>
      </c>
      <c r="V13" s="45" t="n">
        <v>12</v>
      </c>
      <c r="W13" s="95"/>
    </row>
    <row r="14" spans="1:23">
      <c r="A14" s="45" t="n">
        <v>6</v>
      </c>
      <c r="B14" s="95" t="s">
        <v>62</v>
      </c>
      <c r="C14" s="44" t="n">
        <v>11</v>
      </c>
      <c r="F14" s="45" t="n">
        <v>13</v>
      </c>
      <c r="G14" s="95" t="s">
        <v>63</v>
      </c>
      <c r="H14" s="44" t="s">
        <v>60</v>
      </c>
      <c r="J14" s="45" t="n">
        <v>12</v>
      </c>
      <c r="K14" s="355" t="s">
        <v>34</v>
      </c>
      <c r="L14" s="44" t="n">
        <v>93</v>
      </c>
      <c r="N14" s="45" t="n">
        <v>13</v>
      </c>
      <c r="O14" s="95" t="s">
        <v>64</v>
      </c>
      <c r="P14" s="44" t="n">
        <v>11</v>
      </c>
      <c r="R14" s="45" t="n">
        <v>12</v>
      </c>
      <c r="S14" s="355" t="s">
        <v>65</v>
      </c>
      <c r="T14" s="44" t="n">
        <v>3</v>
      </c>
      <c r="V14" s="45" t="n">
        <v>13</v>
      </c>
      <c r="W14" s="95"/>
    </row>
    <row r="15" spans="1:23">
      <c r="A15" s="45" t="n">
        <v>6</v>
      </c>
      <c r="B15" s="95" t="s">
        <v>66</v>
      </c>
      <c r="C15" s="44" t="n">
        <v>11</v>
      </c>
      <c r="F15" s="45" t="n">
        <v>14</v>
      </c>
      <c r="G15" s="95" t="s">
        <v>67</v>
      </c>
      <c r="H15" s="44" t="s">
        <v>60</v>
      </c>
      <c r="J15" s="45" t="n">
        <v>12</v>
      </c>
      <c r="K15" s="355" t="s">
        <v>23</v>
      </c>
      <c r="L15" s="44" t="n">
        <v>93</v>
      </c>
      <c r="N15" s="45" t="n">
        <v>13</v>
      </c>
      <c r="O15" s="95" t="s">
        <v>62</v>
      </c>
      <c r="P15" s="44" t="n">
        <v>11</v>
      </c>
      <c r="R15" s="45" t="n">
        <v>12</v>
      </c>
      <c r="S15" s="95" t="s">
        <v>39</v>
      </c>
      <c r="T15" s="44" t="n">
        <v>3</v>
      </c>
      <c r="V15" s="45" t="n">
        <v>14</v>
      </c>
      <c r="W15" s="95"/>
    </row>
    <row r="16" spans="1:23">
      <c r="A16" s="45" t="n">
        <v>8</v>
      </c>
      <c r="B16" s="95" t="s">
        <v>68</v>
      </c>
      <c r="C16" s="44" t="n">
        <v>6</v>
      </c>
      <c r="F16" s="45" t="n">
        <v>15</v>
      </c>
      <c r="G16" s="95" t="s">
        <v>69</v>
      </c>
      <c r="H16" s="44" t="s">
        <v>60</v>
      </c>
      <c r="J16" s="45" t="n">
        <v>15</v>
      </c>
      <c r="K16" s="355" t="s">
        <v>38</v>
      </c>
      <c r="L16" s="44" t="n">
        <v>92</v>
      </c>
      <c r="N16" s="45" t="n">
        <v>13</v>
      </c>
      <c r="O16" s="355" t="s">
        <v>29</v>
      </c>
      <c r="P16" s="44" t="n">
        <v>11</v>
      </c>
      <c r="R16" s="45" t="n">
        <v>15</v>
      </c>
      <c r="S16" s="355" t="s">
        <v>70</v>
      </c>
      <c r="T16" s="44" t="n">
        <v>2</v>
      </c>
      <c r="V16" s="45" t="n">
        <v>15</v>
      </c>
      <c r="W16" s="95"/>
    </row>
    <row r="17" spans="1:23">
      <c r="A17" s="45" t="n">
        <v>8</v>
      </c>
      <c r="B17" s="355" t="s">
        <v>71</v>
      </c>
      <c r="C17" s="44" t="n">
        <v>6</v>
      </c>
      <c r="F17" s="45" t="n">
        <v>16</v>
      </c>
      <c r="G17" s="95" t="s">
        <v>9</v>
      </c>
      <c r="H17" s="44" t="s">
        <v>60</v>
      </c>
      <c r="J17" s="45" t="n">
        <v>16</v>
      </c>
      <c r="K17" s="95" t="s">
        <v>72</v>
      </c>
      <c r="L17" s="44" t="n">
        <v>83</v>
      </c>
      <c r="N17" s="45" t="n">
        <v>15</v>
      </c>
      <c r="O17" s="95" t="s">
        <v>73</v>
      </c>
      <c r="P17" s="44" t="n">
        <v>8</v>
      </c>
      <c r="R17" s="45" t="n">
        <v>15</v>
      </c>
      <c r="S17" s="355" t="s">
        <v>74</v>
      </c>
      <c r="T17" s="44" t="n">
        <v>2</v>
      </c>
      <c r="V17" s="45" t="n">
        <v>16</v>
      </c>
      <c r="W17" s="95"/>
    </row>
    <row r="18" spans="1:23">
      <c r="A18" s="45" t="n">
        <v>10</v>
      </c>
      <c r="B18" s="95" t="s">
        <v>75</v>
      </c>
      <c r="C18" s="44" t="n">
        <v>4</v>
      </c>
      <c r="F18" s="45" t="n">
        <v>17</v>
      </c>
      <c r="G18" s="95" t="s">
        <v>76</v>
      </c>
      <c r="H18" s="44" t="s">
        <v>77</v>
      </c>
      <c r="J18" s="45" t="n">
        <v>17</v>
      </c>
      <c r="K18" s="95" t="s">
        <v>78</v>
      </c>
      <c r="L18" s="44" t="n">
        <v>78</v>
      </c>
      <c r="N18" s="45" t="n">
        <v>15</v>
      </c>
      <c r="O18" s="95" t="s">
        <v>79</v>
      </c>
      <c r="P18" s="44" t="n">
        <v>8</v>
      </c>
      <c r="R18" s="45" t="n">
        <v>17</v>
      </c>
      <c r="S18" s="355" t="s">
        <v>80</v>
      </c>
      <c r="T18" s="44" t="n">
        <v>1</v>
      </c>
      <c r="V18" s="45" t="n">
        <v>17</v>
      </c>
      <c r="W18" s="95"/>
    </row>
    <row r="19" spans="1:23">
      <c r="A19" s="45" t="n">
        <v>11</v>
      </c>
      <c r="B19" s="95" t="s">
        <v>81</v>
      </c>
      <c r="C19" s="44" t="n">
        <v>3</v>
      </c>
      <c r="F19" s="45" t="n">
        <v>17</v>
      </c>
      <c r="G19" s="95" t="s">
        <v>82</v>
      </c>
      <c r="H19" s="44" t="s">
        <v>77</v>
      </c>
      <c r="J19" s="45" t="n">
        <v>18</v>
      </c>
      <c r="K19" s="95" t="s">
        <v>67</v>
      </c>
      <c r="L19" s="44" t="n">
        <v>67</v>
      </c>
      <c r="N19" s="45" t="n">
        <v>15</v>
      </c>
      <c r="O19" s="95" t="s">
        <v>83</v>
      </c>
      <c r="P19" s="44" t="n">
        <v>8</v>
      </c>
      <c r="R19" s="45" t="n">
        <v>17</v>
      </c>
      <c r="S19" s="355" t="s">
        <v>12</v>
      </c>
      <c r="T19" s="44" t="n">
        <v>1</v>
      </c>
      <c r="V19" s="45" t="n">
        <v>18</v>
      </c>
      <c r="W19" s="95"/>
    </row>
    <row r="20" spans="1:23">
      <c r="A20" s="45" t="n">
        <v>12</v>
      </c>
      <c r="B20" s="95" t="s">
        <v>84</v>
      </c>
      <c r="C20" s="44" t="n">
        <v>2</v>
      </c>
      <c r="F20" s="45" t="n">
        <v>17</v>
      </c>
      <c r="G20" s="95" t="s">
        <v>85</v>
      </c>
      <c r="H20" s="44" t="s">
        <v>77</v>
      </c>
      <c r="J20" s="45" t="n">
        <v>19</v>
      </c>
      <c r="K20" s="95" t="s">
        <v>10</v>
      </c>
      <c r="L20" s="44" t="n">
        <v>64</v>
      </c>
      <c r="N20" s="45" t="n">
        <v>18</v>
      </c>
      <c r="O20" s="95" t="s">
        <v>86</v>
      </c>
      <c r="P20" s="44" t="n">
        <v>7</v>
      </c>
      <c r="R20" s="45" t="n">
        <v>17</v>
      </c>
      <c r="S20" s="355" t="s">
        <v>87</v>
      </c>
      <c r="T20" s="44" t="n">
        <v>1</v>
      </c>
      <c r="V20" s="45" t="n">
        <v>19</v>
      </c>
      <c r="W20" s="95"/>
    </row>
    <row r="21" spans="1:23">
      <c r="A21" s="45" t="n">
        <v>12</v>
      </c>
      <c r="B21" s="95" t="s">
        <v>88</v>
      </c>
      <c r="C21" s="44" t="n">
        <v>2</v>
      </c>
      <c r="F21" s="45" t="n">
        <v>17</v>
      </c>
      <c r="G21" s="95" t="s">
        <v>89</v>
      </c>
      <c r="H21" s="44" t="s">
        <v>77</v>
      </c>
      <c r="J21" s="45" t="n">
        <v>20</v>
      </c>
      <c r="K21" s="95" t="s">
        <v>90</v>
      </c>
      <c r="L21" s="44" t="n">
        <v>60</v>
      </c>
      <c r="N21" s="45" t="n">
        <v>18</v>
      </c>
      <c r="O21" s="95" t="s">
        <v>91</v>
      </c>
      <c r="P21" s="44" t="n">
        <v>7</v>
      </c>
      <c r="R21" s="45" t="n">
        <v>20</v>
      </c>
      <c r="S21" s="95"/>
      <c r="V21" s="45" t="n">
        <v>20</v>
      </c>
      <c r="W21" s="95"/>
    </row>
    <row r="22" spans="1:23">
      <c r="A22" s="45" t="n">
        <v>14</v>
      </c>
      <c r="B22" s="95" t="s">
        <v>92</v>
      </c>
      <c r="C22" s="44" t="n">
        <v>1</v>
      </c>
      <c r="F22" s="45" t="n">
        <v>17</v>
      </c>
      <c r="G22" s="95" t="s">
        <v>93</v>
      </c>
      <c r="H22" s="44" t="s">
        <v>77</v>
      </c>
      <c r="J22" s="45" t="n">
        <v>20</v>
      </c>
      <c r="K22" s="95" t="s">
        <v>69</v>
      </c>
      <c r="L22" s="44" t="n">
        <v>60</v>
      </c>
      <c r="N22" s="45" t="n">
        <v>18</v>
      </c>
      <c r="O22" s="355" t="s">
        <v>65</v>
      </c>
      <c r="P22" s="44" t="n">
        <v>7</v>
      </c>
      <c r="R22" s="45" t="n">
        <v>21</v>
      </c>
      <c r="S22" s="95"/>
      <c r="V22" s="45" t="n">
        <v>21</v>
      </c>
      <c r="W22" s="95"/>
    </row>
    <row r="23" spans="1:23">
      <c r="A23" s="45" t="n">
        <v>14</v>
      </c>
      <c r="B23" s="95" t="s">
        <v>94</v>
      </c>
      <c r="C23" s="44" t="n">
        <v>1</v>
      </c>
      <c r="F23" s="45" t="n">
        <v>17</v>
      </c>
      <c r="G23" s="95" t="s">
        <v>72</v>
      </c>
      <c r="H23" s="44" t="s">
        <v>77</v>
      </c>
      <c r="J23" s="45" t="n">
        <v>22</v>
      </c>
      <c r="K23" s="95" t="s">
        <v>95</v>
      </c>
      <c r="L23" s="44" t="n">
        <v>58</v>
      </c>
      <c r="N23" s="45" t="n">
        <v>21</v>
      </c>
      <c r="O23" s="95" t="s">
        <v>96</v>
      </c>
      <c r="P23" s="44" t="n">
        <v>6</v>
      </c>
      <c r="R23" s="45" t="n">
        <v>22</v>
      </c>
      <c r="S23" s="95"/>
      <c r="V23" s="45" t="n">
        <v>22</v>
      </c>
      <c r="W23" s="95"/>
    </row>
    <row r="24" spans="1:23">
      <c r="A24" s="45" t="n">
        <v>14</v>
      </c>
      <c r="B24" s="95" t="s">
        <v>97</v>
      </c>
      <c r="C24" s="44" t="n">
        <v>1</v>
      </c>
      <c r="F24" s="45" t="n">
        <v>17</v>
      </c>
      <c r="G24" s="95" t="s">
        <v>78</v>
      </c>
      <c r="H24" s="44" t="s">
        <v>77</v>
      </c>
      <c r="J24" s="45" t="n">
        <v>23</v>
      </c>
      <c r="K24" s="95" t="s">
        <v>46</v>
      </c>
      <c r="L24" s="44" t="n">
        <v>57</v>
      </c>
      <c r="N24" s="45" t="n">
        <v>21</v>
      </c>
      <c r="O24" s="95" t="s">
        <v>98</v>
      </c>
      <c r="P24" s="44" t="n">
        <v>6</v>
      </c>
      <c r="R24" s="45" t="n">
        <v>23</v>
      </c>
      <c r="S24" s="95"/>
      <c r="V24" s="45" t="n">
        <v>23</v>
      </c>
      <c r="W24" s="95"/>
    </row>
    <row r="25" spans="1:23">
      <c r="A25" s="45" t="n">
        <v>14</v>
      </c>
      <c r="B25" s="95" t="s">
        <v>99</v>
      </c>
      <c r="C25" s="44" t="n">
        <v>1</v>
      </c>
      <c r="F25" s="45" t="n">
        <v>17</v>
      </c>
      <c r="G25" s="95" t="s">
        <v>90</v>
      </c>
      <c r="H25" s="44" t="s">
        <v>77</v>
      </c>
      <c r="J25" s="45" t="n">
        <v>23</v>
      </c>
      <c r="K25" s="95" t="s">
        <v>13</v>
      </c>
      <c r="L25" s="44" t="n">
        <v>57</v>
      </c>
      <c r="N25" s="45" t="n">
        <v>21</v>
      </c>
      <c r="O25" s="95" t="s">
        <v>43</v>
      </c>
      <c r="P25" s="44" t="n">
        <v>6</v>
      </c>
      <c r="R25" s="45" t="n">
        <v>24</v>
      </c>
      <c r="S25" s="95"/>
      <c r="V25" s="45" t="n">
        <v>24</v>
      </c>
      <c r="W25" s="95"/>
    </row>
    <row r="26" spans="1:24">
      <c r="A26" s="45" t="n">
        <v>14</v>
      </c>
      <c r="B26" s="95" t="s">
        <v>100</v>
      </c>
      <c r="C26" s="44" t="n">
        <v>1</v>
      </c>
      <c r="F26" s="45" t="n">
        <v>17</v>
      </c>
      <c r="G26" s="95" t="s">
        <v>101</v>
      </c>
      <c r="H26" s="44" t="s">
        <v>77</v>
      </c>
      <c r="J26" s="45" t="n">
        <v>23</v>
      </c>
      <c r="K26" s="355" t="s">
        <v>12</v>
      </c>
      <c r="L26" s="44" t="n">
        <v>57</v>
      </c>
      <c r="T26" s="45">
        <f>SUM(T2:T25)</f>
        <v>135</v>
      </c>
      <c r="X26" s="45">
        <f>SUM(X2:X25)</f>
        <v>38</v>
      </c>
    </row>
    <row r="27" spans="1:12">
      <c r="A27" s="45" t="n">
        <v>14</v>
      </c>
      <c r="B27" s="95" t="s">
        <v>102</v>
      </c>
      <c r="C27" s="44" t="n">
        <v>1</v>
      </c>
      <c r="F27" s="45" t="n">
        <v>17</v>
      </c>
      <c r="G27" s="95" t="s">
        <v>103</v>
      </c>
      <c r="H27" s="44" t="s">
        <v>77</v>
      </c>
      <c r="J27" s="45" t="n">
        <v>26</v>
      </c>
      <c r="K27" s="95" t="s">
        <v>104</v>
      </c>
      <c r="L27" s="44" t="n">
        <v>56</v>
      </c>
    </row>
    <row r="28" spans="1:12">
      <c r="A28" s="45" t="n">
        <v>14</v>
      </c>
      <c r="B28" s="95" t="s">
        <v>105</v>
      </c>
      <c r="C28" s="44" t="n">
        <v>1</v>
      </c>
      <c r="F28" s="45" t="n">
        <v>17</v>
      </c>
      <c r="G28" s="95" t="s">
        <v>106</v>
      </c>
      <c r="H28" s="44" t="s">
        <v>77</v>
      </c>
      <c r="J28" s="45" t="n">
        <v>26</v>
      </c>
      <c r="K28" s="95" t="s">
        <v>82</v>
      </c>
      <c r="L28" s="44" t="n">
        <v>56</v>
      </c>
    </row>
    <row r="29" spans="1:12">
      <c r="A29" s="45" t="n">
        <v>14</v>
      </c>
      <c r="B29" s="95" t="s">
        <v>107</v>
      </c>
      <c r="C29" s="44" t="n">
        <v>1</v>
      </c>
      <c r="F29" s="45" t="n">
        <v>17</v>
      </c>
      <c r="G29" s="95" t="s">
        <v>108</v>
      </c>
      <c r="H29" s="44" t="s">
        <v>77</v>
      </c>
      <c r="J29" s="45" t="n">
        <v>28</v>
      </c>
      <c r="K29" s="95" t="s">
        <v>41</v>
      </c>
      <c r="L29" s="44" t="n">
        <v>54</v>
      </c>
    </row>
    <row r="30" spans="1:12">
      <c r="A30" s="45" t="n">
        <v>14</v>
      </c>
      <c r="B30" s="95" t="s">
        <v>109</v>
      </c>
      <c r="C30" s="44" t="n">
        <v>1</v>
      </c>
      <c r="F30" s="45" t="n">
        <v>17</v>
      </c>
      <c r="G30" s="95" t="s">
        <v>110</v>
      </c>
      <c r="H30" s="44" t="s">
        <v>77</v>
      </c>
      <c r="J30" s="45" t="n">
        <v>29</v>
      </c>
      <c r="K30" s="56" t="s">
        <v>111</v>
      </c>
      <c r="L30" s="44" t="n">
        <v>52</v>
      </c>
    </row>
    <row r="31" spans="1:12">
      <c r="A31" s="45" t="n">
        <v>14</v>
      </c>
      <c r="B31" s="95" t="s">
        <v>112</v>
      </c>
      <c r="C31" s="44" t="n">
        <v>1</v>
      </c>
      <c r="F31" s="45" t="n">
        <v>17</v>
      </c>
      <c r="G31" s="95" t="s">
        <v>113</v>
      </c>
      <c r="H31" s="44" t="s">
        <v>77</v>
      </c>
      <c r="J31" s="45" t="n">
        <v>30</v>
      </c>
      <c r="K31" s="95" t="s">
        <v>106</v>
      </c>
      <c r="L31" s="44" t="n">
        <v>51</v>
      </c>
    </row>
    <row r="32" spans="1:12">
      <c r="A32" s="45" t="n">
        <v>14</v>
      </c>
      <c r="B32" s="95" t="s">
        <v>114</v>
      </c>
      <c r="C32" s="44" t="n">
        <v>1</v>
      </c>
      <c r="F32" s="45" t="n">
        <v>17</v>
      </c>
      <c r="G32" s="355" t="s">
        <v>12</v>
      </c>
      <c r="H32" s="44" t="s">
        <v>77</v>
      </c>
      <c r="J32" s="45" t="n">
        <v>30</v>
      </c>
      <c r="K32" s="95" t="s">
        <v>83</v>
      </c>
      <c r="L32" s="44" t="n">
        <v>51</v>
      </c>
    </row>
  </sheetData>
  <mergeCells count="6">
    <mergeCell ref="G1:H1"/>
    <mergeCell ref="K1:L1"/>
    <mergeCell ref="O1:P1"/>
    <mergeCell ref="S1:T1"/>
    <mergeCell ref="W1:X1"/>
    <mergeCell ref="B8:C8"/>
  </mergeCells>
  <printOptions>
    <extLst>
      <ext uri="smNativeData">
        <pm:pageFlags xmlns:pm="smNativeData" id="1591683921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91683921" l="56" r="56" t="56" b="56" borderId="0" fillId="0" vertical="0"/>
        <pm:footer xmlns:pm="smNativeData" id="1591683921" l="56" r="56" t="56" b="56" borderId="0" fillId="0" vertical="2"/>
      </ext>
    </extLst>
  </headerFooter>
  <legacyDrawing r:id="rId2"/>
  <extLst>
    <ext uri="smNativeData">
      <pm:sheetPrefs xmlns:pm="smNativeData" day="1591683921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92D050"/>
  </sheetPr>
  <dimension ref="A1:AT28"/>
  <sheetViews>
    <sheetView tabSelected="1" view="normal" workbookViewId="0">
      <pane xSplit="4" ySplit="3" topLeftCell="E4" activePane="bottomRight" state="frozen"/>
      <selection pane="bottomRight" activeCell="C4" sqref="C4"/>
    </sheetView>
  </sheetViews>
  <sheetFormatPr defaultRowHeight="15.40"/>
  <cols>
    <col min="1" max="1" width="3.571429" customWidth="1" style="409"/>
    <col min="2" max="2" width="8.000000" customWidth="1" style="44"/>
    <col min="3" max="3" width="5.285714" customWidth="1"/>
    <col min="4" max="4" width="20.857143" customWidth="1"/>
    <col min="5" max="5" width="5.571429" customWidth="1"/>
    <col min="6" max="6" width="5.000000" customWidth="1"/>
    <col min="7" max="7" width="4.571429" customWidth="1"/>
    <col min="8" max="8" width="3.714286" customWidth="1"/>
    <col min="9" max="9" width="4.428571" customWidth="1"/>
    <col min="10" max="10" width="5.285714" customWidth="1"/>
    <col min="11" max="12" width="4.714286" customWidth="1"/>
    <col min="13" max="13" width="10.857143" customWidth="1"/>
    <col min="14" max="14" width="4.571429" customWidth="1"/>
    <col min="15" max="15" width="4.285714" customWidth="1"/>
    <col min="16" max="16" width="5.000000" customWidth="1"/>
    <col min="17" max="17" width="4.142857" customWidth="1"/>
    <col min="18" max="19" width="5.714286" customWidth="1"/>
    <col min="20" max="20" width="12.142857" customWidth="1"/>
    <col min="21" max="21" width="9.973214" customWidth="1"/>
    <col min="22" max="22" width="10.428571" customWidth="1"/>
    <col min="23" max="23" width="7.571429" customWidth="1"/>
    <col min="24" max="30" width="6.428571" customWidth="1"/>
    <col min="31" max="31" width="7.000000" customWidth="1"/>
    <col min="32" max="33" width="8.571429" customWidth="1"/>
    <col min="34" max="34" width="6.571429" customWidth="1"/>
    <col min="35" max="40" width="7.000000" customWidth="1"/>
    <col min="41" max="41" width="7.571429" customWidth="1"/>
    <col min="42" max="42" width="4.857143" customWidth="1"/>
    <col min="43" max="43" width="3.428571" customWidth="1"/>
    <col min="44" max="44" width="3.571429" customWidth="1"/>
    <col min="45" max="45" width="5.285714" customWidth="1"/>
    <col min="46" max="46" width="7.000000" customWidth="1"/>
  </cols>
  <sheetData>
    <row r="1" spans="4:4">
      <c r="D1" s="25" t="n">
        <v>42268</v>
      </c>
    </row>
    <row r="2" spans="4:44">
      <c r="D2" s="25">
        <f aca="1">TODAY()</f>
        <v>43991</v>
      </c>
      <c r="I2" s="26">
        <f>AVERAGE(I4:I20)</f>
        <v>6</v>
      </c>
      <c r="J2" s="26"/>
      <c r="N2" s="29">
        <f>AVERAGE(N4:N20)</f>
        <v>0.996693855473249002</v>
      </c>
      <c r="O2" s="26">
        <f>AVERAGE(O4:O20)</f>
        <v>6.62352941176470988</v>
      </c>
      <c r="Q2" s="26">
        <f>AVERAGE(Q4:Q20)</f>
        <v>5.5882352941176503</v>
      </c>
      <c r="R2" s="2">
        <f>AVERAGE(R4:R20)</f>
        <v>0.886919367466929032</v>
      </c>
      <c r="S2" s="2">
        <f>AVERAGE(S4:S20)</f>
        <v>0.952491003831645955</v>
      </c>
      <c r="T2" s="30">
        <f>SUM(T4:T20)</f>
        <v>2401840</v>
      </c>
      <c r="U2" s="30">
        <f>SUM(U4:U20)</f>
        <v>335270</v>
      </c>
      <c r="V2" s="30">
        <f>SUM(V4:V20)</f>
        <v>318942</v>
      </c>
      <c r="W2" s="31">
        <f>T2/V2</f>
        <v>7.53064820562986004</v>
      </c>
      <c r="AD2" s="29">
        <f>AVERAGE(AD5:AD20)</f>
        <v>13</v>
      </c>
      <c r="AE2" s="27">
        <f>AVERAGE(AE5:AE20)</f>
        <v>145.444999999999993</v>
      </c>
      <c r="AF2" s="27"/>
      <c r="AG2" s="27">
        <f>AVERAGE(AG5:AG20)</f>
        <v>1942.5</v>
      </c>
      <c r="AH2" s="26"/>
      <c r="AO2" s="26"/>
      <c r="AP2" s="26"/>
      <c r="AQ2" s="26"/>
      <c r="AR2" s="26"/>
    </row>
    <row r="3" spans="1:46">
      <c r="A3" s="408" t="s">
        <v>115</v>
      </c>
      <c r="B3" s="14" t="s">
        <v>116</v>
      </c>
      <c r="C3" s="15" t="s">
        <v>117</v>
      </c>
      <c r="D3" s="16" t="s">
        <v>118</v>
      </c>
      <c r="E3" s="14" t="s">
        <v>119</v>
      </c>
      <c r="F3" s="14" t="s">
        <v>120</v>
      </c>
      <c r="G3" s="14" t="s">
        <v>121</v>
      </c>
      <c r="H3" s="14" t="s">
        <v>122</v>
      </c>
      <c r="I3" s="14" t="s">
        <v>123</v>
      </c>
      <c r="J3" s="14" t="s">
        <v>124</v>
      </c>
      <c r="K3" s="17" t="s">
        <v>125</v>
      </c>
      <c r="L3" s="17" t="s">
        <v>126</v>
      </c>
      <c r="M3" s="14" t="s">
        <v>127</v>
      </c>
      <c r="N3" s="14" t="s">
        <v>128</v>
      </c>
      <c r="O3" s="14" t="s">
        <v>129</v>
      </c>
      <c r="P3" s="14" t="s">
        <v>130</v>
      </c>
      <c r="Q3" s="14" t="s">
        <v>131</v>
      </c>
      <c r="R3" s="41" t="s">
        <v>132</v>
      </c>
      <c r="S3" s="41" t="s">
        <v>133</v>
      </c>
      <c r="T3" s="14" t="s">
        <v>134</v>
      </c>
      <c r="U3" s="14" t="s">
        <v>135</v>
      </c>
      <c r="V3" s="14" t="s">
        <v>136</v>
      </c>
      <c r="W3" s="14" t="s">
        <v>137</v>
      </c>
      <c r="X3" s="14" t="s">
        <v>138</v>
      </c>
      <c r="Y3" s="14" t="s">
        <v>139</v>
      </c>
      <c r="Z3" s="14" t="s">
        <v>140</v>
      </c>
      <c r="AA3" s="14" t="s">
        <v>141</v>
      </c>
      <c r="AB3" s="14" t="s">
        <v>142</v>
      </c>
      <c r="AC3" s="14" t="s">
        <v>143</v>
      </c>
      <c r="AD3" s="14" t="s">
        <v>121</v>
      </c>
      <c r="AE3" s="14" t="s">
        <v>144</v>
      </c>
      <c r="AF3" s="14" t="s">
        <v>145</v>
      </c>
      <c r="AG3" s="14" t="s">
        <v>146</v>
      </c>
      <c r="AH3" s="18" t="s">
        <v>147</v>
      </c>
      <c r="AI3" s="18" t="s">
        <v>148</v>
      </c>
      <c r="AJ3" s="18" t="s">
        <v>149</v>
      </c>
      <c r="AK3" s="18" t="s">
        <v>150</v>
      </c>
      <c r="AL3" s="18" t="s">
        <v>151</v>
      </c>
      <c r="AM3" s="18" t="s">
        <v>152</v>
      </c>
      <c r="AN3" s="18" t="s">
        <v>153</v>
      </c>
      <c r="AO3" s="18" t="s">
        <v>154</v>
      </c>
      <c r="AP3" s="14" t="s">
        <v>155</v>
      </c>
      <c r="AQ3" s="14" t="s">
        <v>156</v>
      </c>
      <c r="AR3" s="14" t="s">
        <v>157</v>
      </c>
      <c r="AS3" s="14" t="s">
        <v>158</v>
      </c>
      <c r="AT3" s="28" t="s">
        <v>159</v>
      </c>
    </row>
    <row r="4" spans="1:46">
      <c r="A4" s="410" t="s">
        <v>160</v>
      </c>
      <c r="B4" s="51" t="s">
        <v>161</v>
      </c>
      <c r="C4" s="362">
        <f>((36*112)-(E4*112)-(F4))/112</f>
        <v>10.4107142857143007</v>
      </c>
      <c r="D4" s="97" t="s">
        <v>12</v>
      </c>
      <c r="E4" s="5" t="n">
        <v>25</v>
      </c>
      <c r="F4" s="6">
        <f>$D$2-$D$1-1097-112-112-112-112-112</f>
        <v>66</v>
      </c>
      <c r="G4" s="7"/>
      <c r="H4" s="8" t="n">
        <v>4</v>
      </c>
      <c r="I4" s="9" t="n">
        <v>7.5</v>
      </c>
      <c r="J4" s="23">
        <f>LOG(I4)*4/3</f>
        <v>1.16674835118893006</v>
      </c>
      <c r="K4" s="10">
        <f>(H4)*(H4)*(I4)</f>
        <v>120</v>
      </c>
      <c r="L4" s="10">
        <f>(H4+1)*(H4+1)*I4</f>
        <v>187.5</v>
      </c>
      <c r="M4" s="64" t="n">
        <v>43415</v>
      </c>
      <c r="N4" s="65">
        <f aca="1">IF((TODAY()-M4)&gt;335,1,((TODAY()-M4)^0.64)/(336^0.64))</f>
        <v>1</v>
      </c>
      <c r="O4" s="20" t="n">
        <v>7</v>
      </c>
      <c r="P4" s="21">
        <f>O4*10+19</f>
        <v>89</v>
      </c>
      <c r="Q4" s="21" t="n">
        <v>6</v>
      </c>
      <c r="R4" s="59">
        <f>(Q4/7)^0.5</f>
        <v>0.925820099772552041</v>
      </c>
      <c r="S4" s="59">
        <f>IF(Q4=7,1,((Q4+0.99)/7)^0.5)</f>
        <v>0.999285459001294996</v>
      </c>
      <c r="T4" s="11" t="n">
        <v>73050</v>
      </c>
      <c r="U4" s="11">
        <f>T4-AT4</f>
        <v>-4310</v>
      </c>
      <c r="V4" s="11" t="n">
        <v>30780</v>
      </c>
      <c r="W4" s="12">
        <f>T4/V4</f>
        <v>2.37329434697856012</v>
      </c>
      <c r="X4" s="22" t="n">
        <v>15</v>
      </c>
      <c r="Y4" s="23">
        <f>12+2/10</f>
        <v>12.1999999999999993</v>
      </c>
      <c r="Z4" s="22" t="n">
        <v>0</v>
      </c>
      <c r="AA4" s="23" t="n">
        <v>0</v>
      </c>
      <c r="AB4" s="22" t="n">
        <v>0</v>
      </c>
      <c r="AC4" s="23" t="n">
        <v>1</v>
      </c>
      <c r="AD4" s="22" t="n">
        <v>14</v>
      </c>
      <c r="AE4" s="13">
        <f>Planning!V3</f>
        <v>125.5</v>
      </c>
      <c r="AF4" s="13" t="n">
        <v>1267</v>
      </c>
      <c r="AG4" s="13" t="n">
        <v>1599</v>
      </c>
      <c r="AH4" s="12">
        <f>(((Y4+LOG(I4)*4/3+N4)+(AB4+LOG(I4)*4/3+N4)*2)/8)*(Q4/7)^0.5</f>
        <v>2.16413284265804995</v>
      </c>
      <c r="AI4" s="24">
        <f>(Y4+J4+N4)*(Q4/7)^0.5</f>
        <v>13.3010243919048996</v>
      </c>
      <c r="AJ4" s="24">
        <f>(Y4+J4+N4)*(IF(Q4=7,(Q4/7)^0.5,((Q4+1)/7)^0.5))</f>
        <v>14.3667483511888996</v>
      </c>
      <c r="AK4" s="24">
        <f>(Z4+N4+(LOG(I4)*4/3))*(Q4/7)^0.5</f>
        <v>2.00601917467974999</v>
      </c>
      <c r="AL4" s="24">
        <f>(Z4+N4+(LOG(I4)*4/3))*(IF(Q4=7,(Q4/7)^0.5,((Q4+1)/7)^0.5))</f>
        <v>2.16674835118893006</v>
      </c>
      <c r="AM4" s="24">
        <f>(AD4+1+(LOG(I4)*4/3)+N4)*(Q4/7)^0.5</f>
        <v>15.8933206712680004</v>
      </c>
      <c r="AN4" s="24">
        <f>(AD4+1+N4+(LOG(I4)*4/3))*(IF(Q4=7,(Q4/7)^0.5,((Q4+1)/7)^0.5))</f>
        <v>17.1667483511889003</v>
      </c>
      <c r="AO4" s="12">
        <f>(AD4+LOG(I4)*4/3+N4)*0.7+(AC4+LOG(I4)*4/3+N4)*0.3</f>
        <v>12.2667483511888999</v>
      </c>
      <c r="AP4" s="21" t="n">
        <v>1</v>
      </c>
      <c r="AQ4" s="21" t="n">
        <v>3</v>
      </c>
      <c r="AR4" s="21" t="n">
        <v>2</v>
      </c>
      <c r="AS4" s="59">
        <f>IF(AQ4=4,IF(AR4=0,0.137+0.0697,0.137+0.02),IF(AQ4=3,IF(AR4=0,0.0958+0.0697,0.0958+0.02),IF(AQ4=2,IF(AR4=0,0.0415+0.0697,0.0415+0.02),IF(AQ4=1,IF(AR4=0,0.0294+0.0697,0.0294+0.02),IF(AQ4=0,IF(AR4=0,0.0063+0.0697,0.0063+0.02))))))</f>
        <v>0.115799999999999992</v>
      </c>
      <c r="AT4" s="11" t="n">
        <v>77360</v>
      </c>
    </row>
    <row r="5" spans="1:46">
      <c r="A5" s="410" t="s">
        <v>162</v>
      </c>
      <c r="B5" s="51" t="s">
        <v>161</v>
      </c>
      <c r="C5" s="362">
        <f>((36*112)-(E5*112)-(F5))/112</f>
        <v>10.1875</v>
      </c>
      <c r="D5" s="347" t="s">
        <v>71</v>
      </c>
      <c r="E5" s="5" t="n">
        <v>25</v>
      </c>
      <c r="F5" s="6">
        <f>$D$2-$D$1-880+32-112-112-112-112-112-112-112</f>
        <v>91</v>
      </c>
      <c r="G5" s="7"/>
      <c r="H5" s="93" t="n">
        <v>5</v>
      </c>
      <c r="I5" s="9" t="n">
        <v>1.39999999999999991</v>
      </c>
      <c r="J5" s="23">
        <f>LOG(I5)*4/3</f>
        <v>0.194837380904317001</v>
      </c>
      <c r="K5" s="10">
        <f>(H5)*(H5)*(I5)</f>
        <v>35</v>
      </c>
      <c r="L5" s="10">
        <f>(H5+1)*(H5+1)*I5</f>
        <v>50.3999999999999986</v>
      </c>
      <c r="M5" s="64" t="n">
        <v>43190</v>
      </c>
      <c r="N5" s="65">
        <f aca="1">IF((TODAY()-M5)&gt;335,1,((TODAY()-M5)^0.64)/(336^0.64))</f>
        <v>1</v>
      </c>
      <c r="O5" s="20" t="n">
        <v>5.79999999999999982</v>
      </c>
      <c r="P5" s="21">
        <f>O5*10+19</f>
        <v>77</v>
      </c>
      <c r="Q5" s="21" t="n">
        <v>7</v>
      </c>
      <c r="R5" s="59">
        <f>(Q5/7)^0.5</f>
        <v>1</v>
      </c>
      <c r="S5" s="59">
        <f>IF(Q5=7,1,((Q5+0.99)/7)^0.5)</f>
        <v>1</v>
      </c>
      <c r="T5" s="11" t="n">
        <v>3360</v>
      </c>
      <c r="U5" s="11">
        <f>T5-AT5</f>
        <v>1800</v>
      </c>
      <c r="V5" s="11" t="n">
        <v>1190</v>
      </c>
      <c r="W5" s="12">
        <f>T5/V5</f>
        <v>2.82352941176471006</v>
      </c>
      <c r="X5" s="22" t="n">
        <v>6</v>
      </c>
      <c r="Y5" s="23">
        <f>5+2/5</f>
        <v>5.40000000000000036</v>
      </c>
      <c r="Z5" s="22" t="n">
        <v>0</v>
      </c>
      <c r="AA5" s="23" t="n">
        <v>3</v>
      </c>
      <c r="AB5" s="22" t="n">
        <v>0</v>
      </c>
      <c r="AC5" s="23" t="n">
        <v>1</v>
      </c>
      <c r="AD5" s="22" t="n">
        <v>4</v>
      </c>
      <c r="AE5" s="13">
        <f>7.5+10+1.5+1.5+5</f>
        <v>25.5</v>
      </c>
      <c r="AF5" s="13" t="n">
        <v>324</v>
      </c>
      <c r="AG5" s="13"/>
      <c r="AH5" s="12">
        <f>(((Y5+LOG(I5)*4/3+N5)+(AB5+LOG(I5)*4/3+N5)*2)/8)*(Q5/7)^0.5</f>
        <v>1.12306401783912002</v>
      </c>
      <c r="AI5" s="24">
        <f>(Y5+J5+N5)*(Q5/7)^0.5</f>
        <v>6.5948373809043197</v>
      </c>
      <c r="AJ5" s="24">
        <f>(Y5+J5+N5)*(IF(Q5=7,(Q5/7)^0.5,((Q5+1)/7)^0.5))</f>
        <v>6.5948373809043197</v>
      </c>
      <c r="AK5" s="24">
        <f>(Z5+N5+(LOG(I5)*4/3))*(Q5/7)^0.5</f>
        <v>1.19483738090432002</v>
      </c>
      <c r="AL5" s="24">
        <f>(Z5+N5+(LOG(I5)*4/3))*(IF(Q5=7,(Q5/7)^0.5,((Q5+1)/7)^0.5))</f>
        <v>1.19483738090432002</v>
      </c>
      <c r="AM5" s="24">
        <f>(AD5+1+(LOG(I5)*4/3)+N5)*(Q5/7)^0.5</f>
        <v>6.19483738090432023</v>
      </c>
      <c r="AN5" s="24">
        <f>(AD5+1+N5+(LOG(I5)*4/3))*(IF(Q5=7,(Q5/7)^0.5,((Q5+1)/7)^0.5))</f>
        <v>6.19483738090432023</v>
      </c>
      <c r="AO5" s="12">
        <f>(AD5+LOG(I5)*4/3+N5)*0.7+(AC5+LOG(I5)*4/3+N5)*0.3</f>
        <v>4.29483738090431988</v>
      </c>
      <c r="AP5" s="21" t="n">
        <v>3</v>
      </c>
      <c r="AQ5" s="21" t="n">
        <v>0</v>
      </c>
      <c r="AR5" s="21" t="n">
        <v>2</v>
      </c>
      <c r="AS5" s="59">
        <f>IF(AQ5=4,IF(AR5=0,0.137+0.0697,0.137+0.02),IF(AQ5=3,IF(AR5=0,0.0958+0.0697,0.0958+0.02),IF(AQ5=2,IF(AR5=0,0.0415+0.0697,0.0415+0.02),IF(AQ5=1,IF(AR5=0,0.0294+0.0697,0.0294+0.02),IF(AQ5=0,IF(AR5=0,0.0063+0.0697,0.0063+0.02))))))</f>
        <v>0.0262999999999999989</v>
      </c>
      <c r="AT5" s="11" t="n">
        <v>1560</v>
      </c>
    </row>
    <row r="6" spans="1:46">
      <c r="A6" s="410" t="s">
        <v>163</v>
      </c>
      <c r="B6" s="51" t="s">
        <v>164</v>
      </c>
      <c r="C6" s="362">
        <f>((36*112)-(E6*112)-(F6))/112</f>
        <v>10.4375</v>
      </c>
      <c r="D6" s="97" t="s">
        <v>165</v>
      </c>
      <c r="E6" s="5" t="n">
        <v>25</v>
      </c>
      <c r="F6" s="6">
        <f>$D$2-$D$1-1100-112-112-112-112-112</f>
        <v>63</v>
      </c>
      <c r="G6" s="7"/>
      <c r="H6" s="93" t="n">
        <v>5</v>
      </c>
      <c r="I6" s="9" t="n">
        <v>4.40000000000000036</v>
      </c>
      <c r="J6" s="23">
        <f>LOG(I6)*4/3</f>
        <v>0.857936901981583055</v>
      </c>
      <c r="K6" s="10">
        <f>(H6)*(H6)*(I6)</f>
        <v>110</v>
      </c>
      <c r="L6" s="10">
        <f>(H6+1)*(H6+1)*I6</f>
        <v>158.400000000000006</v>
      </c>
      <c r="M6" s="64" t="n">
        <v>43395</v>
      </c>
      <c r="N6" s="65">
        <f aca="1">IF((TODAY()-M6)&gt;335,1,((TODAY()-M6)^0.64)/(336^0.64))</f>
        <v>1</v>
      </c>
      <c r="O6" s="20" t="n">
        <v>7</v>
      </c>
      <c r="P6" s="21">
        <f>O6*10+19</f>
        <v>89</v>
      </c>
      <c r="Q6" s="21" t="n">
        <v>4</v>
      </c>
      <c r="R6" s="59">
        <f>(Q6/7)^0.5</f>
        <v>0.755928946018454972</v>
      </c>
      <c r="S6" s="59">
        <f>IF(Q6=7,1,((Q6+0.99)/7)^0.5)</f>
        <v>0.844308677473554958</v>
      </c>
      <c r="T6" s="11" t="n">
        <v>142740</v>
      </c>
      <c r="U6" s="11">
        <f>T6-AT6</f>
        <v>6650</v>
      </c>
      <c r="V6" s="11" t="n">
        <v>32730</v>
      </c>
      <c r="W6" s="12">
        <f>T6/V6</f>
        <v>4.36113657195233984</v>
      </c>
      <c r="X6" s="22" t="n">
        <v>0</v>
      </c>
      <c r="Y6" s="23">
        <f>15+5/16+1/16*131/90</f>
        <v>15.4034722222222005</v>
      </c>
      <c r="Z6" s="22" t="n">
        <v>5</v>
      </c>
      <c r="AA6" s="23" t="n">
        <v>6</v>
      </c>
      <c r="AB6" s="22" t="n">
        <v>8</v>
      </c>
      <c r="AC6" s="23" t="n">
        <v>2</v>
      </c>
      <c r="AD6" s="22" t="n">
        <v>13</v>
      </c>
      <c r="AE6" s="13">
        <f>Planning!V4</f>
        <v>152.039999999999992</v>
      </c>
      <c r="AF6" s="13" t="n">
        <v>1524</v>
      </c>
      <c r="AG6" s="13" t="n">
        <v>1860</v>
      </c>
      <c r="AH6" s="12">
        <f>(((Y6+LOG(I6)*4/3+N6)+(AB6+LOG(I6)*4/3+N6)*2)/8)*(Q6/7)^0.5</f>
        <v>3.49402481381443986</v>
      </c>
      <c r="AI6" s="24">
        <f>(Y6+J6+N6)*(Q6/7)^0.5</f>
        <v>13.0483988060527007</v>
      </c>
      <c r="AJ6" s="24">
        <f>(Y6+J6+N6)*(IF(Q6=7,(Q6/7)^0.5,((Q6+1)/7)^0.5))</f>
        <v>14.5885533639304992</v>
      </c>
      <c r="AK6" s="24">
        <f>(Z6+N6+(LOG(I6)*4/3))*(Q6/7)^0.5</f>
        <v>5.1841130141759999</v>
      </c>
      <c r="AL6" s="24">
        <f>(Z6+N6+(LOG(I6)*4/3))*(IF(Q6=7,(Q6/7)^0.5,((Q6+1)/7)^0.5))</f>
        <v>5.79601455136942967</v>
      </c>
      <c r="AM6" s="24">
        <f>(AD6+1+(LOG(I6)*4/3)+N6)*(Q6/7)^0.5</f>
        <v>11.9874735283421003</v>
      </c>
      <c r="AN6" s="24">
        <f>(AD6+1+N6+(LOG(I6)*4/3))*(IF(Q6=7,(Q6/7)^0.5,((Q6+1)/7)^0.5))</f>
        <v>13.4024028439260992</v>
      </c>
      <c r="AO6" s="12">
        <f>(AD6+LOG(I6)*4/3+N6)*0.7+(AC6+LOG(I6)*4/3+N6)*0.3</f>
        <v>11.5579369019816003</v>
      </c>
      <c r="AP6" s="21" t="n">
        <v>1</v>
      </c>
      <c r="AQ6" s="21" t="n">
        <v>2</v>
      </c>
      <c r="AR6" s="21" t="n">
        <v>1</v>
      </c>
      <c r="AS6" s="59">
        <f>IF(AQ6=4,IF(AR6=0,0.137+0.0697,0.137+0.02),IF(AQ6=3,IF(AR6=0,0.0958+0.0697,0.0958+0.02),IF(AQ6=2,IF(AR6=0,0.0415+0.0697,0.0415+0.02),IF(AQ6=1,IF(AR6=0,0.0294+0.0697,0.0294+0.02),IF(AQ6=0,IF(AR6=0,0.0063+0.0697,0.0063+0.02))))))</f>
        <v>0.0615000000000000036</v>
      </c>
      <c r="AT6" s="11" t="n">
        <v>136090</v>
      </c>
    </row>
    <row r="7" spans="1:46">
      <c r="A7" s="410" t="s">
        <v>166</v>
      </c>
      <c r="B7" s="51" t="s">
        <v>164</v>
      </c>
      <c r="C7" s="362">
        <f>((36*112)-(E7*112)-(F7))/112</f>
        <v>10.6071428571429003</v>
      </c>
      <c r="D7" s="97" t="s">
        <v>30</v>
      </c>
      <c r="E7" s="5" t="n">
        <v>25</v>
      </c>
      <c r="F7" s="6">
        <f>$D$2-$D$1-1102-17-112-112-112-112-112</f>
        <v>44</v>
      </c>
      <c r="G7" s="7"/>
      <c r="H7" s="8" t="n">
        <v>4</v>
      </c>
      <c r="I7" s="9" t="n">
        <v>5.5</v>
      </c>
      <c r="J7" s="23">
        <f>LOG(I7)*4/3</f>
        <v>0.987150252658994098</v>
      </c>
      <c r="K7" s="10">
        <f>(H7)*(H7)*(I7)</f>
        <v>88</v>
      </c>
      <c r="L7" s="10">
        <f>(H7+1)*(H7+1)*I7</f>
        <v>137.5</v>
      </c>
      <c r="M7" s="64" t="n">
        <v>43410</v>
      </c>
      <c r="N7" s="65">
        <f aca="1">IF((TODAY()-M7)&gt;335,1,((TODAY()-M7)^0.64)/(336^0.64))</f>
        <v>1</v>
      </c>
      <c r="O7" s="20" t="n">
        <v>7</v>
      </c>
      <c r="P7" s="21">
        <f>O7*10+19</f>
        <v>89</v>
      </c>
      <c r="Q7" s="21" t="n">
        <v>5</v>
      </c>
      <c r="R7" s="59">
        <f>(Q7/7)^0.5</f>
        <v>0.845154254728516108</v>
      </c>
      <c r="S7" s="59">
        <f>IF(Q7=7,1,((Q7+0.99)/7)^0.5)</f>
        <v>0.925048261289262008</v>
      </c>
      <c r="T7" s="11" t="n">
        <v>152250</v>
      </c>
      <c r="U7" s="11">
        <f>T7-AT7</f>
        <v>6430</v>
      </c>
      <c r="V7" s="11" t="n">
        <v>32810</v>
      </c>
      <c r="W7" s="12">
        <f>T7/V7</f>
        <v>4.6403535507467204</v>
      </c>
      <c r="X7" s="22" t="n">
        <v>0</v>
      </c>
      <c r="Y7" s="23">
        <f>15+5/16</f>
        <v>15.3125</v>
      </c>
      <c r="Z7" s="22" t="n">
        <v>5</v>
      </c>
      <c r="AA7" s="23">
        <f>7+3/4</f>
        <v>7.75</v>
      </c>
      <c r="AB7" s="22">
        <f>8+3/6</f>
        <v>8.5</v>
      </c>
      <c r="AC7" s="23" t="n">
        <v>1</v>
      </c>
      <c r="AD7" s="22" t="n">
        <v>12</v>
      </c>
      <c r="AE7" s="13">
        <f>Planning!V6</f>
        <v>156.080000000000013</v>
      </c>
      <c r="AF7" s="13" t="n">
        <v>1501</v>
      </c>
      <c r="AG7" s="13" t="n">
        <v>1944</v>
      </c>
      <c r="AH7" s="12">
        <f>(((Y7+LOG(I7)*4/3+N7)+(AB7+LOG(I7)*4/3+N7)*2)/8)*(Q7/7)^0.5</f>
        <v>4.04342404104674991</v>
      </c>
      <c r="AI7" s="24">
        <f>(Y7+J7+N7)*(Q7/7)^0.5</f>
        <v>14.62087301635</v>
      </c>
      <c r="AJ7" s="24">
        <f>(Y7+J7+N7)*(IF(Q7=7,(Q7/7)^0.5,((Q7+1)/7)^0.5))</f>
        <v>16.0163639229470007</v>
      </c>
      <c r="AK7" s="24">
        <f>(Z7+N7+(LOG(I7)*4/3))*(Q7/7)^0.5</f>
        <v>5.90521976446216978</v>
      </c>
      <c r="AL7" s="24">
        <f>(Z7+N7+(LOG(I7)*4/3))*(IF(Q7=7,(Q7/7)^0.5,((Q7+1)/7)^0.5))</f>
        <v>6.46884414404255992</v>
      </c>
      <c r="AM7" s="24">
        <f>(AD7+1+(LOG(I7)*4/3)+N7)*(Q7/7)^0.5</f>
        <v>12.6664538022903006</v>
      </c>
      <c r="AN7" s="24">
        <f>(AD7+1+N7+(LOG(I7)*4/3))*(IF(Q7=7,(Q7/7)^0.5,((Q7+1)/7)^0.5))</f>
        <v>13.8754049422229997</v>
      </c>
      <c r="AO7" s="12">
        <f>(AD7+LOG(I7)*4/3+N7)*0.7+(AC7+LOG(I7)*4/3+N7)*0.3</f>
        <v>10.6871502526590003</v>
      </c>
      <c r="AP7" s="21" t="n">
        <v>3</v>
      </c>
      <c r="AQ7" s="21" t="n">
        <v>2</v>
      </c>
      <c r="AR7" s="21" t="n">
        <v>2</v>
      </c>
      <c r="AS7" s="59">
        <f>IF(AQ7=4,IF(AR7=0,0.137+0.0697,0.137+0.02),IF(AQ7=3,IF(AR7=0,0.0958+0.0697,0.0958+0.02),IF(AQ7=2,IF(AR7=0,0.0415+0.0697,0.0415+0.02),IF(AQ7=1,IF(AR7=0,0.0294+0.0697,0.0294+0.02),IF(AQ7=0,IF(AR7=0,0.0063+0.0697,0.0063+0.02))))))</f>
        <v>0.0615000000000000036</v>
      </c>
      <c r="AT7" s="11" t="n">
        <v>145820</v>
      </c>
    </row>
    <row r="8" spans="1:46">
      <c r="A8" s="410" t="s">
        <v>167</v>
      </c>
      <c r="B8" s="51" t="s">
        <v>164</v>
      </c>
      <c r="C8" s="362">
        <f>((36*112)-(E8*112)-(F8))/112</f>
        <v>10.1607142857143007</v>
      </c>
      <c r="D8" s="97" t="s">
        <v>74</v>
      </c>
      <c r="E8" s="5" t="n">
        <v>25</v>
      </c>
      <c r="F8" s="6">
        <f>$D$2-$D$1-1069-112-112-112-112-112</f>
        <v>94</v>
      </c>
      <c r="G8" s="7"/>
      <c r="H8" s="8" t="n">
        <v>1</v>
      </c>
      <c r="I8" s="9" t="n">
        <v>5.90000000000000036</v>
      </c>
      <c r="J8" s="23">
        <f>LOG(I8)*4/3</f>
        <v>1.02780268218953008</v>
      </c>
      <c r="K8" s="10">
        <f>(H8)*(H8)*(I8)</f>
        <v>5.90000000000000036</v>
      </c>
      <c r="L8" s="10">
        <f>(H8+1)*(H8+1)*I8</f>
        <v>23.6000000000000014</v>
      </c>
      <c r="M8" s="64" t="n">
        <v>43383</v>
      </c>
      <c r="N8" s="65">
        <f aca="1">IF((TODAY()-M8)&gt;335,1,((TODAY()-M8)^0.64)/(336^0.64))</f>
        <v>1</v>
      </c>
      <c r="O8" s="20" t="n">
        <v>7</v>
      </c>
      <c r="P8" s="21">
        <f>O8*10+19</f>
        <v>89</v>
      </c>
      <c r="Q8" s="21" t="n">
        <v>2</v>
      </c>
      <c r="R8" s="59">
        <f>(Q8/7)^0.5</f>
        <v>0.534522483824849015</v>
      </c>
      <c r="S8" s="59">
        <f>IF(Q8=7,1,((Q8+0.99)/7)^0.5)</f>
        <v>0.653561670497020941</v>
      </c>
      <c r="T8" s="11" t="n">
        <v>116260</v>
      </c>
      <c r="U8" s="11">
        <f>T8-AT8</f>
        <v>-36930</v>
      </c>
      <c r="V8" s="11" t="n">
        <v>19850</v>
      </c>
      <c r="W8" s="12">
        <f>T8/V8</f>
        <v>5.85692695214105985</v>
      </c>
      <c r="X8" s="22" t="n">
        <v>0</v>
      </c>
      <c r="Y8" s="23" t="n">
        <v>14</v>
      </c>
      <c r="Z8" s="22" t="n">
        <v>3</v>
      </c>
      <c r="AA8" s="23">
        <f>7+0.1+0.1+2/3</f>
        <v>7.8666666666666698</v>
      </c>
      <c r="AB8" s="22">
        <f>11+3/7</f>
        <v>11.4285714285714004</v>
      </c>
      <c r="AC8" s="23" t="n">
        <v>3</v>
      </c>
      <c r="AD8" s="22" t="n">
        <v>13</v>
      </c>
      <c r="AE8" s="13">
        <f>Planning!V5</f>
        <v>150.5</v>
      </c>
      <c r="AF8" s="13" t="n">
        <v>1415</v>
      </c>
      <c r="AG8" s="13" t="n">
        <v>1794</v>
      </c>
      <c r="AH8" s="12">
        <f>(((Y8+LOG(I8)*4/3+N8)+(AB8+LOG(I8)*4/3+N8)*2)/8)*(Q8/7)^0.5</f>
        <v>2.86908624073238983</v>
      </c>
      <c r="AI8" s="24">
        <f>(Y8+J8+N8)*(Q8/7)^0.5</f>
        <v>8.56722089993851021</v>
      </c>
      <c r="AJ8" s="24">
        <f>(Y8+J8+N8)*(IF(Q8=7,(Q8/7)^0.5,((Q8+1)/7)^0.5))</f>
        <v>10.4926598592785005</v>
      </c>
      <c r="AK8" s="24">
        <f>(Z8+N8+(LOG(I8)*4/3))*(Q8/7)^0.5</f>
        <v>2.68747357786519014</v>
      </c>
      <c r="AL8" s="24">
        <f>(Z8+N8+(LOG(I8)*4/3))*(IF(Q8=7,(Q8/7)^0.5,((Q8+1)/7)^0.5))</f>
        <v>3.29146948149079011</v>
      </c>
      <c r="AM8" s="24">
        <f>(AD8+1+(LOG(I8)*4/3)+N8)*(Q8/7)^0.5</f>
        <v>8.56722089993851021</v>
      </c>
      <c r="AN8" s="24">
        <f>(AD8+1+N8+(LOG(I8)*4/3))*(IF(Q8=7,(Q8/7)^0.5,((Q8+1)/7)^0.5))</f>
        <v>10.4926598592785005</v>
      </c>
      <c r="AO8" s="12">
        <f>(AD8+LOG(I8)*4/3+N8)*0.7+(AC8+LOG(I8)*4/3+N8)*0.3</f>
        <v>12.0278026821896002</v>
      </c>
      <c r="AP8" s="21" t="n">
        <v>0</v>
      </c>
      <c r="AQ8" s="21" t="n">
        <v>3</v>
      </c>
      <c r="AR8" s="21" t="n">
        <v>2</v>
      </c>
      <c r="AS8" s="59">
        <f>IF(AQ8=4,IF(AR8=0,0.137+0.0697,0.137+0.02),IF(AQ8=3,IF(AR8=0,0.0958+0.0697,0.0958+0.02),IF(AQ8=2,IF(AR8=0,0.0415+0.0697,0.0415+0.02),IF(AQ8=1,IF(AR8=0,0.0294+0.0697,0.0294+0.02),IF(AQ8=0,IF(AR8=0,0.0063+0.0697,0.0063+0.02))))))</f>
        <v>0.115799999999999992</v>
      </c>
      <c r="AT8" s="11" t="n">
        <v>153190</v>
      </c>
    </row>
    <row r="9" spans="1:46">
      <c r="A9" s="410" t="s">
        <v>168</v>
      </c>
      <c r="B9" s="51" t="s">
        <v>164</v>
      </c>
      <c r="C9" s="362">
        <f>((36*112)-(E9*112)-(F9))/112</f>
        <v>10.2946428571429003</v>
      </c>
      <c r="D9" s="97" t="s">
        <v>54</v>
      </c>
      <c r="E9" s="5" t="n">
        <v>25</v>
      </c>
      <c r="F9" s="6">
        <f>$D$2-$D$1-880+55-112-112-14-21-112-112-112-112-112</f>
        <v>79</v>
      </c>
      <c r="G9" s="7"/>
      <c r="H9" s="8" t="n">
        <v>4</v>
      </c>
      <c r="I9" s="9" t="n">
        <v>6.5</v>
      </c>
      <c r="J9" s="23">
        <f>LOG(I9)*4/3</f>
        <v>1.08388447552380995</v>
      </c>
      <c r="K9" s="10">
        <f>(H9)*(H9)*(I9)</f>
        <v>104</v>
      </c>
      <c r="L9" s="10">
        <f>(H9+1)*(H9+1)*I9</f>
        <v>162.5</v>
      </c>
      <c r="M9" s="64" t="n">
        <v>43419</v>
      </c>
      <c r="N9" s="65">
        <f aca="1">IF((TODAY()-M9)&gt;335,1,((TODAY()-M9)^0.64)/(336^0.64))</f>
        <v>1</v>
      </c>
      <c r="O9" s="20" t="n">
        <v>7</v>
      </c>
      <c r="P9" s="21">
        <f>O9*10+19</f>
        <v>89</v>
      </c>
      <c r="Q9" s="21" t="n">
        <v>6</v>
      </c>
      <c r="R9" s="59">
        <f>(Q9/7)^0.5</f>
        <v>0.925820099772552041</v>
      </c>
      <c r="S9" s="59">
        <f>IF(Q9=7,1,((Q9+0.99)/7)^0.5)</f>
        <v>0.999285459001294996</v>
      </c>
      <c r="T9" s="11" t="n">
        <v>154730</v>
      </c>
      <c r="U9" s="11">
        <f>T9-AT9</f>
        <v>27200</v>
      </c>
      <c r="V9" s="11" t="n">
        <v>11270</v>
      </c>
      <c r="W9" s="12">
        <f>T9/V9</f>
        <v>13.7293700088731008</v>
      </c>
      <c r="X9" s="22" t="n">
        <v>0</v>
      </c>
      <c r="Y9" s="23">
        <f>12+3/11</f>
        <v>12.2727272727273</v>
      </c>
      <c r="Z9" s="22" t="n">
        <v>11</v>
      </c>
      <c r="AA9" s="23" t="n">
        <v>4</v>
      </c>
      <c r="AB9" s="22" t="n">
        <v>11</v>
      </c>
      <c r="AC9" s="23" t="n">
        <v>4</v>
      </c>
      <c r="AD9" s="22" t="n">
        <v>13</v>
      </c>
      <c r="AE9" s="13">
        <f>Planning!V7</f>
        <v>156.5</v>
      </c>
      <c r="AF9" s="13" t="n">
        <v>1635</v>
      </c>
      <c r="AG9" s="13" t="n">
        <v>1950</v>
      </c>
      <c r="AH9" s="12">
        <f>(((Y9+LOG(I9)*4/3+N9)+(AB9+LOG(I9)*4/3+N9)*2)/8)*(Q9/7)^0.5</f>
        <v>4.68978577278070041</v>
      </c>
      <c r="AI9" s="24">
        <f>(Y9+J9+N9)*(Q9/7)^0.5</f>
        <v>13.2916397211615998</v>
      </c>
      <c r="AJ9" s="24">
        <f>(Y9+J9+N9)*(IF(Q9=7,(Q9/7)^0.5,((Q9+1)/7)^0.5))</f>
        <v>14.3566117482510993</v>
      </c>
      <c r="AK9" s="24">
        <f>(Z9+N9+(LOG(I9)*4/3))*(Q9/7)^0.5</f>
        <v>12.1133232305420009</v>
      </c>
      <c r="AL9" s="24">
        <f>(Z9+N9+(LOG(I9)*4/3))*(IF(Q9=7,(Q9/7)^0.5,((Q9+1)/7)^0.5))</f>
        <v>13.0838844755237993</v>
      </c>
      <c r="AM9" s="24">
        <f>(AD9+1+(LOG(I9)*4/3)+N9)*(Q9/7)^0.5</f>
        <v>14.8907835298596005</v>
      </c>
      <c r="AN9" s="24">
        <f>(AD9+1+N9+(LOG(I9)*4/3))*(IF(Q9=7,(Q9/7)^0.5,((Q9+1)/7)^0.5))</f>
        <v>16.0838844755237993</v>
      </c>
      <c r="AO9" s="12">
        <f>(AD9+LOG(I9)*4/3+N9)*0.7+(AC9+LOG(I9)*4/3+N9)*0.3</f>
        <v>12.3838844755238</v>
      </c>
      <c r="AP9" s="21" t="n">
        <v>0</v>
      </c>
      <c r="AQ9" s="21" t="n">
        <v>2</v>
      </c>
      <c r="AR9" s="21" t="n">
        <v>2</v>
      </c>
      <c r="AS9" s="59">
        <f>IF(AQ9=4,IF(AR9=0,0.137+0.0697,0.137+0.02),IF(AQ9=3,IF(AR9=0,0.0958+0.0697,0.0958+0.02),IF(AQ9=2,IF(AR9=0,0.0415+0.0697,0.0415+0.02),IF(AQ9=1,IF(AR9=0,0.0294+0.0697,0.0294+0.02),IF(AQ9=0,IF(AR9=0,0.0063+0.0697,0.0063+0.02))))))</f>
        <v>0.0615000000000000036</v>
      </c>
      <c r="AT9" s="11" t="n">
        <v>127530</v>
      </c>
    </row>
    <row r="10" spans="1:46">
      <c r="A10" s="410" t="s">
        <v>169</v>
      </c>
      <c r="B10" s="51" t="s">
        <v>164</v>
      </c>
      <c r="C10" s="362">
        <f>((36*112)-(E10*112)-(F10))/112</f>
        <v>9.91071428571429003</v>
      </c>
      <c r="D10" s="97" t="s">
        <v>70</v>
      </c>
      <c r="E10" s="5" t="n">
        <v>26</v>
      </c>
      <c r="F10" s="6">
        <f>$D$2-$D$1-1377-112-112-112</f>
        <v>10</v>
      </c>
      <c r="G10" s="7"/>
      <c r="H10" s="8" t="n">
        <v>2</v>
      </c>
      <c r="I10" s="9" t="n">
        <v>6.09999999999999964</v>
      </c>
      <c r="J10" s="23">
        <f>LOG(I10)*4/3</f>
        <v>1.04710644668102004</v>
      </c>
      <c r="K10" s="10">
        <f>(H10)*(H10)*(I10)</f>
        <v>24.3999999999999986</v>
      </c>
      <c r="L10" s="10">
        <f>(H10+1)*(H10+1)*I10</f>
        <v>54.8999999999999986</v>
      </c>
      <c r="M10" s="64" t="n">
        <v>43706</v>
      </c>
      <c r="N10" s="65">
        <f aca="1">IF((TODAY()-M10)&gt;335,1,((TODAY()-M10)^0.64)/(336^0.64))</f>
        <v>0.900002203790679012</v>
      </c>
      <c r="O10" s="20" t="n">
        <v>6.5</v>
      </c>
      <c r="P10" s="21">
        <f>O10*10+19</f>
        <v>84</v>
      </c>
      <c r="Q10" s="21" t="n">
        <v>6</v>
      </c>
      <c r="R10" s="59">
        <f>(Q10/7)^0.5</f>
        <v>0.925820099772552041</v>
      </c>
      <c r="S10" s="59">
        <f>IF(Q10=7,1,((Q10+0.99)/7)^0.5)</f>
        <v>0.999285459001294996</v>
      </c>
      <c r="T10" s="11" t="n">
        <v>175450</v>
      </c>
      <c r="U10" s="11">
        <f>T10-AT10</f>
        <v>19770</v>
      </c>
      <c r="V10" s="11" t="n">
        <v>21410</v>
      </c>
      <c r="W10" s="12">
        <f>T10/V10</f>
        <v>8.19476879962635074</v>
      </c>
      <c r="X10" s="22" t="n">
        <v>0</v>
      </c>
      <c r="Y10" s="23" t="n">
        <v>14</v>
      </c>
      <c r="Z10" s="22" t="n">
        <v>5</v>
      </c>
      <c r="AA10" s="23" t="n">
        <v>2</v>
      </c>
      <c r="AB10" s="22" t="n">
        <v>12</v>
      </c>
      <c r="AC10" s="23" t="n">
        <v>6</v>
      </c>
      <c r="AD10" s="22">
        <f>11+1/2</f>
        <v>11.5</v>
      </c>
      <c r="AE10" s="13">
        <f>Planning!V8</f>
        <v>154</v>
      </c>
      <c r="AF10" s="13" t="n">
        <v>1448</v>
      </c>
      <c r="AG10" s="13" t="n">
        <v>1792</v>
      </c>
      <c r="AH10" s="12">
        <f>(((Y10+LOG(I10)*4/3+N10)+(AB10+LOG(I10)*4/3+N10)*2)/8)*(Q10/7)^0.5</f>
        <v>5.07364759581251956</v>
      </c>
      <c r="AI10" s="24">
        <f>(Y10+J10+N10)*(Q10/7)^0.5</f>
        <v>14.7641537218633996</v>
      </c>
      <c r="AJ10" s="24">
        <f>(Y10+J10+N10)*(IF(Q10=7,(Q10/7)^0.5,((Q10+1)/7)^0.5))</f>
        <v>15.9471086504716997</v>
      </c>
      <c r="AK10" s="24">
        <f>(Z10+N10+(LOG(I10)*4/3))*(Q10/7)^0.5</f>
        <v>6.43177282391047012</v>
      </c>
      <c r="AL10" s="24">
        <f>(Z10+N10+(LOG(I10)*4/3))*(IF(Q10=7,(Q10/7)^0.5,((Q10+1)/7)^0.5))</f>
        <v>6.94710865047169968</v>
      </c>
      <c r="AM10" s="24">
        <f>(AD10+1+(LOG(I10)*4/3)+N10)*(Q10/7)^0.5</f>
        <v>13.3754235722045998</v>
      </c>
      <c r="AN10" s="24">
        <f>(AD10+1+N10+(LOG(I10)*4/3))*(IF(Q10=7,(Q10/7)^0.5,((Q10+1)/7)^0.5))</f>
        <v>14.4471086504716997</v>
      </c>
      <c r="AO10" s="12">
        <f>(AD10+LOG(I10)*4/3+N10)*0.7+(AC10+LOG(I10)*4/3+N10)*0.3</f>
        <v>11.7971086504716993</v>
      </c>
      <c r="AP10" s="21" t="n">
        <v>2</v>
      </c>
      <c r="AQ10" s="21" t="n">
        <v>2</v>
      </c>
      <c r="AR10" s="21" t="n">
        <v>1</v>
      </c>
      <c r="AS10" s="59">
        <f>IF(AQ10=4,IF(AR10=0,0.137+0.0697,0.137+0.02),IF(AQ10=3,IF(AR10=0,0.0958+0.0697,0.0958+0.02),IF(AQ10=2,IF(AR10=0,0.0415+0.0697,0.0415+0.02),IF(AQ10=1,IF(AR10=0,0.0294+0.0697,0.0294+0.02),IF(AQ10=0,IF(AR10=0,0.0063+0.0697,0.0063+0.02))))))</f>
        <v>0.0615000000000000036</v>
      </c>
      <c r="AT10" s="11" t="n">
        <v>155680</v>
      </c>
    </row>
    <row r="11" spans="1:46">
      <c r="A11" s="410" t="s">
        <v>170</v>
      </c>
      <c r="B11" s="51" t="s">
        <v>171</v>
      </c>
      <c r="C11" s="362">
        <f>((36*112)-(E11*112)-(F11))/112</f>
        <v>10.4732142857143007</v>
      </c>
      <c r="D11" s="97" t="s">
        <v>23</v>
      </c>
      <c r="E11" s="5" t="n">
        <v>25</v>
      </c>
      <c r="F11" s="6">
        <f>$D$2-$D$1-880-112-112-112-112-112-112-112</f>
        <v>59</v>
      </c>
      <c r="G11" s="7" t="s">
        <v>172</v>
      </c>
      <c r="H11" s="93" t="n">
        <v>5</v>
      </c>
      <c r="I11" s="9" t="n">
        <v>6.70000000000000018</v>
      </c>
      <c r="J11" s="23">
        <f>LOG(I11)*4/3</f>
        <v>1.10143307026776993</v>
      </c>
      <c r="K11" s="10">
        <f>(H11)*(H11)*(I11)</f>
        <v>167.5</v>
      </c>
      <c r="L11" s="10">
        <f>(H11+1)*(H11+1)*I11</f>
        <v>241.199999999999989</v>
      </c>
      <c r="M11" s="64" t="n">
        <v>43137</v>
      </c>
      <c r="N11" s="65">
        <f aca="1">IF((TODAY()-M11)&gt;335,1,((TODAY()-M11)^0.64)/(336^0.64))</f>
        <v>1</v>
      </c>
      <c r="O11" s="20" t="n">
        <v>6.29999999999999982</v>
      </c>
      <c r="P11" s="21">
        <f>O11*10+19</f>
        <v>82</v>
      </c>
      <c r="Q11" s="21" t="n">
        <v>7</v>
      </c>
      <c r="R11" s="59">
        <f>(Q11/7)^0.5</f>
        <v>1</v>
      </c>
      <c r="S11" s="59">
        <f>IF(Q11=7,1,((Q11+0.99)/7)^0.5)</f>
        <v>1</v>
      </c>
      <c r="T11" s="11" t="n">
        <v>196540</v>
      </c>
      <c r="U11" s="11">
        <f>T11-AT11</f>
        <v>23340</v>
      </c>
      <c r="V11" s="11" t="n">
        <v>18190</v>
      </c>
      <c r="W11" s="12">
        <f>T11/V11</f>
        <v>10.8048378229796995</v>
      </c>
      <c r="X11" s="22" t="n">
        <v>0</v>
      </c>
      <c r="Y11" s="23">
        <f>13+3/12</f>
        <v>13.25</v>
      </c>
      <c r="Z11" s="22" t="n">
        <v>4</v>
      </c>
      <c r="AA11" s="23" t="n">
        <v>13</v>
      </c>
      <c r="AB11" s="22">
        <f>7+3/4</f>
        <v>7.75</v>
      </c>
      <c r="AC11" s="23">
        <f>5.25+0.25+0.25+0.25+0.25+0.25+0.25+0.25</f>
        <v>7</v>
      </c>
      <c r="AD11" s="22" t="n">
        <v>13</v>
      </c>
      <c r="AE11" s="13">
        <f>Planning!V9</f>
        <v>162.5</v>
      </c>
      <c r="AF11" s="13" t="n">
        <v>1664</v>
      </c>
      <c r="AG11" s="13" t="n">
        <v>2007</v>
      </c>
      <c r="AH11" s="12">
        <f>(((Y11+LOG(I11)*4/3+N11)+(AB11+LOG(I11)*4/3+N11)*2)/8)*(Q11/7)^0.5</f>
        <v>4.38178740135040989</v>
      </c>
      <c r="AI11" s="24">
        <f>(Y11+J11+N11)*(Q11/7)^0.5</f>
        <v>15.3514330702678006</v>
      </c>
      <c r="AJ11" s="24">
        <f>(Y11+J11+N11)*(IF(Q11=7,(Q11/7)^0.5,((Q11+1)/7)^0.5))</f>
        <v>15.3514330702678006</v>
      </c>
      <c r="AK11" s="24">
        <f>(Z11+N11+(LOG(I11)*4/3))*(Q11/7)^0.5</f>
        <v>6.10143307026777038</v>
      </c>
      <c r="AL11" s="24">
        <f>(Z11+N11+(LOG(I11)*4/3))*(IF(Q11=7,(Q11/7)^0.5,((Q11+1)/7)^0.5))</f>
        <v>6.10143307026777038</v>
      </c>
      <c r="AM11" s="24">
        <f>(AD11+1+(LOG(I11)*4/3)+N11)*(Q11/7)^0.5</f>
        <v>16.1014330702677988</v>
      </c>
      <c r="AN11" s="24">
        <f>(AD11+1+N11+(LOG(I11)*4/3))*(IF(Q11=7,(Q11/7)^0.5,((Q11+1)/7)^0.5))</f>
        <v>16.1014330702677988</v>
      </c>
      <c r="AO11" s="12">
        <f>(AD11+LOG(I11)*4/3+N11)*0.7+(AC11+LOG(I11)*4/3+N11)*0.3</f>
        <v>13.3014330702677999</v>
      </c>
      <c r="AP11" s="21" t="n">
        <v>1</v>
      </c>
      <c r="AQ11" s="21" t="n">
        <v>2</v>
      </c>
      <c r="AR11" s="21" t="n">
        <v>3</v>
      </c>
      <c r="AS11" s="59">
        <f>IF(AQ11=4,IF(AR11=0,0.137+0.0697,0.137+0.02),IF(AQ11=3,IF(AR11=0,0.0958+0.0697,0.0958+0.02),IF(AQ11=2,IF(AR11=0,0.0415+0.0697,0.0415+0.02),IF(AQ11=1,IF(AR11=0,0.0294+0.0697,0.0294+0.02),IF(AQ11=0,IF(AR11=0,0.0063+0.0697,0.0063+0.02))))))</f>
        <v>0.0615000000000000036</v>
      </c>
      <c r="AT11" s="11" t="n">
        <v>173200</v>
      </c>
    </row>
    <row r="12" spans="1:46">
      <c r="A12" s="410" t="s">
        <v>173</v>
      </c>
      <c r="B12" s="51" t="s">
        <v>171</v>
      </c>
      <c r="C12" s="362">
        <f>((36*112)-(E12*112)-(F12))/112</f>
        <v>10.8214285714285996</v>
      </c>
      <c r="D12" s="97" t="s">
        <v>174</v>
      </c>
      <c r="E12" s="5" t="n">
        <v>25</v>
      </c>
      <c r="F12" s="6">
        <f>$D$2-$D$1-1479-112-112</f>
        <v>20</v>
      </c>
      <c r="G12" s="7" t="s">
        <v>175</v>
      </c>
      <c r="H12" s="8" t="n">
        <v>3</v>
      </c>
      <c r="I12" s="9" t="n">
        <v>6.70000000000000018</v>
      </c>
      <c r="J12" s="23">
        <f>LOG(I12)*4/3</f>
        <v>1.10143307026776993</v>
      </c>
      <c r="K12" s="10">
        <f>(H12)*(H12)*(I12)</f>
        <v>60.2999999999999972</v>
      </c>
      <c r="L12" s="10">
        <f>(H12+1)*(H12+1)*I12</f>
        <v>107.200000000000003</v>
      </c>
      <c r="M12" s="64" t="n">
        <v>43122</v>
      </c>
      <c r="N12" s="65">
        <f aca="1">IF((TODAY()-M12)&gt;335,1,((TODAY()-M12)^0.64)/(336^0.64))</f>
        <v>1</v>
      </c>
      <c r="O12" s="20" t="n">
        <v>7</v>
      </c>
      <c r="P12" s="21">
        <f>O12*10+19</f>
        <v>89</v>
      </c>
      <c r="Q12" s="21" t="n">
        <v>6</v>
      </c>
      <c r="R12" s="59">
        <f>(Q12/7)^0.5</f>
        <v>0.925820099772552041</v>
      </c>
      <c r="S12" s="59">
        <f>IF(Q12=7,1,((Q12+0.99)/7)^0.5)</f>
        <v>0.999285459001294996</v>
      </c>
      <c r="T12" s="11" t="n">
        <v>210060</v>
      </c>
      <c r="U12" s="11">
        <f>T12-AT12</f>
        <v>34900</v>
      </c>
      <c r="V12" s="11" t="n">
        <v>15490</v>
      </c>
      <c r="W12" s="12">
        <f>T12/V12</f>
        <v>13.5610071013557008</v>
      </c>
      <c r="X12" s="22" t="n">
        <v>0</v>
      </c>
      <c r="Y12" s="23">
        <f>12+6/10</f>
        <v>12.5999999999999996</v>
      </c>
      <c r="Z12" s="22" t="n">
        <v>3</v>
      </c>
      <c r="AA12" s="23" t="n">
        <v>13</v>
      </c>
      <c r="AB12" s="22">
        <f>9+4/6</f>
        <v>9.66666666666666963</v>
      </c>
      <c r="AC12" s="23">
        <f>4.25+0.25+0.25+0.25+0.25+0.25+0.25+0.25+0.25+0.25+0.25+0.25</f>
        <v>7</v>
      </c>
      <c r="AD12" s="22" t="n">
        <v>14</v>
      </c>
      <c r="AE12" s="13">
        <f>Planning!V14</f>
        <v>163.5</v>
      </c>
      <c r="AF12" s="13" t="n">
        <v>1633</v>
      </c>
      <c r="AG12" s="13" t="n">
        <v>2089</v>
      </c>
      <c r="AH12" s="12">
        <f>(((Y12+LOG(I12)*4/3+N12)+(AB12+LOG(I12)*4/3+N12)*2)/8)*(Q12/7)^0.5</f>
        <v>4.42514609713485019</v>
      </c>
      <c r="AI12" s="24">
        <f>(Y12+J12+N12)*(Q12/7)^0.5</f>
        <v>13.6108822319148004</v>
      </c>
      <c r="AJ12" s="24">
        <f>(Y12+J12+N12)*(IF(Q12=7,(Q12/7)^0.5,((Q12+1)/7)^0.5))</f>
        <v>14.7014330702678002</v>
      </c>
      <c r="AK12" s="24">
        <f>(Z12+N12+(LOG(I12)*4/3))*(Q12/7)^0.5</f>
        <v>4.72300927409829985</v>
      </c>
      <c r="AL12" s="24">
        <f>(Z12+N12+(LOG(I12)*4/3))*(IF(Q12=7,(Q12/7)^0.5,((Q12+1)/7)^0.5))</f>
        <v>5.10143307026777038</v>
      </c>
      <c r="AM12" s="24">
        <f>(AD12+1+(LOG(I12)*4/3)+N12)*(Q12/7)^0.5</f>
        <v>15.8328504713689995</v>
      </c>
      <c r="AN12" s="24">
        <f>(AD12+1+N12+(LOG(I12)*4/3))*(IF(Q12=7,(Q12/7)^0.5,((Q12+1)/7)^0.5))</f>
        <v>17.1014330702677988</v>
      </c>
      <c r="AO12" s="12">
        <f>(AD12+LOG(I12)*4/3+N12)*0.7+(AC12+LOG(I12)*4/3+N12)*0.3</f>
        <v>14.0014330702677992</v>
      </c>
      <c r="AP12" s="21" t="n">
        <v>2</v>
      </c>
      <c r="AQ12" s="21" t="n">
        <v>0</v>
      </c>
      <c r="AR12" s="21" t="n">
        <v>2</v>
      </c>
      <c r="AS12" s="59">
        <f>IF(AQ12=4,IF(AR12=0,0.137+0.0697,0.137+0.02),IF(AQ12=3,IF(AR12=0,0.0958+0.0697,0.0958+0.02),IF(AQ12=2,IF(AR12=0,0.0415+0.0697,0.0415+0.02),IF(AQ12=1,IF(AR12=0,0.0294+0.0697,0.0294+0.02),IF(AQ12=0,IF(AR12=0,0.0063+0.0697,0.0063+0.02))))))</f>
        <v>0.0262999999999999989</v>
      </c>
      <c r="AT12" s="11" t="n">
        <v>175160</v>
      </c>
    </row>
    <row r="13" spans="1:46">
      <c r="A13" s="410" t="s">
        <v>176</v>
      </c>
      <c r="B13" s="51" t="s">
        <v>171</v>
      </c>
      <c r="C13" s="362">
        <f>((36*112)-(E13*112)-(F13))/112</f>
        <v>10.4732142857143007</v>
      </c>
      <c r="D13" s="97" t="s">
        <v>34</v>
      </c>
      <c r="E13" s="5" t="n">
        <v>25</v>
      </c>
      <c r="F13" s="6">
        <f>$D$2-$D$1-880-112-112-112-112-112-112-112</f>
        <v>59</v>
      </c>
      <c r="G13" s="7" t="s">
        <v>172</v>
      </c>
      <c r="H13" s="32" t="n">
        <v>6</v>
      </c>
      <c r="I13" s="9" t="n">
        <v>6.59999999999999964</v>
      </c>
      <c r="J13" s="23">
        <f>LOG(I13)*4/3</f>
        <v>1.09272524738915999</v>
      </c>
      <c r="K13" s="10">
        <f>(H13)*(H13)*(I13)</f>
        <v>237.599999999999994</v>
      </c>
      <c r="L13" s="10">
        <f>(H13+1)*(H13+1)*I13</f>
        <v>323.399999999999977</v>
      </c>
      <c r="M13" s="64" t="n">
        <v>43051</v>
      </c>
      <c r="N13" s="65">
        <f aca="1">IF((TODAY()-M13)&gt;335,1,((TODAY()-M13)^0.64)/(336^0.64))</f>
        <v>1</v>
      </c>
      <c r="O13" s="20" t="n">
        <v>7</v>
      </c>
      <c r="P13" s="21">
        <f>O13*10+19</f>
        <v>89</v>
      </c>
      <c r="Q13" s="21" t="n">
        <v>5</v>
      </c>
      <c r="R13" s="59">
        <f>(Q13/7)^0.5</f>
        <v>0.845154254728516108</v>
      </c>
      <c r="S13" s="59">
        <f>IF(Q13=7,1,((Q13+0.99)/7)^0.5)</f>
        <v>0.925048261289262008</v>
      </c>
      <c r="T13" s="11" t="n">
        <v>138380</v>
      </c>
      <c r="U13" s="11">
        <f>T13-AT13</f>
        <v>17150</v>
      </c>
      <c r="V13" s="11" t="n">
        <v>10830</v>
      </c>
      <c r="W13" s="12">
        <f>T13/V13</f>
        <v>12.7774699907664004</v>
      </c>
      <c r="X13" s="22" t="n">
        <v>0</v>
      </c>
      <c r="Y13" s="23">
        <f>12+1/10</f>
        <v>12.0999999999999996</v>
      </c>
      <c r="Z13" s="22" t="n">
        <v>3</v>
      </c>
      <c r="AA13" s="23" t="n">
        <v>12</v>
      </c>
      <c r="AB13" s="22" t="n">
        <v>9</v>
      </c>
      <c r="AC13" s="23">
        <f>3.34+0.34+0.33+0.33+0.33+0.33+0.33+0.33+0.33+0.26+0.25+0.25+0.25+0.25</f>
        <v>7.25</v>
      </c>
      <c r="AD13" s="22" t="n">
        <v>14</v>
      </c>
      <c r="AE13" s="13">
        <f>Planning!V10</f>
        <v>148.5</v>
      </c>
      <c r="AF13" s="13" t="n">
        <v>1570</v>
      </c>
      <c r="AG13" s="13" t="n">
        <v>1930</v>
      </c>
      <c r="AH13" s="12">
        <f>(((Y13+LOG(I13)*4/3+N13)+(AB13+LOG(I13)*4/3+N13)*2)/8)*(Q13/7)^0.5</f>
        <v>3.84314625096933007</v>
      </c>
      <c r="AI13" s="24">
        <f>(Y13+J13+N13)*(Q13/7)^0.5</f>
        <v>11.9950421290237994</v>
      </c>
      <c r="AJ13" s="24">
        <f>(Y13+J13+N13)*(IF(Q13=7,(Q13/7)^0.5,((Q13+1)/7)^0.5))</f>
        <v>13.1399103045822994</v>
      </c>
      <c r="AK13" s="24">
        <f>(Z13+N13+(LOG(I13)*4/3))*(Q13/7)^0.5</f>
        <v>4.30413841099428041</v>
      </c>
      <c r="AL13" s="24">
        <f>(Z13+N13+(LOG(I13)*4/3))*(IF(Q13=7,(Q13/7)^0.5,((Q13+1)/7)^0.5))</f>
        <v>4.71494739665202989</v>
      </c>
      <c r="AM13" s="24">
        <f>(AD13+1+(LOG(I13)*4/3)+N13)*(Q13/7)^0.5</f>
        <v>14.4459894677364993</v>
      </c>
      <c r="AN13" s="24">
        <f>(AD13+1+N13+(LOG(I13)*4/3))*(IF(Q13=7,(Q13/7)^0.5,((Q13+1)/7)^0.5))</f>
        <v>15.8247885939226993</v>
      </c>
      <c r="AO13" s="12">
        <f>(AD13+LOG(I13)*4/3+N13)*0.7+(AC13+LOG(I13)*4/3+N13)*0.3</f>
        <v>14.0677252473892</v>
      </c>
      <c r="AP13" s="21" t="n">
        <v>2</v>
      </c>
      <c r="AQ13" s="21" t="n">
        <v>2</v>
      </c>
      <c r="AR13" s="21" t="n">
        <v>1</v>
      </c>
      <c r="AS13" s="59">
        <f>IF(AQ13=4,IF(AR13=0,0.137+0.0697,0.137+0.02),IF(AQ13=3,IF(AR13=0,0.0958+0.0697,0.0958+0.02),IF(AQ13=2,IF(AR13=0,0.0415+0.0697,0.0415+0.02),IF(AQ13=1,IF(AR13=0,0.0294+0.0697,0.0294+0.02),IF(AQ13=0,IF(AR13=0,0.0063+0.0697,0.0063+0.02))))))</f>
        <v>0.0615000000000000036</v>
      </c>
      <c r="AT13" s="11" t="n">
        <v>121230</v>
      </c>
    </row>
    <row r="14" spans="1:46">
      <c r="A14" s="410" t="s">
        <v>177</v>
      </c>
      <c r="B14" s="51" t="s">
        <v>171</v>
      </c>
      <c r="C14" s="362">
        <f>((36*112)-(E14*112)-(F14))/112</f>
        <v>10.5089285714285996</v>
      </c>
      <c r="D14" s="97" t="s">
        <v>17</v>
      </c>
      <c r="E14" s="5" t="n">
        <v>25</v>
      </c>
      <c r="F14" s="6">
        <f>$D$2-$D$1-880-4-112-112-112-112-112-112-112</f>
        <v>55</v>
      </c>
      <c r="G14" s="7" t="s">
        <v>175</v>
      </c>
      <c r="H14" s="8" t="n">
        <v>1</v>
      </c>
      <c r="I14" s="9" t="n">
        <v>7.29999999999999982</v>
      </c>
      <c r="J14" s="23">
        <f>LOG(I14)*4/3</f>
        <v>1.15109714682726993</v>
      </c>
      <c r="K14" s="10">
        <f>(H14)*(H14)*(I14)</f>
        <v>7.29999999999999982</v>
      </c>
      <c r="L14" s="10">
        <f>(H14+1)*(H14+1)*I14</f>
        <v>29.1999999999999993</v>
      </c>
      <c r="M14" s="64" t="n">
        <v>43046</v>
      </c>
      <c r="N14" s="65" t="n">
        <v>1.5</v>
      </c>
      <c r="O14" s="20" t="n">
        <v>7</v>
      </c>
      <c r="P14" s="21">
        <f>O14*10+19</f>
        <v>89</v>
      </c>
      <c r="Q14" s="21" t="n">
        <v>6</v>
      </c>
      <c r="R14" s="59">
        <f>(Q14/7)^0.5</f>
        <v>0.925820099772552041</v>
      </c>
      <c r="S14" s="59">
        <f>IF(Q14=7,1,((Q14+0.99)/7)^0.5)</f>
        <v>0.999285459001294996</v>
      </c>
      <c r="T14" s="11" t="n">
        <v>201550</v>
      </c>
      <c r="U14" s="11">
        <f>T14-AT14</f>
        <v>19090</v>
      </c>
      <c r="V14" s="11" t="n">
        <v>16030</v>
      </c>
      <c r="W14" s="12">
        <f>T14/V14</f>
        <v>12.5733000623829998</v>
      </c>
      <c r="X14" s="22" t="n">
        <v>0</v>
      </c>
      <c r="Y14" s="23">
        <f>11+3/9</f>
        <v>11.3333333333333002</v>
      </c>
      <c r="Z14" s="22" t="n">
        <v>5.70000000000000018</v>
      </c>
      <c r="AA14" s="23">
        <f>12+0.2+0.2+0.2+0.2+0.2+(7/7)+(1/8)</f>
        <v>14.125</v>
      </c>
      <c r="AB14" s="22">
        <f>9+3/6</f>
        <v>9.5</v>
      </c>
      <c r="AC14" s="23">
        <f>4.25+0.34+0.33+0.33+0.25+0.25+0.25+0.25+0.25+0.25+0.25+0.25+0.25</f>
        <v>7.5</v>
      </c>
      <c r="AD14" s="22" t="n">
        <v>14</v>
      </c>
      <c r="AE14" s="13">
        <f>Planning!V13</f>
        <v>167</v>
      </c>
      <c r="AF14" s="13" t="n">
        <v>1619</v>
      </c>
      <c r="AG14" s="13" t="n">
        <v>2048</v>
      </c>
      <c r="AH14" s="12">
        <f>(((Y14+LOG(I14)*4/3+N14)+(AB14+LOG(I14)*4/3+N14)*2)/8)*(Q14/7)^0.5</f>
        <v>4.43081584600597989</v>
      </c>
      <c r="AI14" s="24">
        <f>(Y14+J14+N14)*(Q14/7)^0.5</f>
        <v>12.9470668224046008</v>
      </c>
      <c r="AJ14" s="24">
        <f>(Y14+J14+N14)*(IF(Q14=7,(Q14/7)^0.5,((Q14+1)/7)^0.5))</f>
        <v>13.9844304801606008</v>
      </c>
      <c r="AK14" s="24">
        <f>(Z14+N14+(LOG(I14)*4/3))*(Q14/7)^0.5</f>
        <v>7.73161359368589984</v>
      </c>
      <c r="AL14" s="24">
        <f>(Z14+N14+(LOG(I14)*4/3))*(IF(Q14=7,(Q14/7)^0.5,((Q14+1)/7)^0.5))</f>
        <v>8.35109714682726967</v>
      </c>
      <c r="AM14" s="24">
        <f>(AD14+1+(LOG(I14)*4/3)+N14)*(Q14/7)^0.5</f>
        <v>16.3417405215706992</v>
      </c>
      <c r="AN14" s="24">
        <f>(AD14+1+N14+(LOG(I14)*4/3))*(IF(Q14=7,(Q14/7)^0.5,((Q14+1)/7)^0.5))</f>
        <v>17.6510971468273006</v>
      </c>
      <c r="AO14" s="12">
        <f>(AD14+LOG(I14)*4/3+N14)*0.7+(AC14+LOG(I14)*4/3+N14)*0.3</f>
        <v>14.7010971468272995</v>
      </c>
      <c r="AP14" s="21" t="n">
        <v>4</v>
      </c>
      <c r="AQ14" s="21" t="n">
        <v>3</v>
      </c>
      <c r="AR14" s="21" t="n">
        <v>2</v>
      </c>
      <c r="AS14" s="59">
        <f>IF(AQ14=4,IF(AR14=0,0.137+0.0697,0.137+0.02),IF(AQ14=3,IF(AR14=0,0.0958+0.0697,0.0958+0.02),IF(AQ14=2,IF(AR14=0,0.0415+0.0697,0.0415+0.02),IF(AQ14=1,IF(AR14=0,0.0294+0.0697,0.0294+0.02),IF(AQ14=0,IF(AR14=0,0.0063+0.0697,0.0063+0.02))))))</f>
        <v>0.115799999999999992</v>
      </c>
      <c r="AT14" s="11" t="n">
        <v>182460</v>
      </c>
    </row>
    <row r="15" spans="1:46">
      <c r="A15" s="410" t="s">
        <v>178</v>
      </c>
      <c r="B15" s="51" t="s">
        <v>171</v>
      </c>
      <c r="C15" s="362">
        <f>((36*112)-(E15*112)-(F15))/112</f>
        <v>10.5089285714285996</v>
      </c>
      <c r="D15" s="97" t="s">
        <v>179</v>
      </c>
      <c r="E15" s="5" t="n">
        <v>25</v>
      </c>
      <c r="F15" s="6">
        <f>$D$2-$D$1-880-4-112-112-112-112-112-112-112</f>
        <v>55</v>
      </c>
      <c r="G15" s="7" t="s">
        <v>172</v>
      </c>
      <c r="H15" s="32" t="n">
        <v>6</v>
      </c>
      <c r="I15" s="9" t="n">
        <v>6.29999999999999982</v>
      </c>
      <c r="J15" s="23">
        <f>LOG(I15)*4/3</f>
        <v>1.06578739927143995</v>
      </c>
      <c r="K15" s="10">
        <f>(H15)*(H15)*(I15)</f>
        <v>226.800000000000011</v>
      </c>
      <c r="L15" s="10">
        <f>(H15+1)*(H15+1)*I15</f>
        <v>308.699999999999989</v>
      </c>
      <c r="M15" s="64" t="n">
        <v>43054</v>
      </c>
      <c r="N15" s="65">
        <f aca="1">IF((TODAY()-M15)&gt;335,1,((TODAY()-M15)^0.64)/(336^0.64))</f>
        <v>1</v>
      </c>
      <c r="O15" s="20" t="n">
        <v>7</v>
      </c>
      <c r="P15" s="21">
        <f>O15*10+19</f>
        <v>89</v>
      </c>
      <c r="Q15" s="21" t="n">
        <v>6</v>
      </c>
      <c r="R15" s="59">
        <f>(Q15/7)^0.5</f>
        <v>0.925820099772552041</v>
      </c>
      <c r="S15" s="59">
        <f>IF(Q15=7,1,((Q15+0.99)/7)^0.5)</f>
        <v>0.999285459001294996</v>
      </c>
      <c r="T15" s="11" t="n">
        <v>170760</v>
      </c>
      <c r="U15" s="11">
        <f>T15-AT15</f>
        <v>52470</v>
      </c>
      <c r="V15" s="11" t="n">
        <v>11810</v>
      </c>
      <c r="W15" s="12">
        <f>T15/V15</f>
        <v>14.4589331075359997</v>
      </c>
      <c r="X15" s="22" t="n">
        <v>0</v>
      </c>
      <c r="Y15" s="23">
        <f>11+6/10</f>
        <v>11.5999999999999996</v>
      </c>
      <c r="Z15" s="22" t="n">
        <v>5</v>
      </c>
      <c r="AA15" s="23">
        <f>13+2.33/7</f>
        <v>13.3328571428570992</v>
      </c>
      <c r="AB15" s="22" t="n">
        <v>8</v>
      </c>
      <c r="AC15" s="23">
        <f>4.28+0.34+0.33+0.33+0.33*85/90+0.33+0.33+0.25+0.25+0.25+0.2+0.2+0.2+0.2</f>
        <v>7.8016666666666703</v>
      </c>
      <c r="AD15" s="22" t="n">
        <v>13</v>
      </c>
      <c r="AE15" s="13">
        <f>Planning!V15</f>
        <v>152</v>
      </c>
      <c r="AF15" s="13" t="n">
        <v>1529</v>
      </c>
      <c r="AG15" s="13" t="n">
        <v>1918</v>
      </c>
      <c r="AH15" s="12">
        <f>(((Y15+LOG(I15)*4/3+N15)+(AB15+LOG(I15)*4/3+N15)*2)/8)*(Q15/7)^0.5</f>
        <v>3.91128465525367996</v>
      </c>
      <c r="AI15" s="24">
        <f>(Y15+J15+N15)*(Q15/7)^0.5</f>
        <v>12.6520606534639004</v>
      </c>
      <c r="AJ15" s="24">
        <f>(Y15+J15+N15)*(IF(Q15=7,(Q15/7)^0.5,((Q15+1)/7)^0.5))</f>
        <v>13.6657873992713998</v>
      </c>
      <c r="AK15" s="24">
        <f>(Z15+N15+(LOG(I15)*4/3))*(Q15/7)^0.5</f>
        <v>6.54164799496513005</v>
      </c>
      <c r="AL15" s="24">
        <f>(Z15+N15+(LOG(I15)*4/3))*(IF(Q15=7,(Q15/7)^0.5,((Q15+1)/7)^0.5))</f>
        <v>7.06578739927144017</v>
      </c>
      <c r="AM15" s="24">
        <f>(AD15+1+(LOG(I15)*4/3)+N15)*(Q15/7)^0.5</f>
        <v>14.8740288929180995</v>
      </c>
      <c r="AN15" s="24">
        <f>(AD15+1+N15+(LOG(I15)*4/3))*(IF(Q15=7,(Q15/7)^0.5,((Q15+1)/7)^0.5))</f>
        <v>16.0657873992714002</v>
      </c>
      <c r="AO15" s="12">
        <f>(AD15+LOG(I15)*4/3+N15)*0.7+(AC15+LOG(I15)*4/3+N15)*0.3</f>
        <v>13.5062873992714003</v>
      </c>
      <c r="AP15" s="21" t="n">
        <v>2</v>
      </c>
      <c r="AQ15" s="21" t="n">
        <v>2</v>
      </c>
      <c r="AR15" s="21" t="n">
        <v>1</v>
      </c>
      <c r="AS15" s="59">
        <f>IF(AQ15=4,IF(AR15=0,0.137+0.0697,0.137+0.02),IF(AQ15=3,IF(AR15=0,0.0958+0.0697,0.0958+0.02),IF(AQ15=2,IF(AR15=0,0.0415+0.0697,0.0415+0.02),IF(AQ15=1,IF(AR15=0,0.0294+0.0697,0.0294+0.02),IF(AQ15=0,IF(AR15=0,0.0063+0.0697,0.0063+0.02))))))</f>
        <v>0.0615000000000000036</v>
      </c>
      <c r="AT15" s="11" t="n">
        <v>118290</v>
      </c>
    </row>
    <row r="16" spans="1:46">
      <c r="A16" s="410" t="s">
        <v>180</v>
      </c>
      <c r="B16" s="51" t="s">
        <v>181</v>
      </c>
      <c r="C16" s="362">
        <f>((36*112)-(E16*112)-(F16))/112</f>
        <v>10.7410714285714004</v>
      </c>
      <c r="D16" s="97" t="s">
        <v>182</v>
      </c>
      <c r="E16" s="5" t="n">
        <v>25</v>
      </c>
      <c r="F16" s="6">
        <f>$D$2-$D$1-1470-112-112</f>
        <v>29</v>
      </c>
      <c r="G16" s="7" t="s">
        <v>175</v>
      </c>
      <c r="H16" s="8" t="n">
        <v>2</v>
      </c>
      <c r="I16" s="9" t="n">
        <v>4.09999999999999964</v>
      </c>
      <c r="J16" s="23">
        <f>LOG(I16)*4/3</f>
        <v>0.817045142292979953</v>
      </c>
      <c r="K16" s="10">
        <f>(H16)*(H16)*(I16)</f>
        <v>16.3999999999999986</v>
      </c>
      <c r="L16" s="10">
        <f>(H16+1)*(H16+1)*I16</f>
        <v>36.8999999999999986</v>
      </c>
      <c r="M16" s="64" t="n">
        <v>43744</v>
      </c>
      <c r="N16" s="65">
        <f aca="1">IF((TODAY()-M16)&gt;335,1,((TODAY()-M16)^0.64)/(336^0.64))</f>
        <v>0.821237765312936929</v>
      </c>
      <c r="O16" s="20" t="n">
        <v>7</v>
      </c>
      <c r="P16" s="21">
        <f>O16*10+19</f>
        <v>89</v>
      </c>
      <c r="Q16" s="21" t="n">
        <v>5</v>
      </c>
      <c r="R16" s="59">
        <f>(Q16/7)^0.5</f>
        <v>0.845154254728516108</v>
      </c>
      <c r="S16" s="59">
        <f>IF(Q16=7,1,((Q16+0.99)/7)^0.5)</f>
        <v>0.925048261289262008</v>
      </c>
      <c r="T16" s="11" t="n">
        <v>90880</v>
      </c>
      <c r="U16" s="11">
        <f>T16-AT16</f>
        <v>25020</v>
      </c>
      <c r="V16" s="11" t="n">
        <v>13548</v>
      </c>
      <c r="W16" s="12">
        <f>T16/V16</f>
        <v>6.70800118098611975</v>
      </c>
      <c r="X16" s="22" t="n">
        <v>0</v>
      </c>
      <c r="Y16" s="23">
        <f>12+4/11</f>
        <v>12.3636363636364006</v>
      </c>
      <c r="Z16" s="22" t="n">
        <v>9</v>
      </c>
      <c r="AA16" s="23" t="n">
        <v>4</v>
      </c>
      <c r="AB16" s="22">
        <f>8+2/6</f>
        <v>8.33333333333333037</v>
      </c>
      <c r="AC16" s="23" t="n">
        <v>4</v>
      </c>
      <c r="AD16" s="22">
        <f>19+2/4</f>
        <v>19.5</v>
      </c>
      <c r="AE16" s="13">
        <f>Planning!V11</f>
        <v>148.5</v>
      </c>
      <c r="AF16" s="13" t="n">
        <v>1511</v>
      </c>
      <c r="AG16" s="13" t="n">
        <v>1973</v>
      </c>
      <c r="AH16" s="12">
        <f>(((Y16+LOG(I16)*4/3+N16)+(AB16+LOG(I16)*4/3+N16)*2)/8)*(Q16/7)^0.5</f>
        <v>3.58611117894440001</v>
      </c>
      <c r="AI16" s="24">
        <f>(Y16+J16+N16)*(Q16/7)^0.5</f>
        <v>11.8337816464556003</v>
      </c>
      <c r="AJ16" s="24">
        <f>(Y16+J16+N16)*(IF(Q16=7,(Q16/7)^0.5,((Q16+1)/7)^0.5))</f>
        <v>12.9632582967087995</v>
      </c>
      <c r="AK16" s="24">
        <f>(Z16+N16+(LOG(I16)*4/3))*(Q16/7)^0.5</f>
        <v>8.9909900623687804</v>
      </c>
      <c r="AL16" s="24">
        <f>(Z16+N16+(LOG(I16)*4/3))*(IF(Q16=7,(Q16/7)^0.5,((Q16+1)/7)^0.5))</f>
        <v>9.84913614292833017</v>
      </c>
      <c r="AM16" s="24">
        <f>(AD16+1+(LOG(I16)*4/3)+N16)*(Q16/7)^0.5</f>
        <v>18.7102639917467002</v>
      </c>
      <c r="AN16" s="24">
        <f>(AD16+1+N16+(LOG(I16)*4/3))*(IF(Q16=7,(Q16/7)^0.5,((Q16+1)/7)^0.5))</f>
        <v>20.4960672903126984</v>
      </c>
      <c r="AO16" s="12">
        <f>(AD16+LOG(I16)*4/3+N16)*0.7+(AC16+LOG(I16)*4/3+N16)*0.3</f>
        <v>16.4882829076058997</v>
      </c>
      <c r="AP16" s="21" t="n">
        <v>0</v>
      </c>
      <c r="AQ16" s="21" t="n">
        <v>3</v>
      </c>
      <c r="AR16" s="21" t="n">
        <v>2</v>
      </c>
      <c r="AS16" s="59">
        <f>IF(AQ16=4,IF(AR16=0,0.137+0.0697,0.137+0.02),IF(AQ16=3,IF(AR16=0,0.0958+0.0697,0.0958+0.02),IF(AQ16=2,IF(AR16=0,0.0415+0.0697,0.0415+0.02),IF(AQ16=1,IF(AR16=0,0.0294+0.0697,0.0294+0.02),IF(AQ16=0,IF(AR16=0,0.0063+0.0697,0.0063+0.02))))))</f>
        <v>0.115799999999999992</v>
      </c>
      <c r="AT16" s="11" t="n">
        <v>65860</v>
      </c>
    </row>
    <row r="17" spans="1:46">
      <c r="A17" s="410" t="s">
        <v>183</v>
      </c>
      <c r="B17" s="51" t="s">
        <v>181</v>
      </c>
      <c r="C17" s="362">
        <f>((36*112)-(E17*112)-(F17))/112</f>
        <v>6.04464285714286031</v>
      </c>
      <c r="D17" s="347" t="s">
        <v>184</v>
      </c>
      <c r="E17" s="5" t="n">
        <v>29</v>
      </c>
      <c r="F17" s="6">
        <f>$D$2-$D$1-1600-16</f>
        <v>107</v>
      </c>
      <c r="G17" s="7" t="s">
        <v>185</v>
      </c>
      <c r="H17" s="8" t="n">
        <v>1</v>
      </c>
      <c r="I17" s="9" t="n">
        <v>7.5</v>
      </c>
      <c r="J17" s="23">
        <f>LOG(I17)*4/3</f>
        <v>1.16674835118893006</v>
      </c>
      <c r="K17" s="10">
        <f>(H17)*(H17)*(I17)</f>
        <v>7.5</v>
      </c>
      <c r="L17" s="10">
        <f>(H17+1)*(H17+1)*I17</f>
        <v>30</v>
      </c>
      <c r="M17" s="64" t="n">
        <v>43415</v>
      </c>
      <c r="N17" s="65">
        <f aca="1">IF((TODAY()-M17)&gt;335,1,((TODAY()-M17)^0.64)/(336^0.64))</f>
        <v>1</v>
      </c>
      <c r="O17" s="20" t="n">
        <v>6</v>
      </c>
      <c r="P17" s="21">
        <f>O17*10+19</f>
        <v>79</v>
      </c>
      <c r="Q17" s="21" t="n">
        <v>6</v>
      </c>
      <c r="R17" s="59">
        <f>(Q17/7)^0.5</f>
        <v>0.925820099772552041</v>
      </c>
      <c r="S17" s="59">
        <f>IF(Q17=7,1,((Q17+0.99)/7)^0.5)</f>
        <v>0.999285459001294996</v>
      </c>
      <c r="T17" s="11" t="n">
        <v>165500</v>
      </c>
      <c r="U17" s="11">
        <f>T17-AT17</f>
        <v>51550</v>
      </c>
      <c r="V17" s="11" t="n">
        <v>17148</v>
      </c>
      <c r="W17" s="12">
        <f>T17/V17</f>
        <v>9.65127128528108003</v>
      </c>
      <c r="X17" s="22" t="n">
        <v>0</v>
      </c>
      <c r="Y17" s="23" t="n">
        <v>11</v>
      </c>
      <c r="Z17" s="22" t="n">
        <v>10</v>
      </c>
      <c r="AA17" s="23" t="n">
        <v>5</v>
      </c>
      <c r="AB17" s="22" t="n">
        <v>13</v>
      </c>
      <c r="AC17" s="23" t="n">
        <v>5</v>
      </c>
      <c r="AD17" s="22" t="n">
        <v>14</v>
      </c>
      <c r="AE17" s="13">
        <f>46+33+5.5+52+8+16</f>
        <v>160.5</v>
      </c>
      <c r="AF17" s="13" t="n">
        <v>1698</v>
      </c>
      <c r="AG17" s="13"/>
      <c r="AH17" s="12">
        <f>(((Y17+LOG(I17)*4/3+N17)+(AB17+LOG(I17)*4/3+N17)*2)/8)*(Q17/7)^0.5</f>
        <v>5.03417515195295007</v>
      </c>
      <c r="AI17" s="24">
        <f>(Y17+J17+N17)*(Q17/7)^0.5</f>
        <v>12.1900402721778001</v>
      </c>
      <c r="AJ17" s="24">
        <f>(Y17+J17+N17)*(IF(Q17=7,(Q17/7)^0.5,((Q17+1)/7)^0.5))</f>
        <v>13.1667483511889003</v>
      </c>
      <c r="AK17" s="24">
        <f>(Z17+N17+(LOG(I17)*4/3))*(Q17/7)^0.5</f>
        <v>11.2642201724051993</v>
      </c>
      <c r="AL17" s="24">
        <f>(Z17+N17+(LOG(I17)*4/3))*(IF(Q17=7,(Q17/7)^0.5,((Q17+1)/7)^0.5))</f>
        <v>12.1667483511889003</v>
      </c>
      <c r="AM17" s="24">
        <f>(AD17+1+(LOG(I17)*4/3)+N17)*(Q17/7)^0.5</f>
        <v>15.8933206712680004</v>
      </c>
      <c r="AN17" s="24">
        <f>(AD17+1+N17+(LOG(I17)*4/3))*(IF(Q17=7,(Q17/7)^0.5,((Q17+1)/7)^0.5))</f>
        <v>17.1667483511889003</v>
      </c>
      <c r="AO17" s="12">
        <f>(AD17+LOG(I17)*4/3+N17)*0.7+(AC17+LOG(I17)*4/3+N17)*0.3</f>
        <v>13.4667483511888992</v>
      </c>
      <c r="AP17" s="21" t="n">
        <v>2</v>
      </c>
      <c r="AQ17" s="21" t="n">
        <v>3</v>
      </c>
      <c r="AR17" s="21" t="n">
        <v>0</v>
      </c>
      <c r="AS17" s="59">
        <f>IF(AQ17=4,IF(AR17=0,0.137+0.0697,0.137+0.02),IF(AQ17=3,IF(AR17=0,0.0958+0.0697,0.0958+0.02),IF(AQ17=2,IF(AR17=0,0.0415+0.0697,0.0415+0.02),IF(AQ17=1,IF(AR17=0,0.0294+0.0697,0.0294+0.02),IF(AQ17=0,IF(AR17=0,0.0063+0.0697,0.0063+0.02))))))</f>
        <v>0.165500000000000007</v>
      </c>
      <c r="AT17" s="11" t="n">
        <v>113950</v>
      </c>
    </row>
    <row r="18" spans="1:46">
      <c r="A18" s="410" t="s">
        <v>186</v>
      </c>
      <c r="B18" s="51" t="s">
        <v>187</v>
      </c>
      <c r="C18" s="362">
        <f>((36*112)-(E18*112)-(F18))/112</f>
        <v>7.69642857142857029</v>
      </c>
      <c r="D18" s="347" t="s">
        <v>188</v>
      </c>
      <c r="E18" s="5" t="n">
        <v>28</v>
      </c>
      <c r="F18" s="6">
        <f>$D$2-$D$1-1700+11</f>
        <v>34</v>
      </c>
      <c r="G18" s="7" t="s">
        <v>175</v>
      </c>
      <c r="H18" s="8" t="n">
        <v>1</v>
      </c>
      <c r="I18" s="9" t="n">
        <v>6.79999999999999982</v>
      </c>
      <c r="J18" s="23">
        <f>LOG(I18)*4/3</f>
        <v>1.11001188360830993</v>
      </c>
      <c r="K18" s="10">
        <f>(H18)*(H18)*(I18)</f>
        <v>6.79999999999999982</v>
      </c>
      <c r="L18" s="10">
        <f>(H18+1)*(H18+1)*I18</f>
        <v>27.1999999999999993</v>
      </c>
      <c r="M18" s="64" t="n">
        <v>43687</v>
      </c>
      <c r="N18" s="65">
        <f aca="1">IF((TODAY()-M18)&gt;335,1,((TODAY()-M18)^0.64)/(336^0.64))</f>
        <v>0.937954898760798983</v>
      </c>
      <c r="O18" s="20" t="n">
        <v>5.5</v>
      </c>
      <c r="P18" s="21">
        <f>O18*10+19</f>
        <v>74</v>
      </c>
      <c r="Q18" s="21" t="n">
        <v>6</v>
      </c>
      <c r="R18" s="59">
        <f>(Q18/7)^0.5</f>
        <v>0.925820099772552041</v>
      </c>
      <c r="S18" s="59">
        <f>IF(Q18=7,1,((Q18+0.99)/7)^0.5)</f>
        <v>0.999285459001294996</v>
      </c>
      <c r="T18" s="11" t="n">
        <v>76310</v>
      </c>
      <c r="U18" s="11">
        <f>T18-AT18</f>
        <v>54300</v>
      </c>
      <c r="V18" s="11" t="n">
        <v>23508</v>
      </c>
      <c r="W18" s="12">
        <f>T18/V18</f>
        <v>3.24612897736940997</v>
      </c>
      <c r="X18" s="22" t="n">
        <v>0</v>
      </c>
      <c r="Y18" s="23" t="n">
        <v>2</v>
      </c>
      <c r="Z18" s="22" t="n">
        <v>5</v>
      </c>
      <c r="AA18" s="23" t="n">
        <v>8</v>
      </c>
      <c r="AB18" s="22" t="n">
        <v>7</v>
      </c>
      <c r="AC18" s="23" t="n">
        <v>13</v>
      </c>
      <c r="AD18" s="22" t="n">
        <v>11</v>
      </c>
      <c r="AE18" s="13">
        <f>9+14.5+14+59+10</f>
        <v>106.5</v>
      </c>
      <c r="AF18" s="13" t="n">
        <v>1177</v>
      </c>
      <c r="AG18" s="13"/>
      <c r="AH18" s="12">
        <f>(((Y18+LOG(I18)*4/3+N18)+(AB18+LOG(I18)*4/3+N18)*2)/8)*(Q18/7)^0.5</f>
        <v>2.56265850358904013</v>
      </c>
      <c r="AI18" s="24">
        <f>(Y18+J18+N18)*(Q18/7)^0.5</f>
        <v>3.74768901032894997</v>
      </c>
      <c r="AJ18" s="24">
        <f>(Y18+J18+N18)*(IF(Q18=7,(Q18/7)^0.5,((Q18+1)/7)^0.5))</f>
        <v>4.04796678236910967</v>
      </c>
      <c r="AK18" s="24">
        <f>(Z18+N18+(LOG(I18)*4/3))*(Q18/7)^0.5</f>
        <v>6.52514930964659978</v>
      </c>
      <c r="AL18" s="24">
        <f>(Z18+N18+(LOG(I18)*4/3))*(IF(Q18=7,(Q18/7)^0.5,((Q18+1)/7)^0.5))</f>
        <v>7.04796678236910967</v>
      </c>
      <c r="AM18" s="24">
        <f>(AD18+1+(LOG(I18)*4/3)+N18)*(Q18/7)^0.5</f>
        <v>13.0058900080545001</v>
      </c>
      <c r="AN18" s="24">
        <f>(AD18+1+N18+(LOG(I18)*4/3))*(IF(Q18=7,(Q18/7)^0.5,((Q18+1)/7)^0.5))</f>
        <v>14.0479667823690999</v>
      </c>
      <c r="AO18" s="12">
        <f>(AD18+LOG(I18)*4/3+N18)*0.7+(AC18+LOG(I18)*4/3+N18)*0.3</f>
        <v>13.6479667823690995</v>
      </c>
      <c r="AP18" s="21" t="n">
        <v>2</v>
      </c>
      <c r="AQ18" s="21" t="n">
        <v>1</v>
      </c>
      <c r="AR18" s="21" t="n">
        <v>1</v>
      </c>
      <c r="AS18" s="59">
        <f>IF(AQ18=4,IF(AR18=0,0.137+0.0697,0.137+0.02),IF(AQ18=3,IF(AR18=0,0.0958+0.0697,0.0958+0.02),IF(AQ18=2,IF(AR18=0,0.0415+0.0697,0.0415+0.02),IF(AQ18=1,IF(AR18=0,0.0294+0.0697,0.0294+0.02),IF(AQ18=0,IF(AR18=0,0.0063+0.0697,0.0063+0.02))))))</f>
        <v>0.049399999999999995</v>
      </c>
      <c r="AT18" s="11" t="n">
        <v>22010</v>
      </c>
    </row>
    <row r="19" spans="1:46">
      <c r="A19" s="410" t="s">
        <v>189</v>
      </c>
      <c r="B19" s="51" t="s">
        <v>187</v>
      </c>
      <c r="C19" s="362">
        <f>((36*112)-(E19*112)-(F19))/112</f>
        <v>4.73214285714286031</v>
      </c>
      <c r="D19" s="347" t="s">
        <v>190</v>
      </c>
      <c r="E19" s="5" t="n">
        <v>31</v>
      </c>
      <c r="F19" s="6">
        <f>$D$2-$D$1-1469-112-112</f>
        <v>30</v>
      </c>
      <c r="G19" s="7" t="s">
        <v>172</v>
      </c>
      <c r="H19" s="8" t="n">
        <v>4</v>
      </c>
      <c r="I19" s="9" t="n">
        <v>8.40000000000000036</v>
      </c>
      <c r="J19" s="23">
        <f>LOG(I19)*4/3</f>
        <v>1.23237238141584005</v>
      </c>
      <c r="K19" s="10">
        <f>(H19)*(H19)*(I19)</f>
        <v>134.400000000000006</v>
      </c>
      <c r="L19" s="10">
        <f>(H19+1)*(H19+1)*I19</f>
        <v>210</v>
      </c>
      <c r="M19" s="64" t="n">
        <v>43761</v>
      </c>
      <c r="N19" s="65">
        <f aca="1">IF((TODAY()-M19)&gt;335,1,((TODAY()-M19)^0.64)/(336^0.64))</f>
        <v>0.784600675180819973</v>
      </c>
      <c r="O19" s="20" t="n">
        <v>5.5</v>
      </c>
      <c r="P19" s="21">
        <f>O19*10+19</f>
        <v>74</v>
      </c>
      <c r="Q19" s="21" t="n">
        <v>5</v>
      </c>
      <c r="R19" s="59">
        <f>(Q19/7)^0.5</f>
        <v>0.845154254728516108</v>
      </c>
      <c r="S19" s="59">
        <f>IF(Q19=7,1,((Q19+0.99)/7)^0.5)</f>
        <v>0.925048261289262008</v>
      </c>
      <c r="T19" s="11" t="n">
        <v>77740</v>
      </c>
      <c r="U19" s="11">
        <f>T19-AT19</f>
        <v>-8290</v>
      </c>
      <c r="V19" s="11" t="n">
        <v>13656</v>
      </c>
      <c r="W19" s="12">
        <f>T19/V19</f>
        <v>5.69273579379027961</v>
      </c>
      <c r="X19" s="22" t="n">
        <v>0</v>
      </c>
      <c r="Y19" s="23" t="n">
        <v>3</v>
      </c>
      <c r="Z19" s="22" t="n">
        <v>9</v>
      </c>
      <c r="AA19" s="23" t="n">
        <v>2</v>
      </c>
      <c r="AB19" s="22" t="n">
        <v>13</v>
      </c>
      <c r="AC19" s="23" t="n">
        <v>11.9499999999999993</v>
      </c>
      <c r="AD19" s="22" t="n">
        <v>20</v>
      </c>
      <c r="AE19" s="13">
        <f>0+3+26+0+52+49+37</f>
        <v>167</v>
      </c>
      <c r="AF19" s="13" t="n">
        <v>1690</v>
      </c>
      <c r="AG19" s="13"/>
      <c r="AH19" s="12">
        <f>(((Y19+LOG(I19)*4/3+N19)+(AB19+LOG(I19)*4/3+N19)*2)/8)*(Q19/7)^0.5</f>
        <v>3.70292918356165979</v>
      </c>
      <c r="AI19" s="24">
        <f>(Y19+J19+N19)*(Q19/7)^0.5</f>
        <v>4.24011612464100018</v>
      </c>
      <c r="AJ19" s="24">
        <f>(Y19+J19+N19)*(IF(Q19=7,(Q19/7)^0.5,((Q19+1)/7)^0.5))</f>
        <v>4.6448144958145301</v>
      </c>
      <c r="AK19" s="24">
        <f>(Z19+N19+(LOG(I19)*4/3))*(Q19/7)^0.5</f>
        <v>9.31104165301212916</v>
      </c>
      <c r="AL19" s="24">
        <f>(Z19+N19+(LOG(I19)*4/3))*(IF(Q19=7,(Q19/7)^0.5,((Q19+1)/7)^0.5))</f>
        <v>10.1997350944499008</v>
      </c>
      <c r="AM19" s="24">
        <f>(AD19+1+(LOG(I19)*4/3)+N19)*(Q19/7)^0.5</f>
        <v>19.4528927097541988</v>
      </c>
      <c r="AN19" s="24">
        <f>(AD19+1+N19+(LOG(I19)*4/3))*(IF(Q19=7,(Q19/7)^0.5,((Q19+1)/7)^0.5))</f>
        <v>21.3095762917204006</v>
      </c>
      <c r="AO19" s="12">
        <f>(AD19+LOG(I19)*4/3+N19)*0.7+(AC19+LOG(I19)*4/3+N19)*0.3</f>
        <v>19.6019730565965986</v>
      </c>
      <c r="AP19" s="21" t="n">
        <v>4</v>
      </c>
      <c r="AQ19" s="21" t="n">
        <v>2</v>
      </c>
      <c r="AR19" s="21" t="n">
        <v>2</v>
      </c>
      <c r="AS19" s="59">
        <f>IF(AQ19=4,IF(AR19=0,0.137+0.0697,0.137+0.02),IF(AQ19=3,IF(AR19=0,0.0958+0.0697,0.0958+0.02),IF(AQ19=2,IF(AR19=0,0.0415+0.0697,0.0415+0.02),IF(AQ19=1,IF(AR19=0,0.0294+0.0697,0.0294+0.02),IF(AQ19=0,IF(AR19=0,0.0063+0.0697,0.0063+0.02))))))</f>
        <v>0.0615000000000000036</v>
      </c>
      <c r="AT19" s="11" t="n">
        <v>86030</v>
      </c>
    </row>
    <row r="20" spans="1:46">
      <c r="A20" s="410" t="s">
        <v>191</v>
      </c>
      <c r="B20" s="51" t="s">
        <v>187</v>
      </c>
      <c r="C20" s="362">
        <f>((36*112)-(E20*112)-(F20))/112</f>
        <v>10.3035714285714004</v>
      </c>
      <c r="D20" s="347" t="s">
        <v>192</v>
      </c>
      <c r="E20" s="5" t="n">
        <v>25</v>
      </c>
      <c r="F20" s="6">
        <f>$D$2-$D$1-1600-45</f>
        <v>78</v>
      </c>
      <c r="G20" s="7" t="s">
        <v>175</v>
      </c>
      <c r="H20" s="8" t="n">
        <v>1</v>
      </c>
      <c r="I20" s="9" t="n">
        <v>4.29999999999999982</v>
      </c>
      <c r="J20" s="23">
        <f>LOG(I20)*4/3</f>
        <v>0.844624607439449981</v>
      </c>
      <c r="K20" s="10">
        <f>(H20)*(H20)*(I20)</f>
        <v>4.29999999999999982</v>
      </c>
      <c r="L20" s="10">
        <f>(H20+1)*(H20+1)*I20</f>
        <v>17.1999999999999993</v>
      </c>
      <c r="M20" s="64" t="n">
        <v>43590</v>
      </c>
      <c r="N20" s="65">
        <f aca="1">IF((TODAY()-M20)&gt;335,1,((TODAY()-M20)^0.64)/(336^0.64))</f>
        <v>1</v>
      </c>
      <c r="O20" s="20" t="n">
        <v>7</v>
      </c>
      <c r="P20" s="21">
        <f>O20*10+19</f>
        <v>89</v>
      </c>
      <c r="Q20" s="21" t="n">
        <v>7</v>
      </c>
      <c r="R20" s="59">
        <f>(Q20/7)^0.5</f>
        <v>1</v>
      </c>
      <c r="S20" s="59">
        <f>IF(Q20=7,1,((Q20+0.99)/7)^0.5)</f>
        <v>1</v>
      </c>
      <c r="T20" s="11" t="n">
        <v>256280</v>
      </c>
      <c r="U20" s="11">
        <f>T20-AT20</f>
        <v>45130</v>
      </c>
      <c r="V20" s="11" t="n">
        <v>28692</v>
      </c>
      <c r="W20" s="12">
        <f>T20/V20</f>
        <v>8.93210651052558013</v>
      </c>
      <c r="X20" s="22" t="n">
        <v>0</v>
      </c>
      <c r="Y20" s="23" t="n">
        <v>3</v>
      </c>
      <c r="Z20" s="22" t="n">
        <v>7</v>
      </c>
      <c r="AA20" s="23" t="n">
        <v>9</v>
      </c>
      <c r="AB20" s="22" t="n">
        <v>12</v>
      </c>
      <c r="AC20" s="23" t="n">
        <v>14</v>
      </c>
      <c r="AD20" s="22" t="n">
        <v>9</v>
      </c>
      <c r="AE20" s="13">
        <f>3+16+17.5+43+70+7</f>
        <v>156.5</v>
      </c>
      <c r="AF20" s="13" t="n">
        <v>1688</v>
      </c>
      <c r="AG20" s="13" t="n">
        <v>2005</v>
      </c>
      <c r="AH20" s="12">
        <f>(((Y20+LOG(I20)*4/3+N20)+(AB20+LOG(I20)*4/3+N20)*2)/8)*(Q20/7)^0.5</f>
        <v>4.06673422778981042</v>
      </c>
      <c r="AI20" s="24">
        <f>(Y20+J20+N20)*(Q20/7)^0.5</f>
        <v>4.84462460743945034</v>
      </c>
      <c r="AJ20" s="24">
        <f>(Y20+J20+N20)*(IF(Q20=7,(Q20/7)^0.5,((Q20+1)/7)^0.5))</f>
        <v>4.84462460743945034</v>
      </c>
      <c r="AK20" s="24">
        <f>(Z20+N20+(LOG(I20)*4/3))*(Q20/7)^0.5</f>
        <v>8.84462460743944945</v>
      </c>
      <c r="AL20" s="24">
        <f>(Z20+N20+(LOG(I20)*4/3))*(IF(Q20=7,(Q20/7)^0.5,((Q20+1)/7)^0.5))</f>
        <v>8.84462460743944945</v>
      </c>
      <c r="AM20" s="24">
        <f>(AD20+1+(LOG(I20)*4/3)+N20)*(Q20/7)^0.5</f>
        <v>11.8446246074394992</v>
      </c>
      <c r="AN20" s="24">
        <f>(AD20+1+N20+(LOG(I20)*4/3))*(IF(Q20=7,(Q20/7)^0.5,((Q20+1)/7)^0.5))</f>
        <v>11.8446246074394992</v>
      </c>
      <c r="AO20" s="12">
        <f>(AD20+LOG(I20)*4/3+N20)*0.7+(AC20+LOG(I20)*4/3+N20)*0.3</f>
        <v>12.3446246074394992</v>
      </c>
      <c r="AP20" s="21" t="n">
        <v>1</v>
      </c>
      <c r="AQ20" s="21" t="n">
        <v>0</v>
      </c>
      <c r="AR20" s="21" t="n">
        <v>1</v>
      </c>
      <c r="AS20" s="59">
        <f>IF(AQ20=4,IF(AR20=0,0.137+0.0697,0.137+0.02),IF(AQ20=3,IF(AR20=0,0.0958+0.0697,0.0958+0.02),IF(AQ20=2,IF(AR20=0,0.0415+0.0697,0.0415+0.02),IF(AQ20=1,IF(AR20=0,0.0294+0.0697,0.0294+0.02),IF(AQ20=0,IF(AR20=0,0.0063+0.0697,0.0063+0.02))))))</f>
        <v>0.0262999999999999989</v>
      </c>
      <c r="AT20" s="11" t="n">
        <v>211150</v>
      </c>
    </row>
    <row r="21" spans="22:22">
      <c r="V21" s="46"/>
    </row>
    <row r="23" spans="4:22">
      <c r="D23" s="25"/>
      <c r="T23" s="46"/>
      <c r="V23" s="46"/>
    </row>
    <row r="24" spans="4:33">
      <c r="D24" s="25"/>
      <c r="AG24" s="46"/>
    </row>
    <row r="25" spans="4:4">
      <c r="D25" s="63"/>
    </row>
    <row r="26" spans="4:4">
      <c r="D26" s="1"/>
    </row>
    <row r="27" spans="13:22">
      <c r="M27" s="25"/>
      <c r="T27" s="46"/>
      <c r="V27" s="46"/>
    </row>
    <row r="28" spans="13:13">
      <c r="M28" s="25"/>
    </row>
  </sheetData>
  <conditionalFormatting sqref="AT4:AT20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{5A3296F9-FAC8-8A35-72AD-E20A3ABEBF67}</x14:id>
        </ext>
      </extLst>
    </cfRule>
  </conditionalFormatting>
  <conditionalFormatting sqref="X4:AD20">
    <cfRule type="colorScale" priority="2">
      <colorScale>
        <cfvo type="min"/>
        <cfvo type="max"/>
        <color rgb="FFFCFCFF"/>
        <color rgb="FFF8696B"/>
      </colorScale>
    </cfRule>
  </conditionalFormatting>
  <conditionalFormatting sqref="X4:AD20">
    <cfRule type="cellIs" dxfId="0" priority="3" operator="greaterThan">
      <formula>10</formula>
    </cfRule>
  </conditionalFormatting>
  <conditionalFormatting sqref="W6">
    <cfRule type="dataBar" priority="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{69F0F7A5-9F43-0F06-695A-5C46DACA9E4D}</x14:id>
        </ext>
      </extLst>
    </cfRule>
  </conditionalFormatting>
  <conditionalFormatting sqref="U2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{2493222F-36ED-0FEA-8981-412A9F2FAF45}</x14:id>
        </ext>
      </extLst>
    </cfRule>
  </conditionalFormatting>
  <conditionalFormatting sqref="W4:W5 W7:W20">
    <cfRule type="dataBar" priority="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{027FED5A-55A3-1B61-6831-90794577982E}</x14:id>
        </ext>
      </extLst>
    </cfRule>
  </conditionalFormatting>
  <conditionalFormatting sqref="C4:C20">
    <cfRule type="colorScale" priority="7">
      <colorScale>
        <cfvo type="min"/>
        <cfvo type="max"/>
        <color rgb="FFFFEF9C"/>
        <color rgb="FF63BE7B"/>
      </colorScale>
    </cfRule>
  </conditionalFormatting>
  <conditionalFormatting sqref="T4:T20">
    <cfRule type="dataBar" priority="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{3E0A4625-2E17-587E-0A28-A302B2A3F54D}</x14:id>
        </ext>
      </extLst>
    </cfRule>
  </conditionalFormatting>
  <conditionalFormatting sqref="V4:V20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{1064AC7D-F2E7-9B47-97CD-EC08892FE91D}</x14:id>
        </ext>
      </extLst>
    </cfRule>
  </conditionalFormatting>
  <conditionalFormatting sqref="AM4:AN2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:AH2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4:AO2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4:N20">
    <cfRule type="colorScale" priority="13">
      <colorScale>
        <cfvo type="min"/>
        <cfvo type="max"/>
        <color rgb="FFFFEF9C"/>
        <color rgb="FF63BE7B"/>
      </colorScale>
    </cfRule>
  </conditionalFormatting>
  <conditionalFormatting sqref="I4:I2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4:U20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{4EB0E26A-6490-2A52-A06C-D9190312026E}</x14:id>
        </ext>
      </extLst>
    </cfRule>
  </conditionalFormatting>
  <conditionalFormatting sqref="P4:P2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4:AL20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4:AJ2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4:L20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:AG20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{4D58E88C-6445-B146-93F7-395EAEBE264A}</x14:id>
        </ext>
      </extLst>
    </cfRule>
  </conditionalFormatting>
  <conditionalFormatting sqref="AE4:AE20">
    <cfRule type="dataBar" priority="2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{61C27C20-19C2-F59B-0B8C-C1384B9B0E2D}</x14:id>
        </ext>
      </extLst>
    </cfRule>
  </conditionalFormatting>
  <conditionalFormatting sqref="AS4:AS20">
    <cfRule type="colorScale" priority="22">
      <colorScale>
        <cfvo type="min"/>
        <cfvo type="max"/>
        <color rgb="FFFCFCFF"/>
        <color rgb="FFF8696B"/>
      </colorScale>
    </cfRule>
  </conditionalFormatting>
  <conditionalFormatting sqref="R4:S20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rintOptions>
    <extLst>
      <ext uri="smNativeData">
        <pm:pageFlags xmlns:pm="smNativeData" id="1591683921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91683921" l="56" r="56" t="56" b="56" borderId="0" fillId="0" vertical="0"/>
        <pm:footer xmlns:pm="smNativeData" id="1591683921" l="56" r="56" t="56" b="56" borderId="0" fillId="0" vertical="2"/>
      </ext>
    </extLst>
  </headerFooter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A3296F9-FAC8-8A35-72AD-E20A3ABEBF6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AT4:AT20</xm:sqref>
        </x14:conditionalFormatting>
        <x14:conditionalFormatting xmlns:xm="http://schemas.microsoft.com/office/excel/2006/main">
          <x14:cfRule type="dataBar" id="{69F0F7A5-9F43-0F06-695A-5C46DACA9E4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W6</xm:sqref>
        </x14:conditionalFormatting>
        <x14:conditionalFormatting xmlns:xm="http://schemas.microsoft.com/office/excel/2006/main">
          <x14:cfRule type="dataBar" id="{2493222F-36ED-0FEA-8981-412A9F2FAF4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</xm:sqref>
        </x14:conditionalFormatting>
        <x14:conditionalFormatting xmlns:xm="http://schemas.microsoft.com/office/excel/2006/main">
          <x14:cfRule type="dataBar" id="{027FED5A-55A3-1B61-6831-90794577982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W4:W5 W7:W20</xm:sqref>
        </x14:conditionalFormatting>
        <x14:conditionalFormatting xmlns:xm="http://schemas.microsoft.com/office/excel/2006/main">
          <x14:cfRule type="dataBar" id="{3E0A4625-2E17-587E-0A28-A302B2A3F54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T4:T20</xm:sqref>
        </x14:conditionalFormatting>
        <x14:conditionalFormatting xmlns:xm="http://schemas.microsoft.com/office/excel/2006/main">
          <x14:cfRule type="dataBar" id="{1064AC7D-F2E7-9B47-97CD-EC08892FE91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V4:V20</xm:sqref>
        </x14:conditionalFormatting>
        <x14:conditionalFormatting xmlns:xm="http://schemas.microsoft.com/office/excel/2006/main">
          <x14:cfRule type="dataBar" id="{4EB0E26A-6490-2A52-A06C-D9190312026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U4:U20</xm:sqref>
        </x14:conditionalFormatting>
        <x14:conditionalFormatting xmlns:xm="http://schemas.microsoft.com/office/excel/2006/main">
          <x14:cfRule type="dataBar" id="{4D58E88C-6445-B146-93F7-395EAEBE264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AF4:AG20</xm:sqref>
        </x14:conditionalFormatting>
        <x14:conditionalFormatting xmlns:xm="http://schemas.microsoft.com/office/excel/2006/main">
          <x14:cfRule type="dataBar" id="{61C27C20-19C2-F59B-0B8C-C1384B9B0E2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AE4:AE20</xm:sqref>
        </x14:conditionalFormatting>
      </x14:conditionalFormattings>
    </ext>
    <ext uri="smNativeData">
      <pm:sheetPrefs xmlns:pm="smNativeData" day="1591683921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92D050"/>
  </sheetPr>
  <dimension ref="A1:BF120"/>
  <sheetViews>
    <sheetView view="normal" workbookViewId="0">
      <selection activeCell="S7" sqref="S7"/>
    </sheetView>
  </sheetViews>
  <sheetFormatPr baseColWidth="10" defaultColWidth="10.669643" defaultRowHeight="15.40"/>
  <cols>
    <col min="1" max="1" width="24.714286" customWidth="1"/>
    <col min="2" max="2" width="6.142857" customWidth="1"/>
    <col min="3" max="3" width="5.428571" customWidth="1"/>
    <col min="4" max="4" width="5.571429" customWidth="1"/>
    <col min="5" max="5" width="5.000000" customWidth="1"/>
    <col min="6" max="6" width="11.857143" customWidth="1"/>
    <col min="7" max="7" width="6.142857" customWidth="1"/>
    <col min="8" max="8" width="6.285714" customWidth="1"/>
    <col min="9" max="9" width="6.142857" customWidth="1"/>
    <col min="10" max="10" width="6.714286" customWidth="1"/>
    <col min="11" max="11" width="5.000000" customWidth="1"/>
    <col min="12" max="12" width="5.285714" customWidth="1"/>
    <col min="13" max="13" width="5.571429" customWidth="1"/>
    <col min="14" max="14" width="5.428571" customWidth="1"/>
    <col min="15" max="15" width="5.571429" customWidth="1"/>
    <col min="16" max="16" width="5.000000" customWidth="1"/>
    <col min="17" max="17" width="5.571429" customWidth="1"/>
    <col min="18" max="18" width="5.142857" customWidth="1"/>
    <col min="19" max="21" width="5.571429" customWidth="1"/>
    <col min="22" max="22" width="4.000000" customWidth="1"/>
    <col min="23" max="23" width="5.000000" customWidth="1"/>
    <col min="24" max="24" width="5.428571" customWidth="1"/>
    <col min="25" max="25" width="5.571429" customWidth="1"/>
    <col min="26" max="26" width="5.000000" customWidth="1"/>
    <col min="27" max="27" width="4.000000" customWidth="1"/>
    <col min="28" max="28" width="7.285714" customWidth="1"/>
    <col min="29" max="29" width="6.000000" customWidth="1"/>
    <col min="30" max="32" width="4.000000" customWidth="1"/>
    <col min="33" max="33" width="4.714286" customWidth="1"/>
    <col min="34" max="34" width="4.000000" customWidth="1"/>
    <col min="35" max="35" width="18.428571" customWidth="1"/>
    <col min="37" max="37" width="28.428571" customWidth="1"/>
    <col min="38" max="38" width="5.285714" customWidth="1"/>
    <col min="39" max="39" width="6.285714" customWidth="1"/>
    <col min="40" max="40" width="5.571429" customWidth="1" style="43"/>
    <col min="41" max="41" width="5.000000" customWidth="1"/>
    <col min="42" max="42" width="5.571429" customWidth="1"/>
    <col min="43" max="43" width="5.000000" customWidth="1"/>
    <col min="44" max="44" width="7.571429" customWidth="1"/>
    <col min="45" max="45" width="7.428571" customWidth="1"/>
    <col min="46" max="46" width="7.285714" customWidth="1"/>
    <col min="47" max="47" width="5.000000" customWidth="1"/>
    <col min="48" max="48" width="7.000000" customWidth="1"/>
    <col min="49" max="49" width="5.142857" customWidth="1"/>
    <col min="50" max="50" width="8.000000" customWidth="1"/>
    <col min="51" max="52" width="7.428571" customWidth="1"/>
    <col min="53" max="53" width="5.000000" customWidth="1"/>
    <col min="54" max="54" width="5.571429" customWidth="1"/>
    <col min="55" max="55" width="11.571429" customWidth="1"/>
  </cols>
  <sheetData>
    <row r="1" spans="1:55">
      <c r="A1" s="116" t="s">
        <v>193</v>
      </c>
      <c r="B1" s="116"/>
      <c r="C1" s="116"/>
      <c r="D1" s="117"/>
      <c r="E1" s="116"/>
      <c r="F1" s="117"/>
      <c r="G1" s="118"/>
      <c r="H1" s="117"/>
      <c r="I1" s="117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7"/>
      <c r="Y1" s="117"/>
      <c r="Z1" s="117"/>
      <c r="AA1" s="117"/>
      <c r="AB1" s="117"/>
      <c r="AC1" s="119"/>
      <c r="AD1" s="119"/>
      <c r="AE1" s="119"/>
      <c r="AF1" s="119"/>
      <c r="AG1" s="119"/>
      <c r="AH1" s="119"/>
      <c r="AI1" s="118"/>
      <c r="AK1" s="228" t="s">
        <v>194</v>
      </c>
      <c r="AL1" s="229"/>
      <c r="AM1" s="229"/>
      <c r="AN1" s="229"/>
      <c r="AO1" s="229"/>
      <c r="AP1" s="229"/>
      <c r="AQ1" s="229"/>
      <c r="AR1" s="229"/>
      <c r="AS1" s="229"/>
      <c r="AT1" s="229"/>
      <c r="AU1" s="229"/>
      <c r="AV1" s="229"/>
      <c r="AW1" s="229"/>
      <c r="AX1" s="229"/>
      <c r="AY1" s="229"/>
      <c r="AZ1" s="229"/>
      <c r="BA1" s="229"/>
      <c r="BB1" s="229"/>
      <c r="BC1" s="229"/>
    </row>
    <row r="2" spans="1:55">
      <c r="A2" s="120" t="s">
        <v>195</v>
      </c>
      <c r="B2" s="120" t="s">
        <v>196</v>
      </c>
      <c r="C2" s="120" t="s">
        <v>120</v>
      </c>
      <c r="D2" s="121" t="s">
        <v>197</v>
      </c>
      <c r="E2" s="120" t="s">
        <v>198</v>
      </c>
      <c r="F2" s="121" t="s">
        <v>199</v>
      </c>
      <c r="G2" s="122" t="s">
        <v>200</v>
      </c>
      <c r="H2" s="121" t="s">
        <v>201</v>
      </c>
      <c r="I2" s="121" t="s">
        <v>122</v>
      </c>
      <c r="J2" s="120" t="s">
        <v>161</v>
      </c>
      <c r="K2" s="120" t="s">
        <v>202</v>
      </c>
      <c r="L2" s="123" t="s">
        <v>203</v>
      </c>
      <c r="M2" s="123" t="s">
        <v>202</v>
      </c>
      <c r="N2" s="120" t="s">
        <v>204</v>
      </c>
      <c r="O2" s="120" t="s">
        <v>202</v>
      </c>
      <c r="P2" s="123" t="s">
        <v>205</v>
      </c>
      <c r="Q2" s="123" t="s">
        <v>202</v>
      </c>
      <c r="R2" s="120" t="s">
        <v>206</v>
      </c>
      <c r="S2" s="120" t="s">
        <v>202</v>
      </c>
      <c r="T2" s="123" t="s">
        <v>207</v>
      </c>
      <c r="U2" s="123" t="s">
        <v>202</v>
      </c>
      <c r="V2" s="120" t="s">
        <v>208</v>
      </c>
      <c r="W2" s="120" t="s">
        <v>202</v>
      </c>
      <c r="X2" s="124" t="s">
        <v>209</v>
      </c>
      <c r="Y2" s="124" t="s">
        <v>210</v>
      </c>
      <c r="Z2" s="121" t="s">
        <v>211</v>
      </c>
      <c r="AA2" s="121" t="s">
        <v>208</v>
      </c>
      <c r="AB2" s="121" t="s">
        <v>212</v>
      </c>
      <c r="AC2" s="125" t="s">
        <v>213</v>
      </c>
      <c r="AD2" s="125" t="s">
        <v>214</v>
      </c>
      <c r="AE2" s="125" t="s">
        <v>215</v>
      </c>
      <c r="AF2" s="125" t="s">
        <v>216</v>
      </c>
      <c r="AG2" s="125" t="s">
        <v>217</v>
      </c>
      <c r="AH2" s="125" t="s">
        <v>218</v>
      </c>
      <c r="AI2" s="122" t="s">
        <v>219</v>
      </c>
      <c r="AK2" s="205" t="s">
        <v>195</v>
      </c>
      <c r="AL2" s="205" t="s">
        <v>196</v>
      </c>
      <c r="AM2" s="205" t="s">
        <v>120</v>
      </c>
      <c r="AN2" s="230" t="s">
        <v>197</v>
      </c>
      <c r="AO2" s="232" t="s">
        <v>161</v>
      </c>
      <c r="AP2" s="232" t="s">
        <v>220</v>
      </c>
      <c r="AQ2" s="232" t="s">
        <v>203</v>
      </c>
      <c r="AR2" s="232" t="s">
        <v>221</v>
      </c>
      <c r="AS2" s="232" t="s">
        <v>204</v>
      </c>
      <c r="AT2" s="232" t="s">
        <v>222</v>
      </c>
      <c r="AU2" s="232" t="s">
        <v>205</v>
      </c>
      <c r="AV2" s="232" t="s">
        <v>223</v>
      </c>
      <c r="AW2" s="232" t="s">
        <v>207</v>
      </c>
      <c r="AX2" s="232" t="s">
        <v>224</v>
      </c>
      <c r="AY2" s="232" t="s">
        <v>206</v>
      </c>
      <c r="AZ2" s="232" t="s">
        <v>225</v>
      </c>
      <c r="BA2" s="232" t="s">
        <v>208</v>
      </c>
      <c r="BB2" s="232" t="s">
        <v>226</v>
      </c>
      <c r="BC2" s="232" t="s">
        <v>227</v>
      </c>
    </row>
    <row r="3" spans="1:55">
      <c r="A3" s="126" t="s">
        <v>228</v>
      </c>
      <c r="B3" s="127" t="n">
        <v>16</v>
      </c>
      <c r="C3" s="128">
        <f>A33-2100-6-93-112+6-36-112-112-12-112</f>
        <v>304</v>
      </c>
      <c r="D3" s="129" t="s">
        <v>172</v>
      </c>
      <c r="E3" s="130">
        <f aca="1">F3-TODAY()</f>
        <v>-192</v>
      </c>
      <c r="F3" s="131" t="n">
        <v>43799</v>
      </c>
      <c r="G3" s="182" t="s">
        <v>229</v>
      </c>
      <c r="H3" s="159" t="s">
        <v>230</v>
      </c>
      <c r="I3" s="132" t="s">
        <v>231</v>
      </c>
      <c r="J3" s="127"/>
      <c r="K3" s="138" t="n">
        <v>1.99000000000000004</v>
      </c>
      <c r="L3" s="127"/>
      <c r="M3" s="138" t="n">
        <v>3.99000000000000021</v>
      </c>
      <c r="N3" s="134" t="n">
        <v>3</v>
      </c>
      <c r="O3" s="135" t="n">
        <v>3.99000000000000021</v>
      </c>
      <c r="P3" s="134" t="n">
        <v>5</v>
      </c>
      <c r="Q3" s="360" t="n">
        <v>5.99000000000000021</v>
      </c>
      <c r="R3" s="134" t="n">
        <v>4</v>
      </c>
      <c r="S3" s="135" t="n">
        <v>4.99000000000000021</v>
      </c>
      <c r="T3" s="134" t="n">
        <v>6</v>
      </c>
      <c r="U3" s="360" t="n">
        <v>6.99000000000000021</v>
      </c>
      <c r="V3" s="127"/>
      <c r="W3" s="127"/>
      <c r="X3" s="139">
        <f>7-(COUNTBLANK(J3)+COUNTBLANK(L3)+COUNTBLANK(N3)+COUNTBLANK(P3)+COUNTBLANK(R3)+COUNTBLANK(T3)+COUNTBLANK(V3))</f>
        <v>4</v>
      </c>
      <c r="Y3" s="132">
        <f>COUNT(W3,S3,U3,Q3,O3,M3,K3)</f>
        <v>6</v>
      </c>
      <c r="Z3" s="132"/>
      <c r="AA3" s="132"/>
      <c r="AB3" s="132"/>
      <c r="AC3" s="140"/>
      <c r="AD3" s="140"/>
      <c r="AE3" s="140"/>
      <c r="AF3" s="140"/>
      <c r="AG3" s="140"/>
      <c r="AH3" s="140" t="n">
        <v>7.5</v>
      </c>
      <c r="AI3" s="140" t="s">
        <v>232</v>
      </c>
      <c r="AK3" s="211" t="s">
        <v>233</v>
      </c>
      <c r="AL3" s="211" t="n">
        <v>17</v>
      </c>
      <c r="AM3" s="213" t="n">
        <v>0</v>
      </c>
      <c r="AN3" s="231"/>
      <c r="AO3" s="206"/>
      <c r="AP3" s="206"/>
      <c r="AQ3" s="207" t="n">
        <v>4</v>
      </c>
      <c r="AR3" s="207" t="n">
        <v>4.99000000000000021</v>
      </c>
      <c r="AS3" s="207" t="n">
        <v>5</v>
      </c>
      <c r="AT3" s="208" t="n">
        <v>5.99000000000000021</v>
      </c>
      <c r="AU3" s="207" t="n">
        <v>2</v>
      </c>
      <c r="AV3" s="207" t="n">
        <v>2.99000000000000021</v>
      </c>
      <c r="AW3" s="206"/>
      <c r="AX3" s="209" t="n">
        <v>3.99000000000000021</v>
      </c>
      <c r="AY3" s="207" t="n">
        <v>5</v>
      </c>
      <c r="AZ3" s="208" t="n">
        <v>5.99000000000000021</v>
      </c>
      <c r="BA3" s="207" t="n">
        <v>0</v>
      </c>
      <c r="BB3" s="207" t="n">
        <v>0.990000000000000036</v>
      </c>
      <c r="BC3" s="210" t="n">
        <v>41367</v>
      </c>
    </row>
    <row r="4" spans="1:56">
      <c r="A4" s="141" t="s">
        <v>234</v>
      </c>
      <c r="B4" s="141"/>
      <c r="C4" s="141"/>
      <c r="D4" s="142"/>
      <c r="E4" s="141"/>
      <c r="F4" s="142"/>
      <c r="G4" s="143"/>
      <c r="H4" s="142"/>
      <c r="I4" s="142"/>
      <c r="J4" s="141"/>
      <c r="K4" s="141"/>
      <c r="L4" s="141"/>
      <c r="M4" s="141"/>
      <c r="N4" s="141"/>
      <c r="O4" s="141"/>
      <c r="P4" s="141"/>
      <c r="Q4" s="141"/>
      <c r="R4" s="141"/>
      <c r="S4" s="141"/>
      <c r="T4" s="141"/>
      <c r="U4" s="141"/>
      <c r="V4" s="141"/>
      <c r="W4" s="141"/>
      <c r="X4" s="142"/>
      <c r="Y4" s="142"/>
      <c r="Z4" s="142"/>
      <c r="AA4" s="142"/>
      <c r="AB4" s="142"/>
      <c r="AC4" s="144"/>
      <c r="AD4" s="144"/>
      <c r="AE4" s="144"/>
      <c r="AF4" s="144"/>
      <c r="AG4" s="144"/>
      <c r="AH4" s="144"/>
      <c r="AI4" s="143"/>
      <c r="AK4" s="211" t="s">
        <v>235</v>
      </c>
      <c r="AL4" s="211" t="n">
        <v>17</v>
      </c>
      <c r="AM4" s="213" t="n">
        <v>0</v>
      </c>
      <c r="AN4" s="231"/>
      <c r="AO4" s="206"/>
      <c r="AP4" s="206"/>
      <c r="AQ4" s="209" t="n">
        <v>2</v>
      </c>
      <c r="AR4" s="209" t="n">
        <v>3.99000000000000021</v>
      </c>
      <c r="AS4" s="208" t="n">
        <v>7</v>
      </c>
      <c r="AT4" s="208" t="n">
        <v>7</v>
      </c>
      <c r="AU4" s="207" t="n">
        <v>3</v>
      </c>
      <c r="AV4" s="207" t="n">
        <v>3.99000000000000021</v>
      </c>
      <c r="AW4" s="212" t="n">
        <v>3</v>
      </c>
      <c r="AX4" s="212" t="n">
        <v>3.99000000000000021</v>
      </c>
      <c r="AY4" s="207" t="n">
        <v>4</v>
      </c>
      <c r="AZ4" s="207" t="n">
        <v>4.99000000000000021</v>
      </c>
      <c r="BA4" s="206"/>
      <c r="BB4" s="206"/>
      <c r="BC4" s="210" t="n">
        <v>41371</v>
      </c>
      <c r="BD4" s="3"/>
    </row>
    <row r="5" spans="1:56">
      <c r="A5" s="145" t="s">
        <v>236</v>
      </c>
      <c r="B5" s="145"/>
      <c r="C5" s="145"/>
      <c r="D5" s="146"/>
      <c r="E5" s="145"/>
      <c r="F5" s="147"/>
      <c r="G5" s="148"/>
      <c r="H5" s="147"/>
      <c r="I5" s="147"/>
      <c r="J5" s="149" t="s">
        <v>237</v>
      </c>
      <c r="K5" s="149"/>
      <c r="L5" s="149"/>
      <c r="M5" s="149"/>
      <c r="N5" s="149"/>
      <c r="O5" s="149"/>
      <c r="P5" s="149"/>
      <c r="Q5" s="149"/>
      <c r="R5" s="149"/>
      <c r="S5" s="149"/>
      <c r="T5" s="149"/>
      <c r="U5" s="149"/>
      <c r="V5" s="149"/>
      <c r="W5" s="149"/>
      <c r="X5" s="147"/>
      <c r="Y5" s="147"/>
      <c r="Z5" s="147"/>
      <c r="AA5" s="147"/>
      <c r="AB5" s="147"/>
      <c r="AC5" s="150" t="s">
        <v>238</v>
      </c>
      <c r="AD5" s="150"/>
      <c r="AE5" s="150"/>
      <c r="AF5" s="150"/>
      <c r="AG5" s="150"/>
      <c r="AH5" s="150"/>
      <c r="AI5" s="151"/>
      <c r="AK5" s="211" t="s">
        <v>239</v>
      </c>
      <c r="AL5" s="211" t="n">
        <v>19</v>
      </c>
      <c r="AM5" s="213" t="n">
        <v>1709</v>
      </c>
      <c r="AN5" s="231"/>
      <c r="AO5" s="206"/>
      <c r="AP5" s="206"/>
      <c r="AQ5" s="206"/>
      <c r="AR5" s="209" t="n">
        <v>2.99000000000000021</v>
      </c>
      <c r="AS5" s="207" t="n">
        <v>6</v>
      </c>
      <c r="AT5" s="208" t="n">
        <v>6.09999999999999964</v>
      </c>
      <c r="AU5" s="206"/>
      <c r="AV5" s="209" t="n">
        <v>2.99000000000000021</v>
      </c>
      <c r="AW5" s="209" t="n">
        <v>2</v>
      </c>
      <c r="AX5" s="209" t="n">
        <v>3.99000000000000021</v>
      </c>
      <c r="AY5" s="207" t="n">
        <v>3</v>
      </c>
      <c r="AZ5" s="207" t="n">
        <v>3.99000000000000021</v>
      </c>
      <c r="BA5" s="207" t="n">
        <v>1</v>
      </c>
      <c r="BB5" s="207" t="n">
        <v>1.99000000000000004</v>
      </c>
      <c r="BC5" s="210" t="n">
        <v>41391</v>
      </c>
      <c r="BD5" s="3"/>
    </row>
    <row r="6" spans="1:56">
      <c r="A6" s="152" t="s">
        <v>195</v>
      </c>
      <c r="B6" s="152" t="s">
        <v>196</v>
      </c>
      <c r="C6" s="152" t="s">
        <v>120</v>
      </c>
      <c r="D6" s="153" t="s">
        <v>197</v>
      </c>
      <c r="E6" s="152" t="s">
        <v>198</v>
      </c>
      <c r="F6" s="153" t="str">
        <f>F2</f>
        <v>Promoción</v>
      </c>
      <c r="G6" s="154" t="str">
        <f>G2</f>
        <v>Gen</v>
      </c>
      <c r="H6" s="153" t="str">
        <f>H2</f>
        <v>u20</v>
      </c>
      <c r="I6" s="153" t="str">
        <f>I2</f>
        <v>Lid</v>
      </c>
      <c r="J6" s="152" t="s">
        <v>161</v>
      </c>
      <c r="K6" s="152" t="str">
        <f>K2</f>
        <v>Pot</v>
      </c>
      <c r="L6" s="155" t="str">
        <f>L2</f>
        <v>DEF</v>
      </c>
      <c r="M6" s="155" t="str">
        <f>M2</f>
        <v>Pot</v>
      </c>
      <c r="N6" s="152" t="str">
        <f>N2</f>
        <v>JUG</v>
      </c>
      <c r="O6" s="152" t="str">
        <f>O2</f>
        <v>Pot</v>
      </c>
      <c r="P6" s="155" t="str">
        <f>P2</f>
        <v>LAT</v>
      </c>
      <c r="Q6" s="155" t="str">
        <f>Q2</f>
        <v>Pot</v>
      </c>
      <c r="R6" s="152" t="str">
        <f>R2</f>
        <v>PAS</v>
      </c>
      <c r="S6" s="152" t="str">
        <f>S2</f>
        <v>Pot</v>
      </c>
      <c r="T6" s="155" t="str">
        <f>T2</f>
        <v>ANO</v>
      </c>
      <c r="U6" s="155" t="str">
        <f>U2</f>
        <v>Pot</v>
      </c>
      <c r="V6" s="152" t="str">
        <f>V2</f>
        <v>BP</v>
      </c>
      <c r="W6" s="152" t="str">
        <f>W2</f>
        <v>Pot</v>
      </c>
      <c r="X6" s="156" t="str">
        <f>X2</f>
        <v>HAB</v>
      </c>
      <c r="Y6" s="156" t="str">
        <f>Y2</f>
        <v>POT</v>
      </c>
      <c r="Z6" s="153" t="str">
        <f>Z2</f>
        <v>Cap</v>
      </c>
      <c r="AA6" s="153" t="s">
        <v>208</v>
      </c>
      <c r="AB6" s="153" t="str">
        <f>AB2</f>
        <v>HTMS</v>
      </c>
      <c r="AC6" s="157" t="str">
        <f>AC2</f>
        <v>PR</v>
      </c>
      <c r="AD6" s="157" t="str">
        <f>AD2</f>
        <v>DL</v>
      </c>
      <c r="AE6" s="157" t="str">
        <f>AE2</f>
        <v>DC</v>
      </c>
      <c r="AF6" s="157" t="str">
        <f>AF2</f>
        <v>In</v>
      </c>
      <c r="AG6" s="157" t="str">
        <f>AG2</f>
        <v>ExO</v>
      </c>
      <c r="AH6" s="157" t="str">
        <f>AH2</f>
        <v>DV</v>
      </c>
      <c r="AI6" s="154" t="str">
        <f>AI2</f>
        <v>Atributs</v>
      </c>
      <c r="AK6" s="211" t="s">
        <v>240</v>
      </c>
      <c r="AL6" s="211" t="n">
        <v>17</v>
      </c>
      <c r="AM6" s="213" t="n">
        <v>1799</v>
      </c>
      <c r="AN6" s="231"/>
      <c r="AO6" s="214"/>
      <c r="AP6" s="215" t="n">
        <v>1.99000000000000004</v>
      </c>
      <c r="AQ6" s="214"/>
      <c r="AR6" s="215" t="n">
        <v>2.99000000000000021</v>
      </c>
      <c r="AS6" s="216" t="n">
        <v>4</v>
      </c>
      <c r="AT6" s="216" t="n">
        <v>4.99000000000000021</v>
      </c>
      <c r="AU6" s="216" t="n">
        <v>5</v>
      </c>
      <c r="AV6" s="217" t="n">
        <v>5.99000000000000021</v>
      </c>
      <c r="AW6" s="218" t="n">
        <v>3</v>
      </c>
      <c r="AX6" s="218" t="n">
        <v>3.99000000000000021</v>
      </c>
      <c r="AY6" s="216" t="n">
        <v>3</v>
      </c>
      <c r="AZ6" s="216" t="n">
        <v>3.99000000000000021</v>
      </c>
      <c r="BA6" s="214"/>
      <c r="BB6" s="214"/>
      <c r="BC6" s="234"/>
      <c r="BD6" s="3"/>
    </row>
    <row r="7" spans="1:56">
      <c r="A7" s="163" t="s">
        <v>241</v>
      </c>
      <c r="B7" s="127" t="n">
        <v>16</v>
      </c>
      <c r="C7" s="128">
        <f>A33-2700+25</f>
        <v>318</v>
      </c>
      <c r="D7" s="129"/>
      <c r="E7" s="130">
        <f aca="1">F7-TODAY()</f>
        <v>-164</v>
      </c>
      <c r="F7" s="131" t="n">
        <v>43827</v>
      </c>
      <c r="G7" s="132"/>
      <c r="H7" s="132"/>
      <c r="I7" s="132" t="s">
        <v>231</v>
      </c>
      <c r="J7" s="127"/>
      <c r="K7" s="138" t="n">
        <v>1.99000000000000004</v>
      </c>
      <c r="L7" s="127"/>
      <c r="M7" s="138" t="n">
        <v>2.99000000000000021</v>
      </c>
      <c r="N7" s="160" t="n">
        <v>4</v>
      </c>
      <c r="O7" s="162" t="n">
        <v>6.99000000000000021</v>
      </c>
      <c r="P7" s="127"/>
      <c r="Q7" s="138" t="n">
        <v>4.99000000000000021</v>
      </c>
      <c r="R7" s="160" t="n">
        <v>2</v>
      </c>
      <c r="S7" s="138" t="n">
        <v>3.99000000000000021</v>
      </c>
      <c r="T7" s="127"/>
      <c r="U7" s="138" t="n">
        <v>3.99000000000000021</v>
      </c>
      <c r="V7" s="127"/>
      <c r="W7" s="138" t="n">
        <v>4.99000000000000021</v>
      </c>
      <c r="X7" s="139">
        <f>7-(COUNTBLANK(J7)+COUNTBLANK(L7)+COUNTBLANK(N7)+COUNTBLANK(P7)+COUNTBLANK(R7)+COUNTBLANK(T7)+COUNTBLANK(V7))</f>
        <v>2</v>
      </c>
      <c r="Y7" s="132">
        <f>COUNT(W7,S7,U7,Q7,O7,M7,K7)</f>
        <v>7</v>
      </c>
      <c r="Z7" s="132"/>
      <c r="AA7" s="132"/>
      <c r="AB7" s="132"/>
      <c r="AC7" s="140"/>
      <c r="AD7" s="140"/>
      <c r="AE7" s="140"/>
      <c r="AF7" s="140"/>
      <c r="AG7" s="140"/>
      <c r="AH7" s="140"/>
      <c r="AI7" s="140" t="s">
        <v>242</v>
      </c>
      <c r="AK7" s="211" t="s">
        <v>243</v>
      </c>
      <c r="AL7" s="211" t="n">
        <v>17</v>
      </c>
      <c r="AM7" s="213" t="n">
        <v>1723</v>
      </c>
      <c r="AN7" s="231" t="s">
        <v>244</v>
      </c>
      <c r="AO7" s="214"/>
      <c r="AP7" s="214"/>
      <c r="AQ7" s="216" t="n">
        <v>2</v>
      </c>
      <c r="AR7" s="216" t="n">
        <v>2.99000000000000021</v>
      </c>
      <c r="AS7" s="216" t="n">
        <v>5</v>
      </c>
      <c r="AT7" s="217" t="n">
        <v>5.99000000000000021</v>
      </c>
      <c r="AU7" s="216" t="n">
        <v>5</v>
      </c>
      <c r="AV7" s="217" t="n">
        <v>5.99000000000000021</v>
      </c>
      <c r="AW7" s="214"/>
      <c r="AX7" s="215" t="n">
        <v>2.99000000000000021</v>
      </c>
      <c r="AY7" s="216" t="n">
        <v>5</v>
      </c>
      <c r="AZ7" s="217" t="n">
        <v>5.99000000000000021</v>
      </c>
      <c r="BA7" s="214"/>
      <c r="BB7" s="215" t="n">
        <v>3.99000000000000021</v>
      </c>
      <c r="BC7" s="234"/>
      <c r="BD7" s="3"/>
    </row>
    <row r="8" spans="1:56">
      <c r="A8" s="126" t="s">
        <v>245</v>
      </c>
      <c r="B8" s="127" t="n">
        <v>16</v>
      </c>
      <c r="C8" s="128">
        <f>A32-43375-230-112</f>
        <v>274</v>
      </c>
      <c r="D8" s="129"/>
      <c r="E8" s="130">
        <f aca="1">F8-TODAY()</f>
        <v>-162</v>
      </c>
      <c r="F8" s="131" t="n">
        <v>43829</v>
      </c>
      <c r="G8" s="182" t="s">
        <v>229</v>
      </c>
      <c r="H8" s="132" t="s">
        <v>230</v>
      </c>
      <c r="I8" s="132" t="s">
        <v>231</v>
      </c>
      <c r="J8" s="127"/>
      <c r="K8" s="127"/>
      <c r="L8" s="127"/>
      <c r="M8" s="138" t="n">
        <v>2.99000000000000021</v>
      </c>
      <c r="N8" s="127"/>
      <c r="O8" s="138" t="n">
        <v>2.99000000000000021</v>
      </c>
      <c r="P8" s="160" t="n">
        <v>3</v>
      </c>
      <c r="Q8" s="162" t="n">
        <v>6.99000000000000021</v>
      </c>
      <c r="R8" s="424" t="n">
        <v>5</v>
      </c>
      <c r="S8" s="360" t="n">
        <v>5.99000000000000021</v>
      </c>
      <c r="T8" s="160" t="n">
        <v>3</v>
      </c>
      <c r="U8" s="161" t="n">
        <v>5.99000000000000021</v>
      </c>
      <c r="V8" s="127"/>
      <c r="W8" s="127"/>
      <c r="X8" s="139">
        <f>7-(COUNTBLANK(J8)+COUNTBLANK(L8)+COUNTBLANK(N8)+COUNTBLANK(P8)+COUNTBLANK(R8)+COUNTBLANK(T8)+COUNTBLANK(V8))</f>
        <v>3</v>
      </c>
      <c r="Y8" s="132">
        <f>COUNT(W8,S8,U8,Q8,O8,M8,K8)</f>
        <v>5</v>
      </c>
      <c r="Z8" s="132"/>
      <c r="AA8" s="132"/>
      <c r="AB8" s="132"/>
      <c r="AC8" s="140"/>
      <c r="AD8" s="140"/>
      <c r="AE8" s="140"/>
      <c r="AF8" s="140"/>
      <c r="AG8" s="140"/>
      <c r="AH8" s="140" t="n">
        <v>6.5</v>
      </c>
      <c r="AI8" s="140" t="s">
        <v>232</v>
      </c>
      <c r="AK8" s="211" t="s">
        <v>246</v>
      </c>
      <c r="AL8" s="211" t="n">
        <v>17</v>
      </c>
      <c r="AM8" s="213" t="n">
        <v>1795</v>
      </c>
      <c r="AN8" s="231"/>
      <c r="AO8" s="214"/>
      <c r="AP8" s="214"/>
      <c r="AQ8" s="216" t="n">
        <v>4</v>
      </c>
      <c r="AR8" s="216" t="n">
        <v>4.99000000000000021</v>
      </c>
      <c r="AS8" s="218" t="n">
        <v>6</v>
      </c>
      <c r="AT8" s="219" t="n">
        <v>6.99000000000000021</v>
      </c>
      <c r="AU8" s="218" t="n">
        <v>3</v>
      </c>
      <c r="AV8" s="218" t="n">
        <v>3.99000000000000021</v>
      </c>
      <c r="AW8" s="214"/>
      <c r="AX8" s="214"/>
      <c r="AY8" s="216" t="n">
        <v>2</v>
      </c>
      <c r="AZ8" s="216" t="n">
        <v>2.99000000000000021</v>
      </c>
      <c r="BA8" s="214"/>
      <c r="BB8" s="220"/>
      <c r="BC8" s="234"/>
      <c r="BD8" s="3"/>
    </row>
    <row r="9" spans="1:56">
      <c r="A9" s="165" t="s">
        <v>247</v>
      </c>
      <c r="B9" s="165"/>
      <c r="C9" s="165"/>
      <c r="D9" s="166"/>
      <c r="E9" s="165"/>
      <c r="F9" s="166"/>
      <c r="G9" s="167"/>
      <c r="H9" s="166"/>
      <c r="I9" s="166"/>
      <c r="J9" s="165"/>
      <c r="K9" s="165"/>
      <c r="L9" s="165"/>
      <c r="M9" s="165"/>
      <c r="N9" s="165"/>
      <c r="O9" s="165"/>
      <c r="P9" s="165"/>
      <c r="Q9" s="165"/>
      <c r="R9" s="165"/>
      <c r="S9" s="165"/>
      <c r="T9" s="165"/>
      <c r="U9" s="165"/>
      <c r="V9" s="165"/>
      <c r="W9" s="165"/>
      <c r="X9" s="166"/>
      <c r="Y9" s="166"/>
      <c r="Z9" s="166"/>
      <c r="AA9" s="166"/>
      <c r="AB9" s="166"/>
      <c r="AC9" s="168"/>
      <c r="AD9" s="168"/>
      <c r="AE9" s="168"/>
      <c r="AF9" s="168"/>
      <c r="AG9" s="168"/>
      <c r="AH9" s="168"/>
      <c r="AI9" s="167"/>
      <c r="AK9" s="211" t="s">
        <v>248</v>
      </c>
      <c r="AL9" s="211" t="n">
        <v>17</v>
      </c>
      <c r="AM9" s="213" t="n">
        <v>1729</v>
      </c>
      <c r="AN9" s="231" t="s">
        <v>202</v>
      </c>
      <c r="AO9" s="214"/>
      <c r="AP9" s="214"/>
      <c r="AQ9" s="216" t="n">
        <v>6</v>
      </c>
      <c r="AR9" s="217" t="n">
        <v>6.99000000000000021</v>
      </c>
      <c r="AS9" s="216" t="n">
        <v>5</v>
      </c>
      <c r="AT9" s="217" t="n">
        <v>5.99000000000000021</v>
      </c>
      <c r="AU9" s="216" t="n">
        <v>3</v>
      </c>
      <c r="AV9" s="216" t="n">
        <v>3.99000000000000021</v>
      </c>
      <c r="AW9" s="214"/>
      <c r="AX9" s="215" t="n">
        <v>2.99000000000000021</v>
      </c>
      <c r="AY9" s="214"/>
      <c r="AZ9" s="215" t="n">
        <v>2.99000000000000021</v>
      </c>
      <c r="BA9" s="214"/>
      <c r="BB9" s="215" t="n">
        <v>3.99000000000000021</v>
      </c>
      <c r="BC9" s="234"/>
      <c r="BD9" s="3"/>
    </row>
    <row r="10" spans="1:56">
      <c r="A10" s="169" t="s">
        <v>236</v>
      </c>
      <c r="B10" s="169"/>
      <c r="C10" s="169"/>
      <c r="D10" s="170"/>
      <c r="E10" s="169"/>
      <c r="F10" s="171"/>
      <c r="G10" s="172"/>
      <c r="H10" s="171"/>
      <c r="I10" s="171"/>
      <c r="J10" s="173" t="s">
        <v>237</v>
      </c>
      <c r="K10" s="173"/>
      <c r="L10" s="173"/>
      <c r="M10" s="173"/>
      <c r="N10" s="173"/>
      <c r="O10" s="173"/>
      <c r="P10" s="173"/>
      <c r="Q10" s="173"/>
      <c r="R10" s="173"/>
      <c r="S10" s="173"/>
      <c r="T10" s="173"/>
      <c r="U10" s="173"/>
      <c r="V10" s="173"/>
      <c r="W10" s="173"/>
      <c r="X10" s="171"/>
      <c r="Y10" s="171"/>
      <c r="Z10" s="171"/>
      <c r="AA10" s="171"/>
      <c r="AB10" s="171"/>
      <c r="AC10" s="174" t="s">
        <v>238</v>
      </c>
      <c r="AD10" s="174"/>
      <c r="AE10" s="174"/>
      <c r="AF10" s="174"/>
      <c r="AG10" s="174"/>
      <c r="AH10" s="174"/>
      <c r="AI10" s="175"/>
      <c r="AK10" s="211" t="s">
        <v>249</v>
      </c>
      <c r="AL10" s="211" t="n">
        <v>17</v>
      </c>
      <c r="AM10" s="213" t="n">
        <v>1764</v>
      </c>
      <c r="AN10" s="231" t="s">
        <v>250</v>
      </c>
      <c r="AO10" s="214"/>
      <c r="AP10" s="214"/>
      <c r="AQ10" s="216" t="n">
        <v>3</v>
      </c>
      <c r="AR10" s="216" t="n">
        <v>3.99000000000000021</v>
      </c>
      <c r="AS10" s="218" t="n">
        <v>5</v>
      </c>
      <c r="AT10" s="219" t="n">
        <v>5.99000000000000021</v>
      </c>
      <c r="AU10" s="216" t="n">
        <v>2</v>
      </c>
      <c r="AV10" s="216" t="n">
        <v>2.99000000000000021</v>
      </c>
      <c r="AW10" s="214"/>
      <c r="AX10" s="215" t="n">
        <v>3.99000000000000021</v>
      </c>
      <c r="AY10" s="218" t="n">
        <v>4</v>
      </c>
      <c r="AZ10" s="218" t="n">
        <v>4.99000000000000021</v>
      </c>
      <c r="BA10" s="214"/>
      <c r="BB10" s="214"/>
      <c r="BC10" s="223"/>
      <c r="BD10" s="3"/>
    </row>
    <row r="11" spans="1:56">
      <c r="A11" s="176" t="s">
        <v>195</v>
      </c>
      <c r="B11" s="176" t="s">
        <v>196</v>
      </c>
      <c r="C11" s="176" t="s">
        <v>120</v>
      </c>
      <c r="D11" s="177" t="s">
        <v>197</v>
      </c>
      <c r="E11" s="176" t="s">
        <v>198</v>
      </c>
      <c r="F11" s="177" t="str">
        <f>F6</f>
        <v>Promoción</v>
      </c>
      <c r="G11" s="178" t="str">
        <f>G6</f>
        <v>Gen</v>
      </c>
      <c r="H11" s="177" t="str">
        <f>H6</f>
        <v>u20</v>
      </c>
      <c r="I11" s="177" t="str">
        <f>I6</f>
        <v>Lid</v>
      </c>
      <c r="J11" s="176" t="s">
        <v>161</v>
      </c>
      <c r="K11" s="176" t="str">
        <f>K6</f>
        <v>Pot</v>
      </c>
      <c r="L11" s="179" t="str">
        <f>L6</f>
        <v>DEF</v>
      </c>
      <c r="M11" s="179" t="str">
        <f>M6</f>
        <v>Pot</v>
      </c>
      <c r="N11" s="176" t="str">
        <f>N6</f>
        <v>JUG</v>
      </c>
      <c r="O11" s="176" t="str">
        <f>O6</f>
        <v>Pot</v>
      </c>
      <c r="P11" s="179" t="str">
        <f>P6</f>
        <v>LAT</v>
      </c>
      <c r="Q11" s="179" t="str">
        <f>Q6</f>
        <v>Pot</v>
      </c>
      <c r="R11" s="176" t="str">
        <f>R6</f>
        <v>PAS</v>
      </c>
      <c r="S11" s="176" t="str">
        <f>S6</f>
        <v>Pot</v>
      </c>
      <c r="T11" s="179" t="str">
        <f>T6</f>
        <v>ANO</v>
      </c>
      <c r="U11" s="179" t="str">
        <f>U6</f>
        <v>Pot</v>
      </c>
      <c r="V11" s="176" t="str">
        <f>V6</f>
        <v>BP</v>
      </c>
      <c r="W11" s="176" t="str">
        <f>W6</f>
        <v>Pot</v>
      </c>
      <c r="X11" s="180" t="str">
        <f>X6</f>
        <v>HAB</v>
      </c>
      <c r="Y11" s="180" t="str">
        <f>Y6</f>
        <v>POT</v>
      </c>
      <c r="Z11" s="177" t="str">
        <f>Z6</f>
        <v>Cap</v>
      </c>
      <c r="AA11" s="177" t="s">
        <v>208</v>
      </c>
      <c r="AB11" s="177" t="str">
        <f>AB6</f>
        <v>HTMS</v>
      </c>
      <c r="AC11" s="181" t="str">
        <f>AC6</f>
        <v>PR</v>
      </c>
      <c r="AD11" s="181" t="str">
        <f>AD6</f>
        <v>DL</v>
      </c>
      <c r="AE11" s="181" t="str">
        <f>AE6</f>
        <v>DC</v>
      </c>
      <c r="AF11" s="181" t="str">
        <f>AF6</f>
        <v>In</v>
      </c>
      <c r="AG11" s="181" t="str">
        <f>AG6</f>
        <v>ExO</v>
      </c>
      <c r="AH11" s="181" t="str">
        <f>AH6</f>
        <v>DV</v>
      </c>
      <c r="AI11" s="178" t="str">
        <f>AI6</f>
        <v>Atributs</v>
      </c>
      <c r="AK11" s="211" t="s">
        <v>251</v>
      </c>
      <c r="AL11" s="211" t="n">
        <v>17</v>
      </c>
      <c r="AM11" s="213" t="n">
        <v>1789</v>
      </c>
      <c r="AN11" s="231" t="s">
        <v>252</v>
      </c>
      <c r="AO11" s="214"/>
      <c r="AP11" s="215" t="n">
        <v>1.99000000000000004</v>
      </c>
      <c r="AQ11" s="214"/>
      <c r="AR11" s="215" t="n">
        <v>3.99000000000000021</v>
      </c>
      <c r="AS11" s="218" t="n">
        <v>5</v>
      </c>
      <c r="AT11" s="219" t="n">
        <v>5.99000000000000021</v>
      </c>
      <c r="AU11" s="216" t="n">
        <v>4</v>
      </c>
      <c r="AV11" s="216" t="n">
        <v>4.99000000000000021</v>
      </c>
      <c r="AW11" s="214"/>
      <c r="AX11" s="215" t="n">
        <v>3.99000000000000021</v>
      </c>
      <c r="AY11" s="214"/>
      <c r="AZ11" s="215" t="n">
        <v>2.99000000000000021</v>
      </c>
      <c r="BA11" s="214"/>
      <c r="BB11" s="215" t="n">
        <v>3.99000000000000021</v>
      </c>
      <c r="BC11" s="234"/>
      <c r="BD11" s="3"/>
    </row>
    <row r="12" spans="1:56">
      <c r="A12" s="126" t="s">
        <v>253</v>
      </c>
      <c r="B12" s="127" t="n">
        <v>16</v>
      </c>
      <c r="C12" s="128">
        <f>86+A33-2516-112-112</f>
        <v>339</v>
      </c>
      <c r="D12" s="129" t="s">
        <v>172</v>
      </c>
      <c r="E12" s="130">
        <f aca="1">F12-TODAY()</f>
        <v>-227</v>
      </c>
      <c r="F12" s="131" t="n">
        <v>43764</v>
      </c>
      <c r="G12" s="164" t="s">
        <v>254</v>
      </c>
      <c r="H12" s="133" t="s">
        <v>255</v>
      </c>
      <c r="I12" s="132" t="s">
        <v>231</v>
      </c>
      <c r="J12" s="132"/>
      <c r="K12" s="138" t="n">
        <v>0.990000000000000036</v>
      </c>
      <c r="L12" s="132"/>
      <c r="M12" s="138" t="n">
        <v>3.99000000000000021</v>
      </c>
      <c r="N12" s="160" t="n">
        <v>5</v>
      </c>
      <c r="O12" s="162" t="n">
        <v>6.99000000000000021</v>
      </c>
      <c r="P12" s="134" t="n">
        <v>4</v>
      </c>
      <c r="Q12" s="135" t="n">
        <v>4.99000000000000021</v>
      </c>
      <c r="R12" s="136" t="n">
        <v>2</v>
      </c>
      <c r="S12" s="137" t="n">
        <v>2.99000000000000021</v>
      </c>
      <c r="T12" s="136" t="n">
        <v>2</v>
      </c>
      <c r="U12" s="137" t="n">
        <v>2.99000000000000021</v>
      </c>
      <c r="V12" s="132"/>
      <c r="W12" s="162" t="n">
        <v>6.99000000000000021</v>
      </c>
      <c r="X12" s="139">
        <f>7-(COUNTBLANK(J12)+COUNTBLANK(L12)+COUNTBLANK(N12)+COUNTBLANK(P12)+COUNTBLANK(R12)+COUNTBLANK(T12)+COUNTBLANK(V12))</f>
        <v>4</v>
      </c>
      <c r="Y12" s="132">
        <f>COUNT(W12,S12,U12,Q12,O12,M12,K12)</f>
        <v>7</v>
      </c>
      <c r="Z12" s="132"/>
      <c r="AA12" s="132"/>
      <c r="AB12" s="132"/>
      <c r="AC12" s="140"/>
      <c r="AD12" s="140"/>
      <c r="AE12" s="140"/>
      <c r="AF12" s="140" t="n">
        <v>4.5</v>
      </c>
      <c r="AG12" s="140" t="n">
        <v>4</v>
      </c>
      <c r="AH12" s="140" t="n">
        <v>3.5</v>
      </c>
      <c r="AI12" s="140" t="s">
        <v>232</v>
      </c>
      <c r="AK12" s="211" t="s">
        <v>256</v>
      </c>
      <c r="AL12" s="211" t="n">
        <v>17</v>
      </c>
      <c r="AM12" s="213" t="n">
        <v>0</v>
      </c>
      <c r="AN12" s="231" t="s">
        <v>252</v>
      </c>
      <c r="AO12" s="206"/>
      <c r="AP12" s="209" t="n">
        <v>1.99000000000000004</v>
      </c>
      <c r="AQ12" s="206"/>
      <c r="AR12" s="209" t="n">
        <v>2.99000000000000021</v>
      </c>
      <c r="AS12" s="207" t="n">
        <v>4</v>
      </c>
      <c r="AT12" s="207" t="n">
        <v>4.99000000000000021</v>
      </c>
      <c r="AU12" s="212" t="n">
        <v>5</v>
      </c>
      <c r="AV12" s="233" t="n">
        <v>5.99000000000000021</v>
      </c>
      <c r="AW12" s="206"/>
      <c r="AX12" s="209" t="n">
        <v>1.99000000000000004</v>
      </c>
      <c r="AY12" s="212" t="n">
        <v>5</v>
      </c>
      <c r="AZ12" s="233" t="n">
        <v>5.99000000000000021</v>
      </c>
      <c r="BA12" s="206"/>
      <c r="BB12" s="206"/>
      <c r="BC12" s="210" t="n">
        <v>41412</v>
      </c>
      <c r="BD12" s="3"/>
    </row>
    <row r="13" spans="1:56">
      <c r="A13" s="126" t="s">
        <v>257</v>
      </c>
      <c r="B13" s="127" t="n">
        <v>16</v>
      </c>
      <c r="C13" s="128">
        <f>A32-43400+6-112-110-112</f>
        <v>263</v>
      </c>
      <c r="D13" s="129" t="s">
        <v>172</v>
      </c>
      <c r="E13" s="130">
        <f aca="1">F13-TODAY()</f>
        <v>-151</v>
      </c>
      <c r="F13" s="131" t="n">
        <v>43840</v>
      </c>
      <c r="G13" s="164" t="s">
        <v>254</v>
      </c>
      <c r="H13" s="159" t="s">
        <v>230</v>
      </c>
      <c r="I13" s="132" t="s">
        <v>231</v>
      </c>
      <c r="J13" s="127"/>
      <c r="K13" s="138" t="n">
        <v>1.99000000000000004</v>
      </c>
      <c r="L13" s="127"/>
      <c r="M13" s="138" t="n">
        <v>4.99000000000000021</v>
      </c>
      <c r="N13" s="134" t="n">
        <v>3</v>
      </c>
      <c r="O13" s="135" t="n">
        <v>3.99000000000000021</v>
      </c>
      <c r="P13" s="160" t="n">
        <v>3</v>
      </c>
      <c r="Q13" s="161" t="n">
        <v>5.99000000000000021</v>
      </c>
      <c r="R13" s="136" t="n">
        <v>3</v>
      </c>
      <c r="S13" s="137" t="n">
        <v>3.99000000000000021</v>
      </c>
      <c r="T13" s="127"/>
      <c r="U13" s="138" t="n">
        <v>3.99000000000000021</v>
      </c>
      <c r="V13" s="127"/>
      <c r="W13" s="127"/>
      <c r="X13" s="139">
        <f>7-(COUNTBLANK(J13)+COUNTBLANK(L13)+COUNTBLANK(N13)+COUNTBLANK(P13)+COUNTBLANK(R13)+COUNTBLANK(T13)+COUNTBLANK(V13))</f>
        <v>3</v>
      </c>
      <c r="Y13" s="132">
        <f>COUNT(W13,S13,U13,Q13,O13,M13,K13)</f>
        <v>6</v>
      </c>
      <c r="Z13" s="132"/>
      <c r="AA13" s="132"/>
      <c r="AB13" s="132"/>
      <c r="AC13" s="140"/>
      <c r="AD13" s="140"/>
      <c r="AE13" s="140"/>
      <c r="AF13" s="140"/>
      <c r="AG13" s="140" t="n">
        <v>5</v>
      </c>
      <c r="AH13" s="140" t="n">
        <v>5.5</v>
      </c>
      <c r="AI13" s="140" t="s">
        <v>232</v>
      </c>
      <c r="AK13" s="211" t="s">
        <v>258</v>
      </c>
      <c r="AL13" s="211" t="n">
        <v>18</v>
      </c>
      <c r="AM13" s="213" t="n">
        <v>1781</v>
      </c>
      <c r="AN13" s="231"/>
      <c r="AO13" s="214"/>
      <c r="AP13" s="214"/>
      <c r="AQ13" s="218" t="n">
        <v>6</v>
      </c>
      <c r="AR13" s="219" t="n">
        <v>6.99000000000000021</v>
      </c>
      <c r="AS13" s="216" t="n">
        <v>3</v>
      </c>
      <c r="AT13" s="216" t="n">
        <v>3.99000000000000021</v>
      </c>
      <c r="AU13" s="218" t="n">
        <v>5</v>
      </c>
      <c r="AV13" s="219" t="n">
        <v>5.99000000000000021</v>
      </c>
      <c r="AW13" s="215" t="n">
        <v>4</v>
      </c>
      <c r="AX13" s="221" t="n">
        <v>5.99000000000000021</v>
      </c>
      <c r="AY13" s="214"/>
      <c r="AZ13" s="215" t="n">
        <v>3.99000000000000021</v>
      </c>
      <c r="BA13" s="214"/>
      <c r="BB13" s="214"/>
      <c r="BC13" s="234"/>
      <c r="BD13" s="3"/>
    </row>
    <row r="14" spans="1:56">
      <c r="A14" s="163" t="s">
        <v>259</v>
      </c>
      <c r="B14" s="127" t="n">
        <v>15</v>
      </c>
      <c r="C14" s="128">
        <f>-2679+A33</f>
        <v>314</v>
      </c>
      <c r="D14" s="129"/>
      <c r="E14" s="130">
        <f aca="1">F14-TODAY()</f>
        <v>-90</v>
      </c>
      <c r="F14" s="131" t="n">
        <v>43901</v>
      </c>
      <c r="G14" s="164" t="s">
        <v>254</v>
      </c>
      <c r="H14" s="133" t="s">
        <v>260</v>
      </c>
      <c r="I14" s="132" t="s">
        <v>231</v>
      </c>
      <c r="J14" s="127"/>
      <c r="K14" s="127"/>
      <c r="L14" s="127"/>
      <c r="M14" s="127"/>
      <c r="N14" s="127"/>
      <c r="O14" s="127"/>
      <c r="P14" s="127"/>
      <c r="Q14" s="127"/>
      <c r="R14" s="127"/>
      <c r="S14" s="127"/>
      <c r="T14" s="134" t="n">
        <v>3</v>
      </c>
      <c r="U14" s="135" t="n">
        <v>3.99000000000000021</v>
      </c>
      <c r="V14" s="127"/>
      <c r="W14" s="162" t="n">
        <v>6.99000000000000021</v>
      </c>
      <c r="X14" s="139">
        <f>7-(COUNTBLANK(J14)+COUNTBLANK(L14)+COUNTBLANK(N14)+COUNTBLANK(P14)+COUNTBLANK(R14)+COUNTBLANK(T14)+COUNTBLANK(V14))</f>
        <v>1</v>
      </c>
      <c r="Y14" s="132">
        <f>COUNT(W14,S14,U14,Q14,O14,M14,K14)</f>
        <v>2</v>
      </c>
      <c r="Z14" s="132"/>
      <c r="AA14" s="132"/>
      <c r="AB14" s="132"/>
      <c r="AC14" s="140"/>
      <c r="AD14" s="140"/>
      <c r="AE14" s="140"/>
      <c r="AF14" s="140"/>
      <c r="AG14" s="140"/>
      <c r="AH14" s="140"/>
      <c r="AI14" s="140"/>
      <c r="AK14" s="211" t="s">
        <v>261</v>
      </c>
      <c r="AL14" s="211" t="n">
        <v>16</v>
      </c>
      <c r="AM14" s="213" t="n">
        <v>1807</v>
      </c>
      <c r="AN14" s="231" t="s">
        <v>252</v>
      </c>
      <c r="AO14" s="214"/>
      <c r="AP14" s="214"/>
      <c r="AQ14" s="222" t="n">
        <v>3</v>
      </c>
      <c r="AR14" s="216" t="n">
        <v>3.99000000000000021</v>
      </c>
      <c r="AS14" s="218" t="n">
        <v>5</v>
      </c>
      <c r="AT14" s="219" t="n">
        <v>5.99000000000000021</v>
      </c>
      <c r="AU14" s="216" t="n">
        <v>7</v>
      </c>
      <c r="AV14" s="217" t="n">
        <v>7</v>
      </c>
      <c r="AW14" s="214"/>
      <c r="AX14" s="215" t="n">
        <v>1.99000000000000004</v>
      </c>
      <c r="AY14" s="218" t="n">
        <v>3</v>
      </c>
      <c r="AZ14" s="218" t="n">
        <v>3.99000000000000021</v>
      </c>
      <c r="BA14" s="214"/>
      <c r="BB14" s="214"/>
      <c r="BC14" s="223"/>
      <c r="BD14" s="3"/>
    </row>
    <row r="15" spans="1:56">
      <c r="A15" s="126" t="s">
        <v>262</v>
      </c>
      <c r="B15" s="127" t="n">
        <v>17</v>
      </c>
      <c r="C15" s="128">
        <f>A33-2100-6-93-112+2-62-112-112-112</f>
        <v>286</v>
      </c>
      <c r="D15" s="129" t="s">
        <v>185</v>
      </c>
      <c r="E15" s="130">
        <f aca="1">F15-TODAY()</f>
        <v>-286</v>
      </c>
      <c r="F15" s="131" t="n">
        <v>43705</v>
      </c>
      <c r="G15" s="182"/>
      <c r="H15" s="133" t="s">
        <v>263</v>
      </c>
      <c r="I15" s="132" t="s">
        <v>231</v>
      </c>
      <c r="J15" s="127"/>
      <c r="K15" s="127"/>
      <c r="L15" s="136" t="n">
        <v>3</v>
      </c>
      <c r="M15" s="137" t="n">
        <v>3.99000000000000021</v>
      </c>
      <c r="N15" s="134" t="n">
        <v>4</v>
      </c>
      <c r="O15" s="135" t="n">
        <v>4.99000000000000021</v>
      </c>
      <c r="P15" s="127"/>
      <c r="Q15" s="161" t="n">
        <v>5.99000000000000021</v>
      </c>
      <c r="R15" s="136" t="n">
        <v>4</v>
      </c>
      <c r="S15" s="137" t="n">
        <v>4.99000000000000021</v>
      </c>
      <c r="T15" s="127"/>
      <c r="U15" s="138" t="n">
        <v>3.99000000000000021</v>
      </c>
      <c r="V15" s="127"/>
      <c r="W15" s="138" t="n">
        <v>3.99000000000000021</v>
      </c>
      <c r="X15" s="139">
        <f>7-(COUNTBLANK(J15)+COUNTBLANK(L15)+COUNTBLANK(N15)+COUNTBLANK(P15)+COUNTBLANK(R15)+COUNTBLANK(T15)+COUNTBLANK(V15))</f>
        <v>3</v>
      </c>
      <c r="Y15" s="132">
        <f>COUNT(W15,S15,U15,Q15,O15,M15,K15)</f>
        <v>6</v>
      </c>
      <c r="Z15" s="132"/>
      <c r="AA15" s="132"/>
      <c r="AB15" s="132"/>
      <c r="AC15" s="140"/>
      <c r="AD15" s="140"/>
      <c r="AE15" s="140"/>
      <c r="AF15" s="140"/>
      <c r="AG15" s="140"/>
      <c r="AH15" s="140"/>
      <c r="AI15" s="140" t="s">
        <v>242</v>
      </c>
      <c r="AK15" s="211" t="s">
        <v>264</v>
      </c>
      <c r="AL15" s="211" t="n">
        <v>18</v>
      </c>
      <c r="AM15" s="213" t="n">
        <v>1778</v>
      </c>
      <c r="AN15" s="231" t="s">
        <v>202</v>
      </c>
      <c r="AO15" s="214"/>
      <c r="AP15" s="215" t="n">
        <v>1.99000000000000004</v>
      </c>
      <c r="AQ15" s="216" t="n">
        <v>2</v>
      </c>
      <c r="AR15" s="216" t="n">
        <v>2.99000000000000021</v>
      </c>
      <c r="AS15" s="216" t="n">
        <v>1</v>
      </c>
      <c r="AT15" s="216" t="n">
        <v>1.99000000000000004</v>
      </c>
      <c r="AU15" s="214"/>
      <c r="AV15" s="215" t="n">
        <v>1.99000000000000004</v>
      </c>
      <c r="AW15" s="214"/>
      <c r="AX15" s="221" t="n">
        <v>5.99000000000000021</v>
      </c>
      <c r="AY15" s="216" t="n">
        <v>4</v>
      </c>
      <c r="AZ15" s="216" t="n">
        <v>4.99000000000000021</v>
      </c>
      <c r="BA15" s="216" t="n">
        <v>5</v>
      </c>
      <c r="BB15" s="217" t="n">
        <v>5.99000000000000021</v>
      </c>
      <c r="BC15" s="234"/>
      <c r="BD15" s="3"/>
    </row>
    <row r="16" spans="1:56">
      <c r="A16" s="163" t="s">
        <v>265</v>
      </c>
      <c r="B16" s="127" t="n">
        <v>17</v>
      </c>
      <c r="C16" s="128">
        <f>A33-2100-5-93-112+6-36-112-112-12-112</f>
        <v>305</v>
      </c>
      <c r="D16" s="129"/>
      <c r="E16" s="130">
        <f aca="1">F16-TODAY()</f>
        <v>-305</v>
      </c>
      <c r="F16" s="131" t="n">
        <v>43686</v>
      </c>
      <c r="G16" s="132"/>
      <c r="H16" s="133" t="s">
        <v>260</v>
      </c>
      <c r="I16" s="132" t="s">
        <v>231</v>
      </c>
      <c r="J16" s="127"/>
      <c r="K16" s="127"/>
      <c r="L16" s="136" t="n">
        <v>4</v>
      </c>
      <c r="M16" s="137" t="n">
        <v>4.99000000000000021</v>
      </c>
      <c r="N16" s="134" t="n">
        <v>2</v>
      </c>
      <c r="O16" s="135" t="n">
        <v>2.99000000000000021</v>
      </c>
      <c r="P16" s="127"/>
      <c r="Q16" s="138" t="n">
        <v>3.99000000000000021</v>
      </c>
      <c r="R16" s="127"/>
      <c r="S16" s="138" t="n">
        <v>2.99000000000000021</v>
      </c>
      <c r="T16" s="127"/>
      <c r="U16" s="161" t="n">
        <v>5.99000000000000021</v>
      </c>
      <c r="V16" s="127"/>
      <c r="W16" s="127"/>
      <c r="X16" s="139">
        <f>7-(COUNTBLANK(J16)+COUNTBLANK(L16)+COUNTBLANK(N16)+COUNTBLANK(P16)+COUNTBLANK(R16)+COUNTBLANK(T16)+COUNTBLANK(V16))</f>
        <v>2</v>
      </c>
      <c r="Y16" s="132">
        <f>COUNT(W16,S16,U16,Q16,O16,M16,K16)</f>
        <v>5</v>
      </c>
      <c r="Z16" s="132"/>
      <c r="AA16" s="132"/>
      <c r="AB16" s="132"/>
      <c r="AC16" s="140"/>
      <c r="AD16" s="140"/>
      <c r="AE16" s="140"/>
      <c r="AF16" s="140" t="n">
        <v>3.5</v>
      </c>
      <c r="AG16" s="140"/>
      <c r="AH16" s="140"/>
      <c r="AI16" s="140" t="s">
        <v>242</v>
      </c>
      <c r="AK16" s="211" t="s">
        <v>266</v>
      </c>
      <c r="AL16" s="211" t="n">
        <v>17</v>
      </c>
      <c r="AM16" s="213" t="n">
        <v>1683</v>
      </c>
      <c r="AN16" s="231"/>
      <c r="AO16" s="214"/>
      <c r="AP16" s="214"/>
      <c r="AQ16" s="218" t="n">
        <v>6</v>
      </c>
      <c r="AR16" s="219" t="n">
        <v>6.99000000000000021</v>
      </c>
      <c r="AS16" s="216" t="n">
        <v>1</v>
      </c>
      <c r="AT16" s="216" t="n">
        <v>1.99000000000000004</v>
      </c>
      <c r="AU16" s="216" t="n">
        <v>2</v>
      </c>
      <c r="AV16" s="216" t="n">
        <v>2.99000000000000021</v>
      </c>
      <c r="AW16" s="215" t="n">
        <v>3</v>
      </c>
      <c r="AX16" s="215" t="n">
        <v>4.99000000000000021</v>
      </c>
      <c r="AY16" s="214"/>
      <c r="AZ16" s="215" t="n">
        <v>2.99000000000000021</v>
      </c>
      <c r="BA16" s="216" t="n">
        <v>4</v>
      </c>
      <c r="BB16" s="216" t="n">
        <v>4.99000000000000021</v>
      </c>
      <c r="BC16" s="234"/>
      <c r="BD16" s="3"/>
    </row>
    <row r="17" spans="1:56">
      <c r="A17" s="163" t="s">
        <v>267</v>
      </c>
      <c r="B17" s="127" t="n">
        <v>17</v>
      </c>
      <c r="C17" s="128">
        <f>A33-2100-6-116+4-112-112-6-112-112</f>
        <v>321</v>
      </c>
      <c r="D17" s="129"/>
      <c r="E17" s="130">
        <f aca="1">F17-TODAY()</f>
        <v>-321</v>
      </c>
      <c r="F17" s="131" t="n">
        <v>43670</v>
      </c>
      <c r="G17" s="164" t="s">
        <v>254</v>
      </c>
      <c r="H17" s="133" t="s">
        <v>260</v>
      </c>
      <c r="I17" s="132" t="s">
        <v>231</v>
      </c>
      <c r="J17" s="127"/>
      <c r="K17" s="138" t="n">
        <v>1.99000000000000004</v>
      </c>
      <c r="L17" s="127"/>
      <c r="M17" s="138" t="n">
        <v>2.99000000000000021</v>
      </c>
      <c r="N17" s="134" t="n">
        <v>4</v>
      </c>
      <c r="O17" s="135" t="n">
        <v>4.99000000000000021</v>
      </c>
      <c r="P17" s="127"/>
      <c r="Q17" s="138" t="n">
        <v>4.99000000000000021</v>
      </c>
      <c r="R17" s="160" t="n">
        <v>4</v>
      </c>
      <c r="S17" s="161" t="n">
        <v>5.99000000000000021</v>
      </c>
      <c r="T17" s="136" t="n">
        <v>2</v>
      </c>
      <c r="U17" s="137" t="n">
        <v>2.99000000000000021</v>
      </c>
      <c r="V17" s="127"/>
      <c r="W17" s="162" t="n">
        <v>6.99000000000000021</v>
      </c>
      <c r="X17" s="139">
        <f>7-(COUNTBLANK(J17)+COUNTBLANK(L17)+COUNTBLANK(N17)+COUNTBLANK(P17)+COUNTBLANK(R17)+COUNTBLANK(T17)+COUNTBLANK(V17))</f>
        <v>3</v>
      </c>
      <c r="Y17" s="132">
        <f>COUNT(W17,S17,U17,Q17,O17,M17,K17)</f>
        <v>7</v>
      </c>
      <c r="Z17" s="132"/>
      <c r="AA17" s="132" t="n">
        <v>11</v>
      </c>
      <c r="AB17" s="132"/>
      <c r="AC17" s="140"/>
      <c r="AD17" s="140"/>
      <c r="AE17" s="140"/>
      <c r="AF17" s="140" t="n">
        <v>4.5</v>
      </c>
      <c r="AG17" s="140" t="n">
        <v>4.5</v>
      </c>
      <c r="AH17" s="140"/>
      <c r="AI17" s="140" t="s">
        <v>242</v>
      </c>
      <c r="AK17" s="211" t="s">
        <v>268</v>
      </c>
      <c r="AL17" s="211" t="n">
        <v>16</v>
      </c>
      <c r="AM17" s="213" t="n">
        <v>1772</v>
      </c>
      <c r="AN17" s="231"/>
      <c r="AO17" s="214"/>
      <c r="AP17" s="215" t="n">
        <v>1.99000000000000004</v>
      </c>
      <c r="AQ17" s="222" t="n">
        <v>3</v>
      </c>
      <c r="AR17" s="216" t="n">
        <v>3.99000000000000021</v>
      </c>
      <c r="AS17" s="218" t="n">
        <v>4</v>
      </c>
      <c r="AT17" s="218" t="n">
        <v>4.99000000000000021</v>
      </c>
      <c r="AU17" s="216" t="n">
        <v>5</v>
      </c>
      <c r="AV17" s="217" t="n">
        <v>5.99000000000000021</v>
      </c>
      <c r="AW17" s="214"/>
      <c r="AX17" s="215" t="n">
        <v>4.99000000000000021</v>
      </c>
      <c r="AY17" s="216" t="n">
        <v>2</v>
      </c>
      <c r="AZ17" s="216" t="n">
        <v>2.99000000000000021</v>
      </c>
      <c r="BA17" s="216" t="n">
        <v>4</v>
      </c>
      <c r="BB17" s="216" t="n">
        <v>4.99000000000000021</v>
      </c>
      <c r="BC17" s="234"/>
      <c r="BD17" s="3"/>
    </row>
    <row r="18" spans="1:56">
      <c r="A18" s="183" t="s">
        <v>236</v>
      </c>
      <c r="B18" s="183"/>
      <c r="C18" s="183"/>
      <c r="D18" s="184"/>
      <c r="E18" s="183"/>
      <c r="F18" s="185"/>
      <c r="G18" s="186"/>
      <c r="H18" s="185"/>
      <c r="I18" s="185"/>
      <c r="J18" s="187" t="s">
        <v>237</v>
      </c>
      <c r="K18" s="187"/>
      <c r="L18" s="187"/>
      <c r="M18" s="187"/>
      <c r="N18" s="187"/>
      <c r="O18" s="187"/>
      <c r="P18" s="187"/>
      <c r="Q18" s="187"/>
      <c r="R18" s="187"/>
      <c r="S18" s="187"/>
      <c r="T18" s="187"/>
      <c r="U18" s="187"/>
      <c r="V18" s="187"/>
      <c r="W18" s="187"/>
      <c r="X18" s="185"/>
      <c r="Y18" s="185"/>
      <c r="Z18" s="185"/>
      <c r="AA18" s="185"/>
      <c r="AB18" s="185"/>
      <c r="AC18" s="188" t="s">
        <v>238</v>
      </c>
      <c r="AD18" s="188"/>
      <c r="AE18" s="188"/>
      <c r="AF18" s="188"/>
      <c r="AG18" s="188"/>
      <c r="AH18" s="188"/>
      <c r="AI18" s="189"/>
      <c r="AK18" s="211" t="s">
        <v>269</v>
      </c>
      <c r="AL18" s="211" t="n">
        <v>17</v>
      </c>
      <c r="AM18" s="213" t="n">
        <v>1733</v>
      </c>
      <c r="AN18" s="231" t="s">
        <v>270</v>
      </c>
      <c r="AO18" s="214"/>
      <c r="AP18" s="215" t="n">
        <v>1.99000000000000004</v>
      </c>
      <c r="AQ18" s="218" t="n">
        <v>4</v>
      </c>
      <c r="AR18" s="218" t="n">
        <v>4.99000000000000021</v>
      </c>
      <c r="AS18" s="218" t="n">
        <v>3</v>
      </c>
      <c r="AT18" s="218" t="n">
        <v>3.99000000000000021</v>
      </c>
      <c r="AU18" s="218" t="n">
        <v>6</v>
      </c>
      <c r="AV18" s="219" t="n">
        <v>6.99000000000000021</v>
      </c>
      <c r="AW18" s="214"/>
      <c r="AX18" s="215" t="n">
        <v>4.99000000000000021</v>
      </c>
      <c r="AY18" s="214"/>
      <c r="AZ18" s="215" t="n">
        <v>2.99000000000000021</v>
      </c>
      <c r="BA18" s="214"/>
      <c r="BB18" s="215" t="n">
        <v>4.99000000000000021</v>
      </c>
      <c r="BC18" s="234"/>
      <c r="BD18" s="3"/>
    </row>
    <row r="19" spans="1:56">
      <c r="A19" s="190" t="s">
        <v>195</v>
      </c>
      <c r="B19" s="190" t="s">
        <v>196</v>
      </c>
      <c r="C19" s="190" t="s">
        <v>120</v>
      </c>
      <c r="D19" s="191" t="s">
        <v>197</v>
      </c>
      <c r="E19" s="190" t="s">
        <v>198</v>
      </c>
      <c r="F19" s="191" t="str">
        <f>F11</f>
        <v>Promoción</v>
      </c>
      <c r="G19" s="192" t="str">
        <f>G11</f>
        <v>Gen</v>
      </c>
      <c r="H19" s="191" t="str">
        <f>H11</f>
        <v>u20</v>
      </c>
      <c r="I19" s="191" t="str">
        <f>I11</f>
        <v>Lid</v>
      </c>
      <c r="J19" s="190" t="s">
        <v>161</v>
      </c>
      <c r="K19" s="190" t="str">
        <f>K11</f>
        <v>Pot</v>
      </c>
      <c r="L19" s="193" t="str">
        <f>L11</f>
        <v>DEF</v>
      </c>
      <c r="M19" s="193" t="str">
        <f>M11</f>
        <v>Pot</v>
      </c>
      <c r="N19" s="190" t="str">
        <f>N11</f>
        <v>JUG</v>
      </c>
      <c r="O19" s="190" t="str">
        <f>O11</f>
        <v>Pot</v>
      </c>
      <c r="P19" s="193" t="str">
        <f>P11</f>
        <v>LAT</v>
      </c>
      <c r="Q19" s="193" t="str">
        <f>Q11</f>
        <v>Pot</v>
      </c>
      <c r="R19" s="190" t="str">
        <f>R11</f>
        <v>PAS</v>
      </c>
      <c r="S19" s="190" t="str">
        <f>S11</f>
        <v>Pot</v>
      </c>
      <c r="T19" s="193" t="str">
        <f>T11</f>
        <v>ANO</v>
      </c>
      <c r="U19" s="193" t="str">
        <f>U11</f>
        <v>Pot</v>
      </c>
      <c r="V19" s="190" t="str">
        <f>V11</f>
        <v>BP</v>
      </c>
      <c r="W19" s="190" t="str">
        <f>W11</f>
        <v>Pot</v>
      </c>
      <c r="X19" s="194" t="str">
        <f>X11</f>
        <v>HAB</v>
      </c>
      <c r="Y19" s="194" t="str">
        <f>Y11</f>
        <v>POT</v>
      </c>
      <c r="Z19" s="191" t="str">
        <f>Z11</f>
        <v>Cap</v>
      </c>
      <c r="AA19" s="191" t="s">
        <v>208</v>
      </c>
      <c r="AB19" s="191" t="str">
        <f>AB11</f>
        <v>HTMS</v>
      </c>
      <c r="AC19" s="195" t="str">
        <f>AC11</f>
        <v>PR</v>
      </c>
      <c r="AD19" s="195" t="str">
        <f>AD11</f>
        <v>DL</v>
      </c>
      <c r="AE19" s="195" t="str">
        <f>AE11</f>
        <v>DC</v>
      </c>
      <c r="AF19" s="195" t="str">
        <f>AF11</f>
        <v>In</v>
      </c>
      <c r="AG19" s="195" t="str">
        <f>AG11</f>
        <v>ExO</v>
      </c>
      <c r="AH19" s="195" t="str">
        <f>AH11</f>
        <v>DV</v>
      </c>
      <c r="AI19" s="192" t="str">
        <f>AI11</f>
        <v>Atributs</v>
      </c>
      <c r="AK19" s="211" t="s">
        <v>271</v>
      </c>
      <c r="AL19" s="211" t="n">
        <v>17</v>
      </c>
      <c r="AM19" s="213" t="n">
        <v>1665</v>
      </c>
      <c r="AN19" s="231"/>
      <c r="AO19" s="218" t="n">
        <v>1</v>
      </c>
      <c r="AP19" s="218" t="n">
        <v>1.99000000000000004</v>
      </c>
      <c r="AQ19" s="218" t="n">
        <v>2</v>
      </c>
      <c r="AR19" s="218" t="n">
        <v>2.99000000000000021</v>
      </c>
      <c r="AS19" s="216" t="n">
        <v>5</v>
      </c>
      <c r="AT19" s="217" t="n">
        <v>5.99000000000000021</v>
      </c>
      <c r="AU19" s="216" t="n">
        <v>3</v>
      </c>
      <c r="AV19" s="216" t="n">
        <v>3.99000000000000021</v>
      </c>
      <c r="AW19" s="214"/>
      <c r="AX19" s="215" t="n">
        <v>4.99000000000000021</v>
      </c>
      <c r="AY19" s="216" t="n">
        <v>2</v>
      </c>
      <c r="AZ19" s="216" t="n">
        <v>2.99000000000000021</v>
      </c>
      <c r="BA19" s="214"/>
      <c r="BB19" s="215" t="n">
        <v>2.99000000000000021</v>
      </c>
      <c r="BC19" s="234"/>
      <c r="BD19" s="3"/>
    </row>
    <row r="20" spans="1:56">
      <c r="A20" s="126"/>
      <c r="B20" s="127" t="n">
        <v>17</v>
      </c>
      <c r="C20" s="158">
        <f>A33-2100-6-93+31-112-29-112-112-87-112</f>
        <v>261</v>
      </c>
      <c r="D20" s="129"/>
      <c r="E20" s="130">
        <f aca="1">F20-TODAY()</f>
        <v>-43991</v>
      </c>
      <c r="F20" s="131"/>
      <c r="G20" s="159"/>
      <c r="H20" s="132" t="s">
        <v>230</v>
      </c>
      <c r="I20" s="132" t="s">
        <v>231</v>
      </c>
      <c r="J20" s="127"/>
      <c r="K20" s="127"/>
      <c r="L20" s="127"/>
      <c r="M20" s="127"/>
      <c r="N20" s="127"/>
      <c r="O20" s="127"/>
      <c r="P20" s="127"/>
      <c r="Q20" s="127"/>
      <c r="R20" s="127"/>
      <c r="S20" s="127"/>
      <c r="T20" s="127"/>
      <c r="U20" s="127"/>
      <c r="V20" s="127"/>
      <c r="W20" s="127"/>
      <c r="X20" s="139">
        <f>7-(COUNTBLANK(J20)+COUNTBLANK(L20)+COUNTBLANK(N20)+COUNTBLANK(P20)+COUNTBLANK(R20)+COUNTBLANK(T20)+COUNTBLANK(V20))</f>
        <v>0</v>
      </c>
      <c r="Y20" s="132">
        <f>COUNT(W20,S20,U20,Q20,O20,M20,K20)</f>
        <v>0</v>
      </c>
      <c r="Z20" s="132"/>
      <c r="AA20" s="132"/>
      <c r="AB20" s="132"/>
      <c r="AC20" s="140"/>
      <c r="AD20" s="140"/>
      <c r="AE20" s="140"/>
      <c r="AF20" s="140"/>
      <c r="AG20" s="140"/>
      <c r="AH20" s="140"/>
      <c r="AI20" s="140"/>
      <c r="AK20" s="211" t="s">
        <v>272</v>
      </c>
      <c r="AL20" s="211" t="n">
        <v>17</v>
      </c>
      <c r="AM20" s="213" t="n">
        <v>1585</v>
      </c>
      <c r="AN20" s="231" t="s">
        <v>250</v>
      </c>
      <c r="AO20" s="223"/>
      <c r="AP20" s="223"/>
      <c r="AQ20" s="216" t="n">
        <v>4</v>
      </c>
      <c r="AR20" s="216" t="n">
        <v>4.99000000000000021</v>
      </c>
      <c r="AS20" s="223"/>
      <c r="AT20" s="215" t="n">
        <v>2.99000000000000021</v>
      </c>
      <c r="AU20" s="218" t="n">
        <v>5</v>
      </c>
      <c r="AV20" s="219" t="n">
        <v>5.99000000000000021</v>
      </c>
      <c r="AW20" s="223"/>
      <c r="AX20" s="215" t="n">
        <v>1.99000000000000004</v>
      </c>
      <c r="AY20" s="223"/>
      <c r="AZ20" s="215" t="n">
        <v>3.99000000000000021</v>
      </c>
      <c r="BA20" s="223"/>
      <c r="BB20" s="215" t="n">
        <v>2.99000000000000021</v>
      </c>
      <c r="BC20" s="223"/>
      <c r="BD20" s="3"/>
    </row>
    <row r="21" spans="1:56">
      <c r="A21" s="163" t="s">
        <v>273</v>
      </c>
      <c r="B21" s="127" t="n">
        <v>16</v>
      </c>
      <c r="C21" s="158">
        <f>A33-2700</f>
        <v>293</v>
      </c>
      <c r="D21" s="129"/>
      <c r="E21" s="130">
        <f aca="1">F21-TODAY()</f>
        <v>-136</v>
      </c>
      <c r="F21" s="131" t="n">
        <v>43855</v>
      </c>
      <c r="G21" s="159"/>
      <c r="H21" s="132" t="s">
        <v>230</v>
      </c>
      <c r="I21" s="132" t="s">
        <v>231</v>
      </c>
      <c r="J21" s="127"/>
      <c r="K21" s="127"/>
      <c r="L21" s="127"/>
      <c r="M21" s="127"/>
      <c r="N21" s="127"/>
      <c r="O21" s="127"/>
      <c r="P21" s="160" t="n">
        <v>1</v>
      </c>
      <c r="Q21" s="127"/>
      <c r="R21" s="127"/>
      <c r="S21" s="127"/>
      <c r="T21" s="127"/>
      <c r="U21" s="161" t="n">
        <v>5.99000000000000021</v>
      </c>
      <c r="V21" s="127"/>
      <c r="W21" s="127"/>
      <c r="X21" s="139">
        <f>7-(COUNTBLANK(J21)+COUNTBLANK(L21)+COUNTBLANK(N21)+COUNTBLANK(P21)+COUNTBLANK(R21)+COUNTBLANK(T21)+COUNTBLANK(V21))</f>
        <v>1</v>
      </c>
      <c r="Y21" s="132">
        <f>COUNT(W21,S21,U21,Q21,O21,M21,K21)</f>
        <v>1</v>
      </c>
      <c r="Z21" s="132"/>
      <c r="AA21" s="132"/>
      <c r="AB21" s="132"/>
      <c r="AC21" s="140"/>
      <c r="AD21" s="140"/>
      <c r="AE21" s="140"/>
      <c r="AF21" s="140"/>
      <c r="AG21" s="140"/>
      <c r="AH21" s="140"/>
      <c r="AI21" s="140"/>
      <c r="AK21" s="211" t="s">
        <v>274</v>
      </c>
      <c r="AL21" s="211" t="n">
        <v>16</v>
      </c>
      <c r="AM21" s="213" t="n">
        <v>1687</v>
      </c>
      <c r="AN21" s="231" t="s">
        <v>244</v>
      </c>
      <c r="AO21" s="223"/>
      <c r="AP21" s="215" t="n">
        <v>1.99000000000000004</v>
      </c>
      <c r="AQ21" s="218" t="n">
        <v>5</v>
      </c>
      <c r="AR21" s="219" t="n">
        <v>5.99000000000000021</v>
      </c>
      <c r="AS21" s="216" t="n">
        <v>5</v>
      </c>
      <c r="AT21" s="217" t="n">
        <v>5.99000000000000021</v>
      </c>
      <c r="AU21" s="223"/>
      <c r="AV21" s="215" t="n">
        <v>3.99000000000000021</v>
      </c>
      <c r="AW21" s="223"/>
      <c r="AX21" s="215" t="n">
        <v>4.99000000000000021</v>
      </c>
      <c r="AY21" s="216" t="n">
        <v>2</v>
      </c>
      <c r="AZ21" s="216" t="n">
        <v>2.99000000000000021</v>
      </c>
      <c r="BA21" s="223"/>
      <c r="BB21" s="215" t="n">
        <v>4.99000000000000021</v>
      </c>
      <c r="BC21" s="223"/>
      <c r="BD21" s="3"/>
    </row>
    <row r="22" spans="1:56">
      <c r="A22" s="163" t="s">
        <v>275</v>
      </c>
      <c r="B22" s="127" t="n">
        <v>16</v>
      </c>
      <c r="C22" s="128">
        <f>A33-2679</f>
        <v>314</v>
      </c>
      <c r="D22" s="129"/>
      <c r="E22" s="130">
        <f aca="1">F22-TODAY()</f>
        <v>-171</v>
      </c>
      <c r="F22" s="131" t="n">
        <v>43820</v>
      </c>
      <c r="G22" s="132"/>
      <c r="H22" s="159" t="s">
        <v>230</v>
      </c>
      <c r="I22" s="132" t="s">
        <v>231</v>
      </c>
      <c r="J22" s="127"/>
      <c r="K22" s="127"/>
      <c r="L22" s="160" t="n">
        <v>4</v>
      </c>
      <c r="M22" s="127"/>
      <c r="N22" s="127"/>
      <c r="O22" s="127"/>
      <c r="P22" s="127"/>
      <c r="Q22" s="127"/>
      <c r="R22" s="127"/>
      <c r="S22" s="138" t="n">
        <v>3.99000000000000021</v>
      </c>
      <c r="T22" s="127"/>
      <c r="U22" s="127"/>
      <c r="V22" s="127"/>
      <c r="W22" s="127"/>
      <c r="X22" s="139">
        <f>7-(COUNTBLANK(J22)+COUNTBLANK(L22)+COUNTBLANK(N22)+COUNTBLANK(P22)+COUNTBLANK(R22)+COUNTBLANK(T22)+COUNTBLANK(V22))</f>
        <v>1</v>
      </c>
      <c r="Y22" s="132">
        <f>COUNT(W22,S22,U22,Q22,O22,M22,K22)</f>
        <v>1</v>
      </c>
      <c r="Z22" s="132"/>
      <c r="AA22" s="132"/>
      <c r="AB22" s="132"/>
      <c r="AC22" s="140"/>
      <c r="AD22" s="140"/>
      <c r="AE22" s="140"/>
      <c r="AF22" s="140"/>
      <c r="AG22" s="140"/>
      <c r="AH22" s="140"/>
      <c r="AI22" s="140" t="s">
        <v>232</v>
      </c>
      <c r="AK22" s="211" t="s">
        <v>276</v>
      </c>
      <c r="AL22" s="211" t="n">
        <v>16</v>
      </c>
      <c r="AM22" s="213" t="n">
        <v>1596</v>
      </c>
      <c r="AN22" s="231"/>
      <c r="AO22" s="223"/>
      <c r="AP22" s="223"/>
      <c r="AQ22" s="218" t="n">
        <v>1</v>
      </c>
      <c r="AR22" s="218" t="n">
        <v>1.99000000000000004</v>
      </c>
      <c r="AS22" s="216" t="n">
        <v>6</v>
      </c>
      <c r="AT22" s="217" t="n">
        <v>6.99000000000000021</v>
      </c>
      <c r="AU22" s="216" t="n">
        <v>3</v>
      </c>
      <c r="AV22" s="216" t="n">
        <v>3.99000000000000021</v>
      </c>
      <c r="AW22" s="216" t="n">
        <v>3</v>
      </c>
      <c r="AX22" s="216" t="n">
        <v>3.99000000000000021</v>
      </c>
      <c r="AY22" s="216" t="n">
        <v>4</v>
      </c>
      <c r="AZ22" s="216" t="n">
        <v>4.99000000000000021</v>
      </c>
      <c r="BA22" s="223"/>
      <c r="BB22" s="215" t="n">
        <v>4.99000000000000021</v>
      </c>
      <c r="BC22" s="223"/>
      <c r="BD22" s="3"/>
    </row>
    <row r="23" spans="1:56">
      <c r="A23" s="126" t="s">
        <v>277</v>
      </c>
      <c r="B23" s="127" t="n">
        <v>16</v>
      </c>
      <c r="C23" s="128">
        <f>A33-2100-6-116+4-112-112-113-112</f>
        <v>326</v>
      </c>
      <c r="D23" s="129" t="s">
        <v>278</v>
      </c>
      <c r="E23" s="130">
        <f aca="1">F23-TODAY()</f>
        <v>-214</v>
      </c>
      <c r="F23" s="131" t="n">
        <v>43777</v>
      </c>
      <c r="G23" s="159"/>
      <c r="H23" s="133" t="s">
        <v>255</v>
      </c>
      <c r="I23" s="132" t="s">
        <v>231</v>
      </c>
      <c r="J23" s="127"/>
      <c r="K23" s="127"/>
      <c r="L23" s="160" t="n">
        <v>3</v>
      </c>
      <c r="M23" s="127"/>
      <c r="N23" s="127"/>
      <c r="O23" s="138" t="n">
        <v>2.99000000000000021</v>
      </c>
      <c r="P23" s="127"/>
      <c r="Q23" s="138" t="n">
        <v>4.99000000000000021</v>
      </c>
      <c r="R23" s="127"/>
      <c r="S23" s="138" t="n">
        <v>4.99000000000000021</v>
      </c>
      <c r="T23" s="136" t="n">
        <v>2</v>
      </c>
      <c r="U23" s="137" t="n">
        <v>2.99000000000000021</v>
      </c>
      <c r="V23" s="127"/>
      <c r="W23" s="127"/>
      <c r="X23" s="139">
        <f>7-(COUNTBLANK(J23)+COUNTBLANK(L23)+COUNTBLANK(N23)+COUNTBLANK(P23)+COUNTBLANK(R23)+COUNTBLANK(T23)+COUNTBLANK(V23))</f>
        <v>2</v>
      </c>
      <c r="Y23" s="132">
        <f>COUNT(W23,S23,U23,Q23,O23,M23,K23)</f>
        <v>4</v>
      </c>
      <c r="Z23" s="132"/>
      <c r="AA23" s="132"/>
      <c r="AB23" s="132"/>
      <c r="AC23" s="140"/>
      <c r="AD23" s="140"/>
      <c r="AE23" s="140"/>
      <c r="AF23" s="140"/>
      <c r="AG23" s="140" t="n">
        <v>4.5</v>
      </c>
      <c r="AH23" s="140"/>
      <c r="AI23" s="140" t="s">
        <v>242</v>
      </c>
      <c r="AK23" s="211" t="s">
        <v>279</v>
      </c>
      <c r="AL23" s="211" t="n">
        <v>18</v>
      </c>
      <c r="AM23" s="213" t="n">
        <v>1648</v>
      </c>
      <c r="AN23" s="231" t="s">
        <v>252</v>
      </c>
      <c r="AO23" s="223"/>
      <c r="AP23" s="215" t="n">
        <v>2.99000000000000021</v>
      </c>
      <c r="AQ23" s="218" t="n">
        <v>4</v>
      </c>
      <c r="AR23" s="218" t="n">
        <v>4.99000000000000021</v>
      </c>
      <c r="AS23" s="215" t="n">
        <v>3</v>
      </c>
      <c r="AT23" s="215" t="n">
        <v>4.99000000000000021</v>
      </c>
      <c r="AU23" s="216" t="n">
        <v>1</v>
      </c>
      <c r="AV23" s="216" t="n">
        <v>1.99000000000000004</v>
      </c>
      <c r="AW23" s="223"/>
      <c r="AX23" s="215" t="n">
        <v>1.99000000000000004</v>
      </c>
      <c r="AY23" s="223"/>
      <c r="AZ23" s="215" t="n">
        <v>4.99000000000000021</v>
      </c>
      <c r="BA23" s="216" t="n">
        <v>4</v>
      </c>
      <c r="BB23" s="216" t="n">
        <v>4.99000000000000021</v>
      </c>
      <c r="BC23" s="223"/>
      <c r="BD23" s="3"/>
    </row>
    <row r="24" spans="1:56">
      <c r="A24" s="163" t="s">
        <v>280</v>
      </c>
      <c r="B24" s="127" t="n">
        <v>18</v>
      </c>
      <c r="C24" s="128">
        <f>A33-2150+2-112+7-112-78-112-112</f>
        <v>326</v>
      </c>
      <c r="D24" s="129" t="s">
        <v>210</v>
      </c>
      <c r="E24" s="130">
        <f aca="1">F24-TODAY()</f>
        <v>0</v>
      </c>
      <c r="F24" s="131">
        <f aca="1">TODAY()</f>
        <v>43991</v>
      </c>
      <c r="G24" s="164" t="s">
        <v>254</v>
      </c>
      <c r="H24" s="159" t="s">
        <v>230</v>
      </c>
      <c r="I24" s="132" t="s">
        <v>231</v>
      </c>
      <c r="J24" s="127"/>
      <c r="K24" s="138" t="n">
        <v>1.99000000000000004</v>
      </c>
      <c r="L24" s="127"/>
      <c r="M24" s="138" t="n">
        <v>3.99000000000000021</v>
      </c>
      <c r="N24" s="136" t="n">
        <v>2</v>
      </c>
      <c r="O24" s="137" t="n">
        <v>2.99000000000000021</v>
      </c>
      <c r="P24" s="160" t="n">
        <v>4</v>
      </c>
      <c r="Q24" s="162" t="n">
        <v>6.99000000000000021</v>
      </c>
      <c r="R24" s="134" t="n">
        <v>4</v>
      </c>
      <c r="S24" s="135" t="n">
        <v>4.99000000000000021</v>
      </c>
      <c r="T24" s="127"/>
      <c r="U24" s="138" t="n">
        <v>3.99000000000000021</v>
      </c>
      <c r="V24" s="127"/>
      <c r="W24" s="161" t="n">
        <v>5.99000000000000021</v>
      </c>
      <c r="X24" s="139">
        <f>7-(COUNTBLANK(J24)+COUNTBLANK(L24)+COUNTBLANK(N24)+COUNTBLANK(P24)+COUNTBLANK(R24)+COUNTBLANK(T24)+COUNTBLANK(V24))</f>
        <v>3</v>
      </c>
      <c r="Y24" s="132">
        <f>COUNT(W24,S24,U24,Q24,O24,M24,K24)</f>
        <v>7</v>
      </c>
      <c r="Z24" s="132"/>
      <c r="AA24" s="132"/>
      <c r="AB24" s="132"/>
      <c r="AC24" s="140"/>
      <c r="AD24" s="140" t="n">
        <v>3.5</v>
      </c>
      <c r="AE24" s="140"/>
      <c r="AF24" s="140"/>
      <c r="AG24" s="140"/>
      <c r="AH24" s="140"/>
      <c r="AI24" s="140" t="s">
        <v>242</v>
      </c>
      <c r="AK24" s="211" t="s">
        <v>281</v>
      </c>
      <c r="AL24" s="211" t="n">
        <v>19</v>
      </c>
      <c r="AM24" s="213" t="n">
        <v>1525</v>
      </c>
      <c r="AN24" s="231"/>
      <c r="AO24" s="214"/>
      <c r="AP24" s="215" t="n">
        <v>0.990000000000000036</v>
      </c>
      <c r="AQ24" s="216" t="n">
        <v>4</v>
      </c>
      <c r="AR24" s="216" t="n">
        <v>4.99000000000000021</v>
      </c>
      <c r="AS24" s="214"/>
      <c r="AT24" s="215" t="n">
        <v>2.99000000000000021</v>
      </c>
      <c r="AU24" s="218" t="n">
        <v>4</v>
      </c>
      <c r="AV24" s="218" t="n">
        <v>4.99000000000000021</v>
      </c>
      <c r="AW24" s="214"/>
      <c r="AX24" s="215" t="n">
        <v>2.99000000000000021</v>
      </c>
      <c r="AY24" s="214"/>
      <c r="AZ24" s="215" t="n">
        <v>4.99000000000000021</v>
      </c>
      <c r="BA24" s="216" t="n">
        <v>4</v>
      </c>
      <c r="BB24" s="216" t="n">
        <v>4.99000000000000021</v>
      </c>
      <c r="BC24" s="223"/>
      <c r="BD24" s="3"/>
    </row>
    <row r="25" spans="1:56">
      <c r="A25" s="163" t="s">
        <v>282</v>
      </c>
      <c r="B25" s="127" t="n">
        <v>18</v>
      </c>
      <c r="C25" s="128">
        <f>A33-2150+2-112+7-112-72-112-112</f>
        <v>332</v>
      </c>
      <c r="D25" s="129"/>
      <c r="E25" s="130">
        <f aca="1">F25-TODAY()</f>
        <v>0</v>
      </c>
      <c r="F25" s="131">
        <f aca="1">TODAY()</f>
        <v>43991</v>
      </c>
      <c r="G25" s="182" t="s">
        <v>229</v>
      </c>
      <c r="H25" s="159" t="s">
        <v>230</v>
      </c>
      <c r="I25" s="132" t="s">
        <v>231</v>
      </c>
      <c r="J25" s="127"/>
      <c r="K25" s="138" t="n">
        <v>1.99000000000000004</v>
      </c>
      <c r="L25" s="136" t="n">
        <v>2</v>
      </c>
      <c r="M25" s="137" t="n">
        <v>2.99000000000000021</v>
      </c>
      <c r="N25" s="134" t="n">
        <v>3</v>
      </c>
      <c r="O25" s="135" t="n">
        <v>3.99000000000000021</v>
      </c>
      <c r="P25" s="136" t="n">
        <v>4</v>
      </c>
      <c r="Q25" s="137" t="n">
        <v>4.99000000000000021</v>
      </c>
      <c r="R25" s="127"/>
      <c r="S25" s="162" t="n">
        <v>6.99000000000000021</v>
      </c>
      <c r="T25" s="136" t="n">
        <v>2</v>
      </c>
      <c r="U25" s="137" t="n">
        <v>2.99000000000000021</v>
      </c>
      <c r="V25" s="127"/>
      <c r="W25" s="127"/>
      <c r="X25" s="139">
        <f>7-(COUNTBLANK(J25)+COUNTBLANK(L25)+COUNTBLANK(N25)+COUNTBLANK(P25)+COUNTBLANK(R25)+COUNTBLANK(T25)+COUNTBLANK(V25))</f>
        <v>4</v>
      </c>
      <c r="Y25" s="132">
        <f>COUNT(W25,S25,U25,Q25,O25,M25,K25)</f>
        <v>6</v>
      </c>
      <c r="Z25" s="132"/>
      <c r="AA25" s="132"/>
      <c r="AB25" s="132"/>
      <c r="AC25" s="140"/>
      <c r="AD25" s="140" t="n">
        <v>2</v>
      </c>
      <c r="AE25" s="140" t="n">
        <v>3</v>
      </c>
      <c r="AF25" s="140" t="n">
        <v>5</v>
      </c>
      <c r="AG25" s="140" t="n">
        <v>5.5</v>
      </c>
      <c r="AH25" s="140" t="n">
        <v>4.5</v>
      </c>
      <c r="AI25" s="140" t="s">
        <v>232</v>
      </c>
      <c r="AK25" s="211" t="s">
        <v>283</v>
      </c>
      <c r="AL25" s="211" t="n">
        <v>16</v>
      </c>
      <c r="AM25" s="213" t="n">
        <v>-624</v>
      </c>
      <c r="AN25" s="231"/>
      <c r="AO25" s="223"/>
      <c r="AP25" s="223"/>
      <c r="AQ25" s="216" t="n">
        <v>2</v>
      </c>
      <c r="AR25" s="216" t="n">
        <v>2.99000000000000021</v>
      </c>
      <c r="AS25" s="216" t="n">
        <v>5</v>
      </c>
      <c r="AT25" s="217" t="n">
        <v>5.99000000000000021</v>
      </c>
      <c r="AU25" s="218" t="n">
        <v>6</v>
      </c>
      <c r="AV25" s="219" t="n">
        <v>6.99000000000000021</v>
      </c>
      <c r="AW25" s="218" t="n">
        <v>4</v>
      </c>
      <c r="AX25" s="218" t="n">
        <v>4.99000000000000021</v>
      </c>
      <c r="AY25" s="216" t="n">
        <v>4</v>
      </c>
      <c r="AZ25" s="216" t="n">
        <v>4.99000000000000021</v>
      </c>
      <c r="BA25" s="216" t="n">
        <v>3</v>
      </c>
      <c r="BB25" s="216" t="n">
        <v>3.99000000000000021</v>
      </c>
      <c r="BC25" s="223"/>
      <c r="BD25" s="3"/>
    </row>
    <row r="26" spans="1:56">
      <c r="A26" s="163" t="s">
        <v>284</v>
      </c>
      <c r="B26" s="127" t="n">
        <v>17</v>
      </c>
      <c r="C26" s="128">
        <f>88+A33-2516-112-112</f>
        <v>341</v>
      </c>
      <c r="D26" s="129"/>
      <c r="E26" s="130" t="n">
        <v>0</v>
      </c>
      <c r="F26" s="131" t="n">
        <v>43650</v>
      </c>
      <c r="G26" s="164" t="s">
        <v>254</v>
      </c>
      <c r="H26" s="133" t="s">
        <v>260</v>
      </c>
      <c r="I26" s="132" t="s">
        <v>231</v>
      </c>
      <c r="J26" s="160" t="n">
        <v>3</v>
      </c>
      <c r="K26" s="138" t="n">
        <v>4.99000000000000021</v>
      </c>
      <c r="L26" s="160" t="n">
        <v>3</v>
      </c>
      <c r="M26" s="138" t="n">
        <v>4.99000000000000021</v>
      </c>
      <c r="N26" s="127"/>
      <c r="O26" s="138" t="n">
        <v>0.990000000000000036</v>
      </c>
      <c r="P26" s="127"/>
      <c r="Q26" s="138" t="n">
        <v>1.99000000000000004</v>
      </c>
      <c r="R26" s="127"/>
      <c r="S26" s="138" t="n">
        <v>1.99000000000000004</v>
      </c>
      <c r="T26" s="136" t="n">
        <v>0</v>
      </c>
      <c r="U26" s="137" t="n">
        <v>0.990000000000000036</v>
      </c>
      <c r="V26" s="127"/>
      <c r="W26" s="138" t="n">
        <v>1.99000000000000004</v>
      </c>
      <c r="X26" s="139">
        <f>7-(COUNTBLANK(J26)+COUNTBLANK(L26)+COUNTBLANK(N26)+COUNTBLANK(P26)+COUNTBLANK(R26)+COUNTBLANK(T26)+COUNTBLANK(V26))</f>
        <v>3</v>
      </c>
      <c r="Y26" s="132">
        <f>COUNT(W26,S26,U26,Q26,O26,M26,K26)</f>
        <v>7</v>
      </c>
      <c r="Z26" s="132" t="n">
        <v>1</v>
      </c>
      <c r="AA26" s="132"/>
      <c r="AB26" s="132"/>
      <c r="AC26" s="140" t="n">
        <v>4</v>
      </c>
      <c r="AD26" s="140"/>
      <c r="AE26" s="140"/>
      <c r="AF26" s="140"/>
      <c r="AG26" s="140"/>
      <c r="AH26" s="140" t="n">
        <v>6.5</v>
      </c>
      <c r="AI26" s="140" t="s">
        <v>242</v>
      </c>
      <c r="AK26" s="211" t="s">
        <v>285</v>
      </c>
      <c r="AL26" s="211" t="n">
        <v>16</v>
      </c>
      <c r="AM26" s="213" t="n">
        <v>1566</v>
      </c>
      <c r="AN26" s="231" t="s">
        <v>252</v>
      </c>
      <c r="AO26" s="223"/>
      <c r="AP26" s="223"/>
      <c r="AQ26" s="215" t="n">
        <v>2</v>
      </c>
      <c r="AR26" s="223"/>
      <c r="AS26" s="218" t="n">
        <v>4</v>
      </c>
      <c r="AT26" s="218" t="n">
        <v>4.99000000000000021</v>
      </c>
      <c r="AU26" s="216" t="n">
        <v>4</v>
      </c>
      <c r="AV26" s="216" t="n">
        <v>4.99000000000000021</v>
      </c>
      <c r="AW26" s="218" t="n">
        <v>6</v>
      </c>
      <c r="AX26" s="219" t="n">
        <v>6.99000000000000021</v>
      </c>
      <c r="AY26" s="216" t="n">
        <v>4</v>
      </c>
      <c r="AZ26" s="216" t="n">
        <v>4.99000000000000021</v>
      </c>
      <c r="BA26" s="223"/>
      <c r="BB26" s="215" t="n">
        <v>3.99000000000000021</v>
      </c>
      <c r="BC26" s="223"/>
      <c r="BD26" s="3"/>
    </row>
    <row r="27" spans="1:56">
      <c r="A27" s="163" t="s">
        <v>286</v>
      </c>
      <c r="B27" s="127" t="n">
        <v>18</v>
      </c>
      <c r="C27" s="128">
        <f>A32-43400+6-112-112-112</f>
        <v>261</v>
      </c>
      <c r="D27" s="129"/>
      <c r="E27" s="130">
        <f aca="1">F27-TODAY()</f>
        <v>0</v>
      </c>
      <c r="F27" s="131">
        <f aca="1">TODAY()</f>
        <v>43991</v>
      </c>
      <c r="G27" s="159" t="s">
        <v>254</v>
      </c>
      <c r="H27" s="132" t="s">
        <v>230</v>
      </c>
      <c r="I27" s="132" t="s">
        <v>231</v>
      </c>
      <c r="J27" s="127"/>
      <c r="K27" s="138" t="n">
        <v>1.99000000000000004</v>
      </c>
      <c r="L27" s="136" t="n">
        <v>2</v>
      </c>
      <c r="M27" s="137" t="n">
        <v>2.99000000000000021</v>
      </c>
      <c r="N27" s="127"/>
      <c r="O27" s="138" t="n">
        <v>4.99000000000000021</v>
      </c>
      <c r="P27" s="136" t="n">
        <v>4</v>
      </c>
      <c r="Q27" s="137" t="n">
        <v>4.99000000000000021</v>
      </c>
      <c r="R27" s="127"/>
      <c r="S27" s="138" t="n">
        <v>4.99000000000000021</v>
      </c>
      <c r="T27" s="127"/>
      <c r="U27" s="138" t="n">
        <v>3.99000000000000021</v>
      </c>
      <c r="V27" s="127"/>
      <c r="W27" s="127"/>
      <c r="X27" s="139">
        <f>7-(COUNTBLANK(J27)+COUNTBLANK(L27)+COUNTBLANK(N27)+COUNTBLANK(P27)+COUNTBLANK(R27)+COUNTBLANK(T27)+COUNTBLANK(V27))</f>
        <v>2</v>
      </c>
      <c r="Y27" s="132">
        <f>COUNT(W27,S27,U27,Q27,O27,M27,K27)</f>
        <v>6</v>
      </c>
      <c r="Z27" s="132"/>
      <c r="AA27" s="132"/>
      <c r="AB27" s="132"/>
      <c r="AC27" s="140"/>
      <c r="AD27" s="140"/>
      <c r="AE27" s="140" t="n">
        <v>3</v>
      </c>
      <c r="AF27" s="140" t="n">
        <v>4.5</v>
      </c>
      <c r="AG27" s="140" t="n">
        <v>4.5</v>
      </c>
      <c r="AH27" s="140" t="n">
        <v>5</v>
      </c>
      <c r="AI27" s="140" t="s">
        <v>232</v>
      </c>
      <c r="AK27" s="211" t="s">
        <v>287</v>
      </c>
      <c r="AL27" s="211" t="n">
        <v>19</v>
      </c>
      <c r="AM27" s="213" t="n">
        <v>1449</v>
      </c>
      <c r="AN27" s="231" t="s">
        <v>244</v>
      </c>
      <c r="AO27" s="214"/>
      <c r="AP27" s="215" t="n">
        <v>1.99000000000000004</v>
      </c>
      <c r="AQ27" s="216" t="n">
        <v>4</v>
      </c>
      <c r="AR27" s="216" t="n">
        <v>4.99000000000000021</v>
      </c>
      <c r="AS27" s="216" t="n">
        <v>2</v>
      </c>
      <c r="AT27" s="216" t="n">
        <v>2.99000000000000021</v>
      </c>
      <c r="AU27" s="216" t="n">
        <v>4</v>
      </c>
      <c r="AV27" s="216" t="n">
        <v>4.99000000000000021</v>
      </c>
      <c r="AW27" s="218" t="n">
        <v>3</v>
      </c>
      <c r="AX27" s="218" t="n">
        <v>3.99000000000000021</v>
      </c>
      <c r="AY27" s="215" t="n">
        <v>5</v>
      </c>
      <c r="AZ27" s="224" t="n">
        <v>6.99000000000000021</v>
      </c>
      <c r="BA27" s="222" t="n">
        <v>0</v>
      </c>
      <c r="BB27" s="216" t="n">
        <v>0.990000000000000036</v>
      </c>
      <c r="BC27" s="234"/>
      <c r="BD27" s="3"/>
    </row>
    <row r="28" spans="1:56">
      <c r="A28" s="163" t="s">
        <v>288</v>
      </c>
      <c r="B28" s="127" t="n">
        <v>18</v>
      </c>
      <c r="C28" s="128">
        <f>A33-2100-6-93-112+6-36-112-112-112</f>
        <v>316</v>
      </c>
      <c r="D28" s="129"/>
      <c r="E28" s="130">
        <f aca="1">F28-TODAY()</f>
        <v>0</v>
      </c>
      <c r="F28" s="131">
        <f aca="1">TODAY()</f>
        <v>43991</v>
      </c>
      <c r="G28" s="159" t="s">
        <v>289</v>
      </c>
      <c r="H28" s="132" t="s">
        <v>230</v>
      </c>
      <c r="I28" s="132" t="s">
        <v>231</v>
      </c>
      <c r="J28" s="127"/>
      <c r="K28" s="127"/>
      <c r="L28" s="127"/>
      <c r="M28" s="138" t="n">
        <v>2.99000000000000021</v>
      </c>
      <c r="N28" s="127"/>
      <c r="O28" s="138" t="n">
        <v>3.99000000000000021</v>
      </c>
      <c r="P28" s="134" t="n">
        <v>4</v>
      </c>
      <c r="Q28" s="135" t="n">
        <v>4.99000000000000021</v>
      </c>
      <c r="R28" s="136" t="n">
        <v>2</v>
      </c>
      <c r="S28" s="137" t="n">
        <v>2.99000000000000021</v>
      </c>
      <c r="T28" s="127"/>
      <c r="U28" s="138" t="n">
        <v>2.99000000000000021</v>
      </c>
      <c r="V28" s="127"/>
      <c r="W28" s="127"/>
      <c r="X28" s="139">
        <f>7-(COUNTBLANK(J28)+COUNTBLANK(L28)+COUNTBLANK(N28)+COUNTBLANK(P28)+COUNTBLANK(R28)+COUNTBLANK(T28)+COUNTBLANK(V28))</f>
        <v>2</v>
      </c>
      <c r="Y28" s="132">
        <f>COUNT(W28,S28,U28,Q28,O28,M28,K28)</f>
        <v>5</v>
      </c>
      <c r="Z28" s="132"/>
      <c r="AA28" s="132"/>
      <c r="AB28" s="132"/>
      <c r="AC28" s="140" t="n">
        <v>1</v>
      </c>
      <c r="AD28" s="140"/>
      <c r="AE28" s="140" t="n">
        <v>3.5</v>
      </c>
      <c r="AF28" s="140" t="n">
        <v>4</v>
      </c>
      <c r="AG28" s="140" t="n">
        <v>4</v>
      </c>
      <c r="AH28" s="140"/>
      <c r="AI28" s="140" t="s">
        <v>242</v>
      </c>
      <c r="AK28" s="211" t="s">
        <v>290</v>
      </c>
      <c r="AL28" s="211" t="n">
        <v>16</v>
      </c>
      <c r="AM28" s="213" t="n">
        <v>1524</v>
      </c>
      <c r="AN28" s="231"/>
      <c r="AO28" s="214"/>
      <c r="AP28" s="215" t="n">
        <v>1.99000000000000004</v>
      </c>
      <c r="AQ28" s="214"/>
      <c r="AR28" s="215" t="n">
        <v>2.99000000000000021</v>
      </c>
      <c r="AS28" s="216" t="n">
        <v>4</v>
      </c>
      <c r="AT28" s="216" t="n">
        <v>4.99000000000000021</v>
      </c>
      <c r="AU28" s="216" t="n">
        <v>1</v>
      </c>
      <c r="AV28" s="216" t="n">
        <v>1.99000000000000004</v>
      </c>
      <c r="AW28" s="218" t="n">
        <v>6</v>
      </c>
      <c r="AX28" s="219" t="n">
        <v>6.99000000000000021</v>
      </c>
      <c r="AY28" s="216" t="n">
        <v>3</v>
      </c>
      <c r="AZ28" s="216" t="n">
        <v>3.99000000000000021</v>
      </c>
      <c r="BA28" s="214"/>
      <c r="BB28" s="214"/>
      <c r="BC28" s="234"/>
      <c r="BD28" s="3"/>
    </row>
    <row r="29" spans="1:56">
      <c r="A29" s="127"/>
      <c r="B29" s="127"/>
      <c r="C29" s="127"/>
      <c r="D29" s="132"/>
      <c r="E29" s="127"/>
      <c r="F29" s="132"/>
      <c r="G29" s="164"/>
      <c r="H29" s="132"/>
      <c r="I29" s="132"/>
      <c r="J29" s="127"/>
      <c r="K29" s="127"/>
      <c r="L29" s="127"/>
      <c r="M29" s="127"/>
      <c r="N29" s="127"/>
      <c r="O29" s="127"/>
      <c r="P29" s="127"/>
      <c r="Q29" s="127"/>
      <c r="R29" s="127"/>
      <c r="S29" s="127"/>
      <c r="T29" s="127"/>
      <c r="U29" s="127"/>
      <c r="V29" s="127"/>
      <c r="W29" s="127"/>
      <c r="X29" s="132"/>
      <c r="Y29" s="132"/>
      <c r="Z29" s="132"/>
      <c r="AA29" s="132"/>
      <c r="AB29" s="132"/>
      <c r="AC29" s="196"/>
      <c r="AD29" s="196"/>
      <c r="AE29" s="196"/>
      <c r="AF29" s="196"/>
      <c r="AG29" s="196"/>
      <c r="AH29" s="196"/>
      <c r="AI29" s="164"/>
      <c r="AK29" s="211" t="s">
        <v>291</v>
      </c>
      <c r="AL29" s="211" t="n">
        <v>18</v>
      </c>
      <c r="AM29" s="213" t="n">
        <v>1507</v>
      </c>
      <c r="AN29" s="231" t="s">
        <v>202</v>
      </c>
      <c r="AO29" s="214"/>
      <c r="AP29" s="215" t="n">
        <v>1.99000000000000004</v>
      </c>
      <c r="AQ29" s="214"/>
      <c r="AR29" s="215" t="n">
        <v>1.99000000000000004</v>
      </c>
      <c r="AS29" s="215" t="n">
        <v>5</v>
      </c>
      <c r="AT29" s="224" t="n">
        <v>6.99000000000000021</v>
      </c>
      <c r="AU29" s="216" t="n">
        <v>2</v>
      </c>
      <c r="AV29" s="216" t="n">
        <v>2.99000000000000021</v>
      </c>
      <c r="AW29" s="216" t="n">
        <v>2</v>
      </c>
      <c r="AX29" s="216" t="n">
        <v>2.99000000000000021</v>
      </c>
      <c r="AY29" s="216" t="n">
        <v>4</v>
      </c>
      <c r="AZ29" s="216" t="n">
        <v>4.99000000000000021</v>
      </c>
      <c r="BA29" s="216" t="n">
        <v>4</v>
      </c>
      <c r="BB29" s="216" t="n">
        <v>4.99000000000000021</v>
      </c>
      <c r="BC29" s="223"/>
      <c r="BD29" s="3"/>
    </row>
    <row r="30" spans="1:56">
      <c r="A30" s="127"/>
      <c r="B30" s="127"/>
      <c r="C30" s="158"/>
      <c r="D30" s="132"/>
      <c r="E30" s="127"/>
      <c r="F30" s="132"/>
      <c r="G30" s="164"/>
      <c r="H30" s="132"/>
      <c r="I30" s="132"/>
      <c r="J30" s="3"/>
      <c r="K30" s="3"/>
      <c r="L30" s="3"/>
      <c r="M30" s="3"/>
      <c r="N30" s="3"/>
      <c r="O30" s="3"/>
      <c r="P30" s="127"/>
      <c r="Q30" s="127"/>
      <c r="R30" s="127"/>
      <c r="S30" s="127"/>
      <c r="T30" s="127"/>
      <c r="U30" s="127"/>
      <c r="V30" s="127"/>
      <c r="W30" s="127"/>
      <c r="X30" s="132"/>
      <c r="Y30" s="132"/>
      <c r="Z30" s="132"/>
      <c r="AA30" s="132"/>
      <c r="AB30" s="132"/>
      <c r="AC30" s="196"/>
      <c r="AD30" s="196"/>
      <c r="AE30" s="196"/>
      <c r="AF30" s="196"/>
      <c r="AG30" s="197"/>
      <c r="AH30" s="197"/>
      <c r="AI30" s="198"/>
      <c r="AK30" s="211" t="s">
        <v>292</v>
      </c>
      <c r="AL30" s="211" t="n">
        <v>19</v>
      </c>
      <c r="AM30" s="213" t="n">
        <v>1392</v>
      </c>
      <c r="AN30" s="231" t="s">
        <v>293</v>
      </c>
      <c r="AO30" s="223"/>
      <c r="AP30" s="215" t="n">
        <v>1.99000000000000004</v>
      </c>
      <c r="AQ30" s="215" t="n">
        <v>4</v>
      </c>
      <c r="AR30" s="221" t="n">
        <v>5.99000000000000021</v>
      </c>
      <c r="AS30" s="218" t="n">
        <v>4</v>
      </c>
      <c r="AT30" s="218" t="n">
        <v>4.99000000000000021</v>
      </c>
      <c r="AU30" s="216" t="n">
        <v>1</v>
      </c>
      <c r="AV30" s="216" t="n">
        <v>1.99000000000000004</v>
      </c>
      <c r="AW30" s="216" t="n">
        <v>5</v>
      </c>
      <c r="AX30" s="216" t="n">
        <v>5.99000000000000021</v>
      </c>
      <c r="AY30" s="216" t="n">
        <v>2</v>
      </c>
      <c r="AZ30" s="216" t="n">
        <v>2.99000000000000021</v>
      </c>
      <c r="BA30" s="223"/>
      <c r="BB30" s="223"/>
      <c r="BC30" s="223"/>
      <c r="BD30" s="3"/>
    </row>
    <row r="31" spans="1:55">
      <c r="A31" s="199" t="s">
        <v>294</v>
      </c>
      <c r="B31" s="127"/>
      <c r="C31" s="127"/>
      <c r="D31" s="132"/>
      <c r="E31" s="127"/>
      <c r="F31" s="132"/>
      <c r="G31" s="425"/>
      <c r="H31" s="425"/>
      <c r="I31" s="425"/>
      <c r="J31" s="425"/>
      <c r="K31" s="425"/>
      <c r="L31" s="425"/>
      <c r="M31" s="425"/>
      <c r="N31" s="425"/>
      <c r="O31" s="3"/>
      <c r="P31" s="127"/>
      <c r="Q31" s="127"/>
      <c r="R31" s="127"/>
      <c r="S31" s="127"/>
      <c r="T31" s="127"/>
      <c r="U31" s="127"/>
      <c r="V31" s="127"/>
      <c r="W31" s="127"/>
      <c r="X31" s="132"/>
      <c r="Y31" s="132"/>
      <c r="Z31" s="132"/>
      <c r="AA31" s="132"/>
      <c r="AB31" s="132"/>
      <c r="AC31" s="196"/>
      <c r="AD31" s="196"/>
      <c r="AE31" s="196"/>
      <c r="AF31" s="196"/>
      <c r="AG31" s="196"/>
      <c r="AH31" s="196"/>
      <c r="AI31" s="164"/>
      <c r="AK31" s="211" t="s">
        <v>295</v>
      </c>
      <c r="AL31" s="211" t="n">
        <v>18</v>
      </c>
      <c r="AM31" s="213" t="n">
        <v>1470</v>
      </c>
      <c r="AN31" s="231"/>
      <c r="AO31" s="223"/>
      <c r="AP31" s="215" t="n">
        <v>1.99000000000000004</v>
      </c>
      <c r="AQ31" s="216" t="n">
        <v>3</v>
      </c>
      <c r="AR31" s="216" t="n">
        <v>3.99000000000000021</v>
      </c>
      <c r="AS31" s="216" t="n">
        <v>3</v>
      </c>
      <c r="AT31" s="216" t="n">
        <v>3.99000000000000021</v>
      </c>
      <c r="AU31" s="218" t="n">
        <v>6</v>
      </c>
      <c r="AV31" s="219" t="n">
        <v>6.99000000000000021</v>
      </c>
      <c r="AW31" s="216" t="n">
        <v>2</v>
      </c>
      <c r="AX31" s="216" t="n">
        <v>2.99000000000000021</v>
      </c>
      <c r="AY31" s="216" t="n">
        <v>4</v>
      </c>
      <c r="AZ31" s="216" t="n">
        <v>4.99000000000000021</v>
      </c>
      <c r="BA31" s="223"/>
      <c r="BB31" s="215" t="n">
        <v>3.99000000000000021</v>
      </c>
      <c r="BC31" s="225" t="s">
        <v>296</v>
      </c>
    </row>
    <row r="32" spans="1:55">
      <c r="A32" s="200">
        <f aca="1">TODAY()</f>
        <v>43991</v>
      </c>
      <c r="B32" s="127"/>
      <c r="C32" s="127"/>
      <c r="D32" s="139"/>
      <c r="E32" s="127"/>
      <c r="F32" s="201"/>
      <c r="G32" s="202"/>
      <c r="H32" s="201"/>
      <c r="I32" s="201"/>
      <c r="J32" s="127"/>
      <c r="K32" s="127"/>
      <c r="L32" s="127"/>
      <c r="M32" s="127"/>
      <c r="N32" s="127"/>
      <c r="O32" s="127"/>
      <c r="P32" s="127"/>
      <c r="Q32" s="127"/>
      <c r="R32" s="127"/>
      <c r="S32" s="127"/>
      <c r="T32" s="127"/>
      <c r="U32" s="127"/>
      <c r="V32" s="201"/>
      <c r="W32" s="201"/>
      <c r="X32" s="201"/>
      <c r="Y32" s="201"/>
      <c r="Z32" s="201"/>
      <c r="AA32" s="201"/>
      <c r="AB32" s="201"/>
      <c r="AC32" s="196"/>
      <c r="AD32" s="196"/>
      <c r="AE32" s="196"/>
      <c r="AF32" s="196"/>
      <c r="AG32" s="196"/>
      <c r="AH32" s="196"/>
      <c r="AI32" s="164"/>
      <c r="AK32" s="211" t="s">
        <v>297</v>
      </c>
      <c r="AL32" s="211" t="n">
        <v>17</v>
      </c>
      <c r="AM32" s="213" t="n">
        <v>1357</v>
      </c>
      <c r="AN32" s="231" t="s">
        <v>250</v>
      </c>
      <c r="AO32" s="223"/>
      <c r="AP32" s="223"/>
      <c r="AQ32" s="223"/>
      <c r="AR32" s="215" t="n">
        <v>2.99000000000000021</v>
      </c>
      <c r="AS32" s="218" t="n">
        <v>5</v>
      </c>
      <c r="AT32" s="219" t="n">
        <v>5.99000000000000021</v>
      </c>
      <c r="AU32" s="218" t="n">
        <v>6</v>
      </c>
      <c r="AV32" s="219" t="n">
        <v>6.99000000000000021</v>
      </c>
      <c r="AW32" s="216" t="n">
        <v>3</v>
      </c>
      <c r="AX32" s="216" t="n">
        <v>3.99000000000000021</v>
      </c>
      <c r="AY32" s="216" t="n">
        <v>3</v>
      </c>
      <c r="AZ32" s="216" t="n">
        <v>3.99000000000000021</v>
      </c>
      <c r="BA32" s="223"/>
      <c r="BB32" s="215" t="n">
        <v>2.99000000000000021</v>
      </c>
      <c r="BC32" s="225" t="n">
        <v>42287</v>
      </c>
    </row>
    <row r="33" spans="1:55">
      <c r="A33" s="158">
        <f>411+A36</f>
        <v>2993</v>
      </c>
      <c r="B33" s="127"/>
      <c r="C33" s="127"/>
      <c r="D33" s="132"/>
      <c r="E33" s="127"/>
      <c r="F33" s="201"/>
      <c r="G33" s="202"/>
      <c r="H33" s="201"/>
      <c r="I33" s="201"/>
      <c r="J33" s="127"/>
      <c r="K33" s="127"/>
      <c r="L33" s="127"/>
      <c r="M33" s="127"/>
      <c r="N33" s="127"/>
      <c r="O33" s="127"/>
      <c r="P33" s="127"/>
      <c r="Q33" s="127"/>
      <c r="R33" s="127"/>
      <c r="S33" s="127"/>
      <c r="T33" s="127"/>
      <c r="U33" s="127"/>
      <c r="V33" s="127"/>
      <c r="W33" s="201"/>
      <c r="X33" s="201"/>
      <c r="Y33" s="201"/>
      <c r="Z33" s="201"/>
      <c r="AA33" s="201"/>
      <c r="AB33" s="201"/>
      <c r="AC33" s="203"/>
      <c r="AD33" s="203"/>
      <c r="AE33" s="196"/>
      <c r="AF33" s="196"/>
      <c r="AG33" s="196"/>
      <c r="AH33" s="196"/>
      <c r="AI33" s="164"/>
      <c r="AK33" s="211" t="s">
        <v>298</v>
      </c>
      <c r="AL33" s="211" t="n">
        <v>17</v>
      </c>
      <c r="AM33" s="213" t="n">
        <v>1358</v>
      </c>
      <c r="AN33" s="231" t="s">
        <v>244</v>
      </c>
      <c r="AO33" s="223"/>
      <c r="AP33" s="223"/>
      <c r="AQ33" s="218" t="n">
        <v>4</v>
      </c>
      <c r="AR33" s="218" t="n">
        <v>4.99000000000000021</v>
      </c>
      <c r="AS33" s="218" t="n">
        <v>5</v>
      </c>
      <c r="AT33" s="219" t="n">
        <v>5.99000000000000021</v>
      </c>
      <c r="AU33" s="216" t="n">
        <v>2</v>
      </c>
      <c r="AV33" s="216" t="n">
        <v>2.99000000000000021</v>
      </c>
      <c r="AW33" s="216" t="n">
        <v>3</v>
      </c>
      <c r="AX33" s="216" t="n">
        <v>3.99000000000000021</v>
      </c>
      <c r="AY33" s="216" t="n">
        <v>3</v>
      </c>
      <c r="AZ33" s="216" t="n">
        <v>3.99000000000000021</v>
      </c>
      <c r="BA33" s="216" t="n">
        <v>3</v>
      </c>
      <c r="BB33" s="216" t="n">
        <v>3.99000000000000021</v>
      </c>
      <c r="BC33" s="225" t="s">
        <v>296</v>
      </c>
    </row>
    <row r="34" spans="1:55">
      <c r="A34" s="127"/>
      <c r="B34" s="127"/>
      <c r="C34" s="127"/>
      <c r="D34" s="132"/>
      <c r="E34" s="127"/>
      <c r="F34" s="132"/>
      <c r="G34" s="164"/>
      <c r="H34" s="132"/>
      <c r="I34" s="132"/>
      <c r="J34" s="127"/>
      <c r="K34" s="127"/>
      <c r="L34" s="127"/>
      <c r="M34" s="127"/>
      <c r="N34" s="127"/>
      <c r="O34" s="127"/>
      <c r="P34" s="127"/>
      <c r="Q34" s="127"/>
      <c r="R34" s="127"/>
      <c r="S34" s="127"/>
      <c r="T34" s="127"/>
      <c r="U34" s="127"/>
      <c r="V34" s="127"/>
      <c r="W34" s="127"/>
      <c r="X34" s="132"/>
      <c r="Y34" s="132"/>
      <c r="Z34" s="132"/>
      <c r="AA34" s="132"/>
      <c r="AB34" s="132"/>
      <c r="AC34" s="196"/>
      <c r="AD34" s="196"/>
      <c r="AE34" s="196"/>
      <c r="AF34" s="196"/>
      <c r="AG34" s="196"/>
      <c r="AH34" s="196"/>
      <c r="AI34" s="164"/>
      <c r="AK34" s="211" t="s">
        <v>299</v>
      </c>
      <c r="AL34" s="211" t="n">
        <v>17</v>
      </c>
      <c r="AM34" s="213" t="n">
        <v>1417</v>
      </c>
      <c r="AN34" s="231" t="s">
        <v>270</v>
      </c>
      <c r="AO34" s="214"/>
      <c r="AP34" s="214"/>
      <c r="AQ34" s="214"/>
      <c r="AR34" s="215" t="n">
        <v>2.99000000000000021</v>
      </c>
      <c r="AS34" s="218" t="n">
        <v>5</v>
      </c>
      <c r="AT34" s="219" t="n">
        <v>5.99000000000000021</v>
      </c>
      <c r="AU34" s="216" t="n">
        <v>3</v>
      </c>
      <c r="AV34" s="216" t="n">
        <v>3.99000000000000021</v>
      </c>
      <c r="AW34" s="216" t="n">
        <v>3</v>
      </c>
      <c r="AX34" s="216" t="n">
        <v>3.99000000000000021</v>
      </c>
      <c r="AY34" s="214"/>
      <c r="AZ34" s="215" t="n">
        <v>4.99000000000000021</v>
      </c>
      <c r="BA34" s="214"/>
      <c r="BB34" s="215" t="n">
        <v>3.99000000000000021</v>
      </c>
      <c r="BC34" s="225" t="s">
        <v>296</v>
      </c>
    </row>
    <row r="35" spans="1:55">
      <c r="A35" s="204" t="n">
        <v>41409</v>
      </c>
      <c r="B35" s="127"/>
      <c r="C35" s="127"/>
      <c r="D35" s="132"/>
      <c r="E35" s="127"/>
      <c r="F35" s="132"/>
      <c r="G35" s="164"/>
      <c r="H35" s="132"/>
      <c r="I35" s="132"/>
      <c r="J35" s="127"/>
      <c r="K35" s="127"/>
      <c r="L35" s="127"/>
      <c r="M35" s="127"/>
      <c r="N35" s="127"/>
      <c r="O35" s="127"/>
      <c r="P35" s="127"/>
      <c r="Q35" s="127"/>
      <c r="R35" s="127"/>
      <c r="S35" s="127"/>
      <c r="T35" s="127"/>
      <c r="U35" s="127"/>
      <c r="V35" s="127"/>
      <c r="W35" s="127"/>
      <c r="X35" s="132"/>
      <c r="Y35" s="132"/>
      <c r="Z35" s="132"/>
      <c r="AA35" s="132"/>
      <c r="AB35" s="132"/>
      <c r="AC35" s="196"/>
      <c r="AD35" s="196"/>
      <c r="AE35" s="196"/>
      <c r="AF35" s="196"/>
      <c r="AG35" s="196"/>
      <c r="AH35" s="196"/>
      <c r="AI35" s="164"/>
      <c r="AK35" s="211" t="s">
        <v>300</v>
      </c>
      <c r="AL35" s="211" t="n">
        <v>17</v>
      </c>
      <c r="AM35" s="213" t="n">
        <v>1296</v>
      </c>
      <c r="AN35" s="231"/>
      <c r="AO35" s="223"/>
      <c r="AP35" s="215" t="n">
        <v>1.99000000000000004</v>
      </c>
      <c r="AQ35" s="223"/>
      <c r="AR35" s="215" t="n">
        <v>2.99000000000000021</v>
      </c>
      <c r="AS35" s="216" t="n">
        <v>6</v>
      </c>
      <c r="AT35" s="217" t="n">
        <v>6.99000000000000021</v>
      </c>
      <c r="AU35" s="216" t="n">
        <v>3</v>
      </c>
      <c r="AV35" s="216" t="n">
        <v>3.99000000000000021</v>
      </c>
      <c r="AW35" s="218" t="n">
        <v>5</v>
      </c>
      <c r="AX35" s="219" t="n">
        <v>5.99000000000000021</v>
      </c>
      <c r="AY35" s="216" t="n">
        <v>4</v>
      </c>
      <c r="AZ35" s="216" t="n">
        <v>4.99000000000000021</v>
      </c>
      <c r="BA35" s="216" t="n">
        <v>1</v>
      </c>
      <c r="BB35" s="216" t="n">
        <v>1.99000000000000004</v>
      </c>
      <c r="BC35" s="225" t="n">
        <v>42348</v>
      </c>
    </row>
    <row r="36" spans="1:55">
      <c r="A36" s="204">
        <f>A32-A35</f>
        <v>2582</v>
      </c>
      <c r="B36" s="127"/>
      <c r="C36" s="158"/>
      <c r="D36" s="132"/>
      <c r="E36" s="127"/>
      <c r="F36" s="131"/>
      <c r="G36" s="164"/>
      <c r="H36" s="132"/>
      <c r="I36" s="132"/>
      <c r="J36" s="127"/>
      <c r="K36" s="127"/>
      <c r="L36" s="127"/>
      <c r="M36" s="127"/>
      <c r="N36" s="127"/>
      <c r="O36" s="127"/>
      <c r="P36" s="127"/>
      <c r="Q36" s="127"/>
      <c r="R36" s="127"/>
      <c r="S36" s="127"/>
      <c r="T36" s="127"/>
      <c r="U36" s="127"/>
      <c r="V36" s="127"/>
      <c r="W36" s="127"/>
      <c r="X36" s="132"/>
      <c r="Y36" s="132"/>
      <c r="Z36" s="132"/>
      <c r="AA36" s="132"/>
      <c r="AB36" s="132"/>
      <c r="AC36" s="196"/>
      <c r="AD36" s="196"/>
      <c r="AE36" s="196"/>
      <c r="AF36" s="196"/>
      <c r="AG36" s="196"/>
      <c r="AH36" s="196"/>
      <c r="AI36" s="164"/>
      <c r="AK36" s="211" t="s">
        <v>301</v>
      </c>
      <c r="AL36" s="211" t="n">
        <v>17</v>
      </c>
      <c r="AM36" s="213" t="n">
        <v>1312</v>
      </c>
      <c r="AN36" s="231" t="s">
        <v>293</v>
      </c>
      <c r="AO36" s="223"/>
      <c r="AP36" s="215" t="n">
        <v>1.99000000000000004</v>
      </c>
      <c r="AQ36" s="218" t="n">
        <v>2</v>
      </c>
      <c r="AR36" s="218" t="n">
        <v>2.99000000000000021</v>
      </c>
      <c r="AS36" s="218" t="n">
        <v>6</v>
      </c>
      <c r="AT36" s="219" t="n">
        <v>6.99000000000000021</v>
      </c>
      <c r="AU36" s="223"/>
      <c r="AV36" s="223" t="n">
        <v>2.99000000000000021</v>
      </c>
      <c r="AW36" s="215" t="n">
        <v>3</v>
      </c>
      <c r="AX36" s="223" t="n">
        <v>3.99000000000000021</v>
      </c>
      <c r="AY36" s="216" t="n">
        <v>4</v>
      </c>
      <c r="AZ36" s="216" t="n">
        <v>4.99000000000000021</v>
      </c>
      <c r="BA36" s="223"/>
      <c r="BB36" s="223"/>
      <c r="BC36" s="225" t="n">
        <v>42358</v>
      </c>
    </row>
    <row r="37" spans="1:55">
      <c r="A37" s="127"/>
      <c r="B37" s="127"/>
      <c r="C37" s="127"/>
      <c r="D37" s="132"/>
      <c r="E37" s="127"/>
      <c r="F37" s="132"/>
      <c r="G37" s="164"/>
      <c r="H37" s="132"/>
      <c r="I37" s="132"/>
      <c r="J37" s="127"/>
      <c r="K37" s="127"/>
      <c r="L37" s="127"/>
      <c r="M37" s="127"/>
      <c r="N37" s="127"/>
      <c r="O37" s="127"/>
      <c r="P37" s="127"/>
      <c r="Q37" s="127"/>
      <c r="R37" s="127"/>
      <c r="S37" s="127"/>
      <c r="T37" s="127"/>
      <c r="U37" s="127"/>
      <c r="V37" s="127"/>
      <c r="W37" s="127"/>
      <c r="X37" s="132"/>
      <c r="Y37" s="132"/>
      <c r="Z37" s="132"/>
      <c r="AA37" s="132"/>
      <c r="AB37" s="132"/>
      <c r="AC37" s="196"/>
      <c r="AD37" s="196"/>
      <c r="AE37" s="196"/>
      <c r="AF37" s="196"/>
      <c r="AG37" s="196"/>
      <c r="AH37" s="196"/>
      <c r="AI37" s="164"/>
      <c r="AK37" s="211" t="s">
        <v>302</v>
      </c>
      <c r="AL37" s="211" t="n">
        <v>17</v>
      </c>
      <c r="AM37" s="213" t="n">
        <v>1277</v>
      </c>
      <c r="AN37" s="231"/>
      <c r="AO37" s="223"/>
      <c r="AP37" s="223"/>
      <c r="AQ37" s="223"/>
      <c r="AR37" s="215" t="n">
        <v>2.99000000000000021</v>
      </c>
      <c r="AS37" s="218" t="n">
        <v>5</v>
      </c>
      <c r="AT37" s="219" t="n">
        <v>5.99000000000000021</v>
      </c>
      <c r="AU37" s="223"/>
      <c r="AV37" s="215" t="n">
        <v>3.99000000000000021</v>
      </c>
      <c r="AW37" s="218" t="n">
        <v>5</v>
      </c>
      <c r="AX37" s="219" t="n">
        <v>5.99000000000000021</v>
      </c>
      <c r="AY37" s="218" t="n">
        <v>5</v>
      </c>
      <c r="AZ37" s="219" t="n">
        <v>5.99000000000000021</v>
      </c>
      <c r="BA37" s="223"/>
      <c r="BB37" s="223"/>
      <c r="BC37" s="225" t="n">
        <v>42369</v>
      </c>
    </row>
    <row r="38" spans="1:55">
      <c r="A38" s="127"/>
      <c r="B38" s="127"/>
      <c r="C38" s="127"/>
      <c r="D38" s="132"/>
      <c r="E38" s="127"/>
      <c r="F38" s="132"/>
      <c r="G38" s="164"/>
      <c r="H38" s="132"/>
      <c r="I38" s="132"/>
      <c r="J38" s="127"/>
      <c r="K38" s="127"/>
      <c r="L38" s="127"/>
      <c r="M38" s="127"/>
      <c r="N38" s="127"/>
      <c r="O38" s="127"/>
      <c r="P38" s="127"/>
      <c r="Q38" s="127"/>
      <c r="R38" s="127"/>
      <c r="S38" s="127"/>
      <c r="T38" s="127"/>
      <c r="U38" s="127"/>
      <c r="V38" s="127"/>
      <c r="W38" s="127"/>
      <c r="X38" s="132"/>
      <c r="Y38" s="132"/>
      <c r="Z38" s="132"/>
      <c r="AA38" s="132"/>
      <c r="AB38" s="132"/>
      <c r="AC38" s="196"/>
      <c r="AD38" s="196"/>
      <c r="AE38" s="196"/>
      <c r="AF38" s="196"/>
      <c r="AG38" s="196"/>
      <c r="AH38" s="196"/>
      <c r="AI38" s="164"/>
      <c r="AK38" s="211" t="s">
        <v>303</v>
      </c>
      <c r="AL38" s="211" t="n">
        <v>18</v>
      </c>
      <c r="AM38" s="213" t="n">
        <v>1366</v>
      </c>
      <c r="AN38" s="231"/>
      <c r="AO38" s="214"/>
      <c r="AP38" s="215" t="n">
        <v>0.990000000000000036</v>
      </c>
      <c r="AQ38" s="215" t="n">
        <v>4</v>
      </c>
      <c r="AR38" s="224" t="n">
        <v>6.99000000000000021</v>
      </c>
      <c r="AS38" s="218" t="n">
        <v>5</v>
      </c>
      <c r="AT38" s="219" t="n">
        <v>5.99000000000000021</v>
      </c>
      <c r="AU38" s="214"/>
      <c r="AV38" s="215" t="n">
        <v>3.99000000000000021</v>
      </c>
      <c r="AW38" s="216" t="n">
        <v>3</v>
      </c>
      <c r="AX38" s="216" t="n">
        <v>3.99000000000000021</v>
      </c>
      <c r="AY38" s="216" t="n">
        <v>6</v>
      </c>
      <c r="AZ38" s="217" t="n">
        <v>6.99000000000000021</v>
      </c>
      <c r="BA38" s="214"/>
      <c r="BB38" s="215" t="n">
        <v>4.99000000000000021</v>
      </c>
      <c r="BC38" s="225" t="s">
        <v>296</v>
      </c>
    </row>
    <row r="39" spans="1:55">
      <c r="A39" s="127"/>
      <c r="B39" s="127"/>
      <c r="C39" s="127"/>
      <c r="D39" s="132"/>
      <c r="E39" s="127"/>
      <c r="F39" s="132"/>
      <c r="G39" s="164"/>
      <c r="H39" s="132"/>
      <c r="I39" s="132"/>
      <c r="J39" s="127"/>
      <c r="K39" s="127"/>
      <c r="L39" s="127"/>
      <c r="M39" s="127"/>
      <c r="N39" s="127"/>
      <c r="O39" s="127"/>
      <c r="P39" s="127"/>
      <c r="Q39" s="127"/>
      <c r="R39" s="127"/>
      <c r="S39" s="127"/>
      <c r="T39" s="127"/>
      <c r="U39" s="127"/>
      <c r="V39" s="127"/>
      <c r="W39" s="127"/>
      <c r="X39" s="132"/>
      <c r="Y39" s="132"/>
      <c r="Z39" s="132"/>
      <c r="AA39" s="132"/>
      <c r="AB39" s="132"/>
      <c r="AC39" s="196"/>
      <c r="AD39" s="196"/>
      <c r="AE39" s="196"/>
      <c r="AF39" s="196"/>
      <c r="AG39" s="196"/>
      <c r="AH39" s="196"/>
      <c r="AI39" s="164"/>
      <c r="AK39" s="211" t="s">
        <v>304</v>
      </c>
      <c r="AL39" s="211" t="n">
        <v>17</v>
      </c>
      <c r="AM39" s="213" t="n">
        <v>1283</v>
      </c>
      <c r="AN39" s="231"/>
      <c r="AO39" s="223"/>
      <c r="AP39" s="215" t="n">
        <v>1.99000000000000004</v>
      </c>
      <c r="AQ39" s="218" t="n">
        <v>4</v>
      </c>
      <c r="AR39" s="218" t="n">
        <v>4.99000000000000021</v>
      </c>
      <c r="AS39" s="216" t="n">
        <v>2</v>
      </c>
      <c r="AT39" s="216" t="n">
        <v>2.99000000000000021</v>
      </c>
      <c r="AU39" s="216" t="n">
        <v>3</v>
      </c>
      <c r="AV39" s="216" t="n">
        <v>3.99000000000000021</v>
      </c>
      <c r="AW39" s="218" t="n">
        <v>6</v>
      </c>
      <c r="AX39" s="219" t="n">
        <v>6.99000000000000021</v>
      </c>
      <c r="AY39" s="216" t="n">
        <v>3</v>
      </c>
      <c r="AZ39" s="216" t="n">
        <v>3.99000000000000021</v>
      </c>
      <c r="BA39" s="223"/>
      <c r="BB39" s="215" t="n">
        <v>2.99000000000000021</v>
      </c>
      <c r="BC39" s="225" t="n">
        <v>42361</v>
      </c>
    </row>
    <row r="40" spans="37:55">
      <c r="AK40" s="211" t="s">
        <v>305</v>
      </c>
      <c r="AL40" s="211" t="n">
        <v>16</v>
      </c>
      <c r="AM40" s="213" t="n">
        <v>1347</v>
      </c>
      <c r="AN40" s="231"/>
      <c r="AO40" s="223"/>
      <c r="AP40" s="223"/>
      <c r="AQ40" s="215" t="n">
        <v>4</v>
      </c>
      <c r="AR40" s="221" t="n">
        <v>5.99000000000000021</v>
      </c>
      <c r="AS40" s="218" t="n">
        <v>2</v>
      </c>
      <c r="AT40" s="218" t="n">
        <v>2.99000000000000021</v>
      </c>
      <c r="AU40" s="216" t="n">
        <v>4</v>
      </c>
      <c r="AV40" s="216" t="n">
        <v>4.99000000000000021</v>
      </c>
      <c r="AW40" s="218" t="n">
        <v>6</v>
      </c>
      <c r="AX40" s="219" t="n">
        <v>6.99000000000000021</v>
      </c>
      <c r="AY40" s="216" t="n">
        <v>4</v>
      </c>
      <c r="AZ40" s="216" t="n">
        <v>4.99000000000000021</v>
      </c>
      <c r="BA40" s="223"/>
      <c r="BB40" s="223"/>
      <c r="BC40" s="225" t="n">
        <v>42409</v>
      </c>
    </row>
    <row r="41" spans="37:55">
      <c r="AK41" s="211" t="s">
        <v>306</v>
      </c>
      <c r="AL41" s="211" t="n">
        <v>17</v>
      </c>
      <c r="AM41" s="213" t="n">
        <v>1269</v>
      </c>
      <c r="AN41" s="231" t="s">
        <v>244</v>
      </c>
      <c r="AO41" s="214"/>
      <c r="AP41" s="215" t="n">
        <v>1.99000000000000004</v>
      </c>
      <c r="AQ41" s="218" t="n">
        <v>5</v>
      </c>
      <c r="AR41" s="219" t="n">
        <v>5.99000000000000021</v>
      </c>
      <c r="AS41" s="216" t="n">
        <v>5</v>
      </c>
      <c r="AT41" s="217" t="n">
        <v>5.99000000000000021</v>
      </c>
      <c r="AU41" s="218" t="n">
        <v>3</v>
      </c>
      <c r="AV41" s="218" t="n">
        <v>3.99000000000000021</v>
      </c>
      <c r="AW41" s="216" t="n">
        <v>2</v>
      </c>
      <c r="AX41" s="216" t="n">
        <v>2.99000000000000021</v>
      </c>
      <c r="AY41" s="216" t="n">
        <v>2</v>
      </c>
      <c r="AZ41" s="216" t="n">
        <v>2.99000000000000021</v>
      </c>
      <c r="BA41" s="214"/>
      <c r="BB41" s="214"/>
      <c r="BC41" s="225" t="n">
        <v>42375</v>
      </c>
    </row>
    <row r="42" spans="37:55">
      <c r="AK42" s="211" t="s">
        <v>307</v>
      </c>
      <c r="AL42" s="211" t="n">
        <v>17</v>
      </c>
      <c r="AM42" s="213" t="n">
        <v>1213</v>
      </c>
      <c r="AN42" s="231" t="s">
        <v>244</v>
      </c>
      <c r="AO42" s="223"/>
      <c r="AP42" s="223"/>
      <c r="AQ42" s="223"/>
      <c r="AR42" s="215" t="n">
        <v>2.99000000000000021</v>
      </c>
      <c r="AS42" s="218" t="n">
        <v>5</v>
      </c>
      <c r="AT42" s="219" t="n">
        <v>5.99000000000000021</v>
      </c>
      <c r="AU42" s="223"/>
      <c r="AV42" s="215" t="n">
        <v>2.99000000000000021</v>
      </c>
      <c r="AW42" s="218" t="n">
        <v>3</v>
      </c>
      <c r="AX42" s="223" t="n">
        <v>3.99000000000000021</v>
      </c>
      <c r="AY42" s="218" t="n">
        <v>6</v>
      </c>
      <c r="AZ42" s="219" t="n">
        <v>6.99000000000000021</v>
      </c>
      <c r="BA42" s="216" t="n">
        <v>2</v>
      </c>
      <c r="BB42" s="216" t="n">
        <v>2.99000000000000021</v>
      </c>
      <c r="BC42" s="225" t="n">
        <v>42431</v>
      </c>
    </row>
    <row r="43" spans="37:55">
      <c r="AK43" s="211" t="s">
        <v>308</v>
      </c>
      <c r="AL43" s="211" t="n">
        <v>17</v>
      </c>
      <c r="AM43" s="213" t="n">
        <v>1214</v>
      </c>
      <c r="AN43" s="231"/>
      <c r="AO43" s="223"/>
      <c r="AP43" s="215" t="n">
        <v>1.99000000000000004</v>
      </c>
      <c r="AQ43" s="218" t="n">
        <v>4</v>
      </c>
      <c r="AR43" s="218" t="n">
        <v>4.99000000000000021</v>
      </c>
      <c r="AS43" s="216" t="n">
        <v>5</v>
      </c>
      <c r="AT43" s="217" t="n">
        <v>5.99000000000000021</v>
      </c>
      <c r="AU43" s="223"/>
      <c r="AV43" s="215" t="n">
        <v>4.99000000000000021</v>
      </c>
      <c r="AW43" s="218" t="n">
        <v>5</v>
      </c>
      <c r="AX43" s="219" t="n">
        <v>5.99000000000000021</v>
      </c>
      <c r="AY43" s="216" t="n">
        <v>3</v>
      </c>
      <c r="AZ43" s="216" t="n">
        <v>3.99000000000000021</v>
      </c>
      <c r="BA43" s="216" t="n">
        <v>2</v>
      </c>
      <c r="BB43" s="216" t="n">
        <v>2.99000000000000021</v>
      </c>
      <c r="BC43" s="225" t="n">
        <v>42430</v>
      </c>
    </row>
    <row r="44" spans="37:55">
      <c r="AK44" s="211" t="s">
        <v>309</v>
      </c>
      <c r="AL44" s="211" t="n">
        <v>17</v>
      </c>
      <c r="AM44" s="213" t="n">
        <v>1221</v>
      </c>
      <c r="AN44" s="231"/>
      <c r="AO44" s="223"/>
      <c r="AP44" s="223"/>
      <c r="AQ44" s="216" t="n">
        <v>3</v>
      </c>
      <c r="AR44" s="216" t="n">
        <v>3.99000000000000021</v>
      </c>
      <c r="AS44" s="218" t="n">
        <v>4</v>
      </c>
      <c r="AT44" s="218" t="n">
        <v>4.99000000000000021</v>
      </c>
      <c r="AU44" s="218" t="n">
        <v>4</v>
      </c>
      <c r="AV44" s="218" t="n">
        <v>4.99000000000000021</v>
      </c>
      <c r="AW44" s="223"/>
      <c r="AX44" s="215" t="n">
        <v>4.99000000000000021</v>
      </c>
      <c r="AY44" s="218" t="n">
        <v>5</v>
      </c>
      <c r="AZ44" s="219" t="n">
        <v>5.99000000000000021</v>
      </c>
      <c r="BA44" s="216" t="n">
        <v>1</v>
      </c>
      <c r="BB44" s="216" t="n">
        <v>1.99000000000000004</v>
      </c>
      <c r="BC44" s="225" t="n">
        <v>42516</v>
      </c>
    </row>
    <row r="45" spans="37:55">
      <c r="AK45" s="211" t="s">
        <v>310</v>
      </c>
      <c r="AL45" s="211" t="n">
        <v>16</v>
      </c>
      <c r="AM45" s="213" t="n">
        <v>1228</v>
      </c>
      <c r="AN45" s="231" t="s">
        <v>250</v>
      </c>
      <c r="AO45" s="223"/>
      <c r="AP45" s="215" t="n">
        <v>1.99000000000000004</v>
      </c>
      <c r="AQ45" s="218" t="n">
        <v>5</v>
      </c>
      <c r="AR45" s="219" t="n">
        <v>5.99000000000000021</v>
      </c>
      <c r="AS45" s="218" t="n">
        <v>5</v>
      </c>
      <c r="AT45" s="219" t="n">
        <v>5.99000000000000021</v>
      </c>
      <c r="AU45" s="218" t="n">
        <v>3</v>
      </c>
      <c r="AV45" s="218" t="n">
        <v>3.99000000000000021</v>
      </c>
      <c r="AW45" s="218" t="n">
        <v>3</v>
      </c>
      <c r="AX45" s="218" t="n">
        <v>3.99000000000000021</v>
      </c>
      <c r="AY45" s="216" t="n">
        <v>1</v>
      </c>
      <c r="AZ45" s="216" t="n">
        <v>1.99000000000000004</v>
      </c>
      <c r="BA45" s="223"/>
      <c r="BB45" s="223"/>
      <c r="BC45" s="225" t="n">
        <v>42528</v>
      </c>
    </row>
    <row r="46" spans="37:55">
      <c r="AK46" s="211" t="s">
        <v>311</v>
      </c>
      <c r="AL46" s="211" t="n">
        <v>18</v>
      </c>
      <c r="AM46" s="213" t="n">
        <v>1205</v>
      </c>
      <c r="AN46" s="231"/>
      <c r="AO46" s="223"/>
      <c r="AP46" s="223"/>
      <c r="AQ46" s="218" t="n">
        <v>6</v>
      </c>
      <c r="AR46" s="219" t="n">
        <v>6.99000000000000021</v>
      </c>
      <c r="AS46" s="216" t="n">
        <v>4</v>
      </c>
      <c r="AT46" s="216" t="n">
        <v>4.99000000000000021</v>
      </c>
      <c r="AU46" s="223"/>
      <c r="AV46" s="215" t="n">
        <v>2.99000000000000021</v>
      </c>
      <c r="AW46" s="218" t="n">
        <v>3</v>
      </c>
      <c r="AX46" s="218" t="n">
        <v>3.99000000000000021</v>
      </c>
      <c r="AY46" s="216" t="n">
        <v>2</v>
      </c>
      <c r="AZ46" s="216" t="n">
        <v>2.99000000000000021</v>
      </c>
      <c r="BA46" s="216" t="n">
        <v>2</v>
      </c>
      <c r="BB46" s="216" t="n">
        <v>2.99000000000000021</v>
      </c>
      <c r="BC46" s="225" t="n">
        <v>42327</v>
      </c>
    </row>
    <row r="47" spans="37:55">
      <c r="AK47" s="211" t="s">
        <v>312</v>
      </c>
      <c r="AL47" s="211" t="n">
        <v>17</v>
      </c>
      <c r="AM47" s="213" t="n">
        <v>1042</v>
      </c>
      <c r="AN47" s="231"/>
      <c r="AO47" s="223"/>
      <c r="AP47" s="223"/>
      <c r="AQ47" s="216" t="n">
        <v>4</v>
      </c>
      <c r="AR47" s="216" t="n">
        <v>4.99000000000000021</v>
      </c>
      <c r="AS47" s="216" t="n">
        <v>5</v>
      </c>
      <c r="AT47" s="217" t="n">
        <v>5.99000000000000021</v>
      </c>
      <c r="AU47" s="223"/>
      <c r="AV47" s="215" t="n">
        <v>2.99000000000000021</v>
      </c>
      <c r="AW47" s="223"/>
      <c r="AX47" s="215" t="n">
        <v>3.99000000000000021</v>
      </c>
      <c r="AY47" s="216" t="n">
        <v>3</v>
      </c>
      <c r="AZ47" s="216" t="n">
        <v>3.99000000000000021</v>
      </c>
      <c r="BA47" s="223"/>
      <c r="BB47" s="223"/>
      <c r="BC47" s="225" t="n">
        <v>42602</v>
      </c>
    </row>
    <row r="48" spans="37:55">
      <c r="AK48" s="211" t="s">
        <v>313</v>
      </c>
      <c r="AL48" s="211" t="n">
        <v>19</v>
      </c>
      <c r="AM48" s="213" t="n">
        <v>1021</v>
      </c>
      <c r="AN48" s="231"/>
      <c r="AO48" s="223"/>
      <c r="AP48" s="223"/>
      <c r="AQ48" s="216" t="n">
        <v>4</v>
      </c>
      <c r="AR48" s="216" t="n">
        <v>4.99000000000000021</v>
      </c>
      <c r="AS48" s="218" t="n">
        <v>4</v>
      </c>
      <c r="AT48" s="218" t="n">
        <v>4.99000000000000021</v>
      </c>
      <c r="AU48" s="223"/>
      <c r="AV48" s="215" t="n">
        <v>4.99000000000000021</v>
      </c>
      <c r="AW48" s="215" t="n">
        <v>3</v>
      </c>
      <c r="AX48" s="215" t="n">
        <v>4.99000000000000021</v>
      </c>
      <c r="AY48" s="216" t="n">
        <v>2</v>
      </c>
      <c r="AZ48" s="216" t="n">
        <v>2.99000000000000021</v>
      </c>
      <c r="BA48" s="223"/>
      <c r="BB48" s="215" t="n">
        <v>2.99000000000000021</v>
      </c>
      <c r="BC48" s="225" t="n">
        <v>42429</v>
      </c>
    </row>
    <row r="49" spans="37:55">
      <c r="AK49" s="211" t="s">
        <v>314</v>
      </c>
      <c r="AL49" s="211" t="n">
        <v>18</v>
      </c>
      <c r="AM49" s="213" t="n">
        <v>1127</v>
      </c>
      <c r="AN49" s="231"/>
      <c r="AO49" s="223"/>
      <c r="AP49" s="223"/>
      <c r="AQ49" s="216" t="n">
        <v>4</v>
      </c>
      <c r="AR49" s="216" t="n">
        <v>4.99000000000000021</v>
      </c>
      <c r="AS49" s="216" t="n">
        <v>4</v>
      </c>
      <c r="AT49" s="216" t="n">
        <v>4.99000000000000021</v>
      </c>
      <c r="AU49" s="223"/>
      <c r="AV49" s="215" t="n">
        <v>3.99000000000000021</v>
      </c>
      <c r="AW49" s="215" t="n">
        <v>4</v>
      </c>
      <c r="AX49" s="221" t="n">
        <v>5.99000000000000021</v>
      </c>
      <c r="AY49" s="216" t="n">
        <v>4</v>
      </c>
      <c r="AZ49" s="216" t="n">
        <v>4.99000000000000021</v>
      </c>
      <c r="BA49" s="223"/>
      <c r="BB49" s="224" t="n">
        <v>6.99000000000000021</v>
      </c>
      <c r="BC49" s="225" t="n">
        <v>42405</v>
      </c>
    </row>
    <row r="50" spans="37:55">
      <c r="AK50" s="211" t="s">
        <v>315</v>
      </c>
      <c r="AL50" s="211" t="n">
        <v>17</v>
      </c>
      <c r="AM50" s="213" t="n">
        <v>1013</v>
      </c>
      <c r="AN50" s="231"/>
      <c r="AO50" s="223"/>
      <c r="AP50" s="215" t="n">
        <v>1.99000000000000004</v>
      </c>
      <c r="AQ50" s="216" t="n">
        <v>6</v>
      </c>
      <c r="AR50" s="217" t="n">
        <v>6.99000000000000021</v>
      </c>
      <c r="AS50" s="218" t="n">
        <v>4</v>
      </c>
      <c r="AT50" s="218" t="n">
        <v>4.99000000000000021</v>
      </c>
      <c r="AU50" s="216" t="n">
        <v>3</v>
      </c>
      <c r="AV50" s="216" t="n">
        <v>3.99000000000000021</v>
      </c>
      <c r="AW50" s="223"/>
      <c r="AX50" s="223"/>
      <c r="AY50" s="216" t="n">
        <v>4</v>
      </c>
      <c r="AZ50" s="216" t="n">
        <v>4.99000000000000021</v>
      </c>
      <c r="BA50" s="223"/>
      <c r="BB50" s="215" t="n">
        <v>3.99000000000000021</v>
      </c>
      <c r="BC50" s="225" t="n">
        <v>42631</v>
      </c>
    </row>
    <row r="51" spans="37:55">
      <c r="AK51" s="211" t="s">
        <v>316</v>
      </c>
      <c r="AL51" s="211" t="n">
        <v>18</v>
      </c>
      <c r="AM51" s="213" t="n">
        <v>1024</v>
      </c>
      <c r="AN51" s="231" t="s">
        <v>202</v>
      </c>
      <c r="AO51" s="223"/>
      <c r="AP51" s="223" t="n">
        <v>1.99000000000000004</v>
      </c>
      <c r="AQ51" s="216" t="n">
        <v>4</v>
      </c>
      <c r="AR51" s="216" t="n">
        <v>4.99000000000000021</v>
      </c>
      <c r="AS51" s="218" t="n">
        <v>3</v>
      </c>
      <c r="AT51" s="218" t="n">
        <v>3.99000000000000021</v>
      </c>
      <c r="AU51" s="223"/>
      <c r="AV51" s="224" t="n">
        <v>6.99000000000000021</v>
      </c>
      <c r="AW51" s="223"/>
      <c r="AX51" s="223" t="n">
        <v>5.99000000000000021</v>
      </c>
      <c r="AY51" s="223"/>
      <c r="AZ51" s="215" t="n">
        <v>2.99000000000000021</v>
      </c>
      <c r="BA51" s="223"/>
      <c r="BB51" s="223"/>
      <c r="BC51" s="225" t="n">
        <v>42610</v>
      </c>
    </row>
    <row r="52" spans="37:55">
      <c r="AK52" s="211" t="s">
        <v>317</v>
      </c>
      <c r="AL52" s="211" t="n">
        <v>18</v>
      </c>
      <c r="AM52" s="213" t="n">
        <v>1049</v>
      </c>
      <c r="AN52" s="231"/>
      <c r="AO52" s="223"/>
      <c r="AP52" s="215" t="n">
        <v>0.990000000000000036</v>
      </c>
      <c r="AQ52" s="216" t="n">
        <v>1</v>
      </c>
      <c r="AR52" s="216" t="n">
        <v>1.99000000000000004</v>
      </c>
      <c r="AS52" s="218" t="n">
        <v>6</v>
      </c>
      <c r="AT52" s="219" t="n">
        <v>6.99000000000000021</v>
      </c>
      <c r="AU52" s="218" t="n">
        <v>4</v>
      </c>
      <c r="AV52" s="218" t="n">
        <v>4.99000000000000021</v>
      </c>
      <c r="AW52" s="223"/>
      <c r="AX52" s="215" t="n">
        <v>4.99000000000000021</v>
      </c>
      <c r="AY52" s="216" t="n">
        <v>4</v>
      </c>
      <c r="AZ52" s="216" t="n">
        <v>4.99000000000000021</v>
      </c>
      <c r="BA52" s="223"/>
      <c r="BB52" s="215" t="n">
        <v>1.99000000000000004</v>
      </c>
      <c r="BC52" s="225" t="n">
        <v>42597</v>
      </c>
    </row>
    <row r="53" spans="37:55">
      <c r="AK53" s="211" t="s">
        <v>318</v>
      </c>
      <c r="AL53" s="211" t="n">
        <v>17</v>
      </c>
      <c r="AM53" s="213" t="n">
        <v>1042</v>
      </c>
      <c r="AN53" s="231"/>
      <c r="AO53" s="223"/>
      <c r="AP53" s="215" t="n">
        <v>1.99000000000000004</v>
      </c>
      <c r="AQ53" s="215" t="n">
        <v>2</v>
      </c>
      <c r="AR53" s="215" t="n">
        <v>3.99000000000000021</v>
      </c>
      <c r="AS53" s="216" t="n">
        <v>5</v>
      </c>
      <c r="AT53" s="217" t="n">
        <v>5.99000000000000021</v>
      </c>
      <c r="AU53" s="223"/>
      <c r="AV53" s="215" t="n">
        <v>2.99000000000000021</v>
      </c>
      <c r="AW53" s="223"/>
      <c r="AX53" s="215" t="n">
        <v>3.99000000000000021</v>
      </c>
      <c r="AY53" s="218" t="n">
        <v>5</v>
      </c>
      <c r="AZ53" s="219" t="n">
        <v>5.99000000000000021</v>
      </c>
      <c r="BA53" s="223"/>
      <c r="BB53" s="223"/>
      <c r="BC53" s="225" t="n">
        <v>42667</v>
      </c>
    </row>
    <row r="54" spans="37:55">
      <c r="AK54" s="211" t="s">
        <v>319</v>
      </c>
      <c r="AL54" s="211" t="n">
        <v>18</v>
      </c>
      <c r="AM54" s="213" t="n">
        <v>1049</v>
      </c>
      <c r="AN54" s="231"/>
      <c r="AO54" s="215" t="n">
        <v>4</v>
      </c>
      <c r="AP54" s="224" t="n">
        <v>6.99000000000000021</v>
      </c>
      <c r="AQ54" s="216" t="n">
        <v>4</v>
      </c>
      <c r="AR54" s="216" t="n">
        <v>4.99000000000000021</v>
      </c>
      <c r="AS54" s="223"/>
      <c r="AT54" s="215" t="n">
        <v>0.990000000000000036</v>
      </c>
      <c r="AU54" s="223"/>
      <c r="AV54" s="215" t="n">
        <v>1.99000000000000004</v>
      </c>
      <c r="AW54" s="218" t="n">
        <v>1</v>
      </c>
      <c r="AX54" s="218" t="n">
        <v>1.99000000000000004</v>
      </c>
      <c r="AY54" s="216" t="n">
        <v>1</v>
      </c>
      <c r="AZ54" s="216" t="n">
        <v>1.99000000000000004</v>
      </c>
      <c r="BA54" s="216" t="n">
        <v>2</v>
      </c>
      <c r="BB54" s="216" t="n">
        <v>2.99000000000000021</v>
      </c>
      <c r="BC54" s="225" t="n">
        <v>42483</v>
      </c>
    </row>
    <row r="55" spans="37:55">
      <c r="AK55" s="211" t="s">
        <v>320</v>
      </c>
      <c r="AL55" s="211" t="n">
        <v>17</v>
      </c>
      <c r="AM55" s="213" t="n">
        <v>911</v>
      </c>
      <c r="AN55" s="231"/>
      <c r="AO55" s="223"/>
      <c r="AP55" s="215" t="n">
        <v>1.99000000000000004</v>
      </c>
      <c r="AQ55" s="218" t="n">
        <v>4</v>
      </c>
      <c r="AR55" s="218" t="n">
        <v>4.99000000000000021</v>
      </c>
      <c r="AS55" s="218" t="n">
        <v>6</v>
      </c>
      <c r="AT55" s="219" t="n">
        <v>6.99000000000000021</v>
      </c>
      <c r="AU55" s="216" t="n">
        <v>5</v>
      </c>
      <c r="AV55" s="217" t="n">
        <v>5.99000000000000021</v>
      </c>
      <c r="AW55" s="218" t="n">
        <v>4</v>
      </c>
      <c r="AX55" s="218" t="n">
        <v>4.99000000000000021</v>
      </c>
      <c r="AY55" s="216" t="n">
        <v>3</v>
      </c>
      <c r="AZ55" s="216" t="n">
        <v>3.99000000000000021</v>
      </c>
      <c r="BA55" s="223"/>
      <c r="BB55" s="223"/>
      <c r="BC55" s="225" t="n">
        <v>42733</v>
      </c>
    </row>
    <row r="56" spans="37:55">
      <c r="AK56" s="211" t="s">
        <v>321</v>
      </c>
      <c r="AL56" s="211" t="n">
        <v>17</v>
      </c>
      <c r="AM56" s="213" t="n">
        <v>914</v>
      </c>
      <c r="AN56" s="231" t="s">
        <v>252</v>
      </c>
      <c r="AO56" s="223"/>
      <c r="AP56" s="215" t="n">
        <v>1.99000000000000004</v>
      </c>
      <c r="AQ56" s="223"/>
      <c r="AR56" s="223" t="n">
        <v>4.99000000000000021</v>
      </c>
      <c r="AS56" s="218" t="n">
        <v>5</v>
      </c>
      <c r="AT56" s="219" t="n">
        <v>5.99000000000000021</v>
      </c>
      <c r="AU56" s="218" t="n">
        <v>2</v>
      </c>
      <c r="AV56" s="218" t="n">
        <v>2.99000000000000021</v>
      </c>
      <c r="AW56" s="223"/>
      <c r="AX56" s="223"/>
      <c r="AY56" s="216" t="n">
        <v>2</v>
      </c>
      <c r="AZ56" s="216" t="n">
        <v>2.99000000000000021</v>
      </c>
      <c r="BA56" s="223"/>
      <c r="BB56" s="223"/>
      <c r="BC56" s="225" t="n">
        <v>42737</v>
      </c>
    </row>
    <row r="57" spans="37:55">
      <c r="AK57" s="211" t="s">
        <v>322</v>
      </c>
      <c r="AL57" s="211" t="n">
        <v>17</v>
      </c>
      <c r="AM57" s="213" t="n">
        <v>954</v>
      </c>
      <c r="AN57" s="231"/>
      <c r="AO57" s="223"/>
      <c r="AP57" s="223"/>
      <c r="AQ57" s="218" t="n">
        <v>5</v>
      </c>
      <c r="AR57" s="219" t="n">
        <v>5.99000000000000021</v>
      </c>
      <c r="AS57" s="216" t="n">
        <v>2</v>
      </c>
      <c r="AT57" s="216" t="n">
        <v>2.99000000000000021</v>
      </c>
      <c r="AU57" s="216" t="n">
        <v>3</v>
      </c>
      <c r="AV57" s="216" t="n">
        <v>3.99000000000000021</v>
      </c>
      <c r="AW57" s="215" t="n">
        <v>2</v>
      </c>
      <c r="AX57" s="215" t="n">
        <v>3.99000000000000021</v>
      </c>
      <c r="AY57" s="216" t="n">
        <v>2</v>
      </c>
      <c r="AZ57" s="216" t="n">
        <v>2.99000000000000021</v>
      </c>
      <c r="BA57" s="223"/>
      <c r="BB57" s="223"/>
      <c r="BC57" s="225" t="n">
        <v>42690</v>
      </c>
    </row>
    <row r="58" spans="37:55">
      <c r="AK58" s="211" t="s">
        <v>323</v>
      </c>
      <c r="AL58" s="211" t="n">
        <v>19</v>
      </c>
      <c r="AM58" s="213" t="n">
        <v>909</v>
      </c>
      <c r="AN58" s="231" t="s">
        <v>270</v>
      </c>
      <c r="AO58" s="223"/>
      <c r="AP58" s="215" t="n">
        <v>1.99000000000000004</v>
      </c>
      <c r="AQ58" s="216" t="n">
        <v>2</v>
      </c>
      <c r="AR58" s="216" t="n">
        <v>2.99000000000000021</v>
      </c>
      <c r="AS58" s="216" t="n">
        <v>5</v>
      </c>
      <c r="AT58" s="217" t="n">
        <v>5.99000000000000021</v>
      </c>
      <c r="AU58" s="223"/>
      <c r="AV58" s="215" t="n">
        <v>2.99000000000000021</v>
      </c>
      <c r="AW58" s="215" t="n">
        <v>4</v>
      </c>
      <c r="AX58" s="224" t="n">
        <v>7</v>
      </c>
      <c r="AY58" s="216" t="n">
        <v>1</v>
      </c>
      <c r="AZ58" s="216" t="n">
        <v>1.99000000000000004</v>
      </c>
      <c r="BA58" s="223"/>
      <c r="BB58" s="223"/>
      <c r="BC58" s="225" t="n">
        <v>42654</v>
      </c>
    </row>
    <row r="59" spans="37:55">
      <c r="AK59" s="211" t="s">
        <v>324</v>
      </c>
      <c r="AL59" s="211" t="n">
        <v>16</v>
      </c>
      <c r="AM59" s="213" t="n">
        <v>992</v>
      </c>
      <c r="AN59" s="231"/>
      <c r="AO59" s="223"/>
      <c r="AP59" s="215" t="n">
        <v>1.99000000000000004</v>
      </c>
      <c r="AQ59" s="218" t="n">
        <v>2</v>
      </c>
      <c r="AR59" s="218" t="n">
        <v>2.99000000000000021</v>
      </c>
      <c r="AS59" s="218" t="n">
        <v>4</v>
      </c>
      <c r="AT59" s="218" t="n">
        <v>4.99000000000000021</v>
      </c>
      <c r="AU59" s="216" t="n">
        <v>4</v>
      </c>
      <c r="AV59" s="216" t="n">
        <v>4.99000000000000021</v>
      </c>
      <c r="AW59" s="218" t="n">
        <v>5</v>
      </c>
      <c r="AX59" s="219" t="n">
        <v>5.99000000000000021</v>
      </c>
      <c r="AY59" s="216" t="n">
        <v>3</v>
      </c>
      <c r="AZ59" s="216" t="n">
        <v>3.99000000000000021</v>
      </c>
      <c r="BA59" s="223"/>
      <c r="BB59" s="223"/>
      <c r="BC59" s="225" t="n">
        <v>42764</v>
      </c>
    </row>
    <row r="60" spans="37:55">
      <c r="AK60" s="211" t="s">
        <v>325</v>
      </c>
      <c r="AL60" s="211" t="n">
        <v>16</v>
      </c>
      <c r="AM60" s="213" t="n">
        <v>980</v>
      </c>
      <c r="AN60" s="231"/>
      <c r="AO60" s="223"/>
      <c r="AP60" s="215" t="n">
        <v>1.99000000000000004</v>
      </c>
      <c r="AQ60" s="216" t="n">
        <v>3</v>
      </c>
      <c r="AR60" s="216" t="n">
        <v>3.99000000000000021</v>
      </c>
      <c r="AS60" s="218" t="n">
        <v>6</v>
      </c>
      <c r="AT60" s="219" t="n">
        <v>6.99000000000000021</v>
      </c>
      <c r="AU60" s="216" t="n">
        <v>2</v>
      </c>
      <c r="AV60" s="216" t="n">
        <v>2.99000000000000021</v>
      </c>
      <c r="AW60" s="223"/>
      <c r="AX60" s="215" t="n">
        <v>2.99000000000000021</v>
      </c>
      <c r="AY60" s="216" t="n">
        <v>4</v>
      </c>
      <c r="AZ60" s="216" t="n">
        <v>4.99000000000000021</v>
      </c>
      <c r="BA60" s="223"/>
      <c r="BB60" s="215" t="n">
        <v>3.99000000000000021</v>
      </c>
      <c r="BC60" s="225" t="n">
        <v>42776</v>
      </c>
    </row>
    <row r="61" spans="37:55">
      <c r="AK61" s="211" t="s">
        <v>326</v>
      </c>
      <c r="AL61" s="211" t="n">
        <v>17</v>
      </c>
      <c r="AM61" s="213" t="n">
        <v>936</v>
      </c>
      <c r="AN61" s="231"/>
      <c r="AO61" s="223"/>
      <c r="AP61" s="215" t="n">
        <v>1.99000000000000004</v>
      </c>
      <c r="AQ61" s="218" t="n">
        <v>5</v>
      </c>
      <c r="AR61" s="219" t="n">
        <v>5.99000000000000021</v>
      </c>
      <c r="AS61" s="218" t="n">
        <v>3</v>
      </c>
      <c r="AT61" s="218" t="n">
        <v>3.99000000000000021</v>
      </c>
      <c r="AU61" s="223"/>
      <c r="AV61" s="215" t="n">
        <v>2.99000000000000021</v>
      </c>
      <c r="AW61" s="218" t="n">
        <v>4</v>
      </c>
      <c r="AX61" s="218" t="n">
        <v>4.99000000000000021</v>
      </c>
      <c r="AY61" s="223"/>
      <c r="AZ61" s="221" t="n">
        <v>5.99000000000000021</v>
      </c>
      <c r="BA61" s="223"/>
      <c r="BB61" s="215" t="n">
        <v>2.99000000000000021</v>
      </c>
      <c r="BC61" s="225" t="n">
        <v>42754</v>
      </c>
    </row>
    <row r="62" spans="37:55">
      <c r="AK62" s="211" t="s">
        <v>327</v>
      </c>
      <c r="AL62" s="211" t="n">
        <v>17</v>
      </c>
      <c r="AM62" s="213" t="n">
        <v>840</v>
      </c>
      <c r="AN62" s="231"/>
      <c r="AO62" s="223"/>
      <c r="AP62" s="215" t="n">
        <v>1.99000000000000004</v>
      </c>
      <c r="AQ62" s="215" t="n">
        <v>6</v>
      </c>
      <c r="AR62" s="224" t="n">
        <v>7</v>
      </c>
      <c r="AS62" s="223"/>
      <c r="AT62" s="215" t="n">
        <v>2.99000000000000021</v>
      </c>
      <c r="AU62" s="218" t="n">
        <v>5</v>
      </c>
      <c r="AV62" s="219" t="n">
        <v>5.99000000000000021</v>
      </c>
      <c r="AW62" s="218" t="n">
        <v>3</v>
      </c>
      <c r="AX62" s="218" t="n">
        <v>3.99000000000000021</v>
      </c>
      <c r="AY62" s="216" t="n">
        <v>3</v>
      </c>
      <c r="AZ62" s="216" t="n">
        <v>3.99000000000000021</v>
      </c>
      <c r="BA62" s="223"/>
      <c r="BB62" s="215" t="n">
        <v>3.99000000000000021</v>
      </c>
      <c r="BC62" s="225" t="n">
        <v>42804</v>
      </c>
    </row>
    <row r="63" spans="37:55">
      <c r="AK63" s="211" t="s">
        <v>328</v>
      </c>
      <c r="AL63" s="211" t="n">
        <v>16</v>
      </c>
      <c r="AM63" s="213" t="n">
        <v>944</v>
      </c>
      <c r="AN63" s="231"/>
      <c r="AO63" s="223"/>
      <c r="AP63" s="223" t="n">
        <v>1.99000000000000004</v>
      </c>
      <c r="AQ63" s="216" t="n">
        <v>2</v>
      </c>
      <c r="AR63" s="216" t="n">
        <v>2.99000000000000021</v>
      </c>
      <c r="AS63" s="218" t="n">
        <v>5</v>
      </c>
      <c r="AT63" s="219" t="n">
        <v>5.99000000000000021</v>
      </c>
      <c r="AU63" s="216" t="n">
        <v>4</v>
      </c>
      <c r="AV63" s="216" t="n">
        <v>4.99000000000000021</v>
      </c>
      <c r="AW63" s="216" t="n">
        <v>3</v>
      </c>
      <c r="AX63" s="216" t="n">
        <v>3.99000000000000021</v>
      </c>
      <c r="AY63" s="216" t="n">
        <v>3</v>
      </c>
      <c r="AZ63" s="216" t="n">
        <v>3.99000000000000021</v>
      </c>
      <c r="BA63" s="223"/>
      <c r="BB63" s="223" t="n">
        <v>4.99000000000000021</v>
      </c>
      <c r="BC63" s="225" t="n">
        <v>42812</v>
      </c>
    </row>
    <row r="64" spans="37:55">
      <c r="AK64" s="211" t="s">
        <v>329</v>
      </c>
      <c r="AL64" s="211" t="n">
        <v>17</v>
      </c>
      <c r="AM64" s="213" t="n">
        <v>887</v>
      </c>
      <c r="AN64" s="231"/>
      <c r="AO64" s="223"/>
      <c r="AP64" s="223"/>
      <c r="AQ64" s="216" t="n">
        <v>4</v>
      </c>
      <c r="AR64" s="216" t="n">
        <v>4.99000000000000021</v>
      </c>
      <c r="AS64" s="218" t="n">
        <v>4</v>
      </c>
      <c r="AT64" s="218" t="n">
        <v>4.99000000000000021</v>
      </c>
      <c r="AU64" s="223"/>
      <c r="AV64" s="215" t="n">
        <v>4.99000000000000021</v>
      </c>
      <c r="AW64" s="215" t="n">
        <v>5</v>
      </c>
      <c r="AX64" s="224" t="n">
        <v>6.99000000000000021</v>
      </c>
      <c r="AY64" s="216" t="n">
        <v>3</v>
      </c>
      <c r="AZ64" s="216" t="n">
        <v>3.99000000000000021</v>
      </c>
      <c r="BA64" s="223"/>
      <c r="BB64" s="223"/>
      <c r="BC64" s="225" t="n">
        <v>42779</v>
      </c>
    </row>
    <row r="65" spans="37:55">
      <c r="AK65" s="211" t="s">
        <v>330</v>
      </c>
      <c r="AL65" s="211" t="n">
        <v>17</v>
      </c>
      <c r="AM65" s="213" t="n">
        <v>804</v>
      </c>
      <c r="AN65" s="231" t="s">
        <v>252</v>
      </c>
      <c r="AO65" s="223"/>
      <c r="AP65" s="223"/>
      <c r="AQ65" s="216" t="n">
        <v>2</v>
      </c>
      <c r="AR65" s="216" t="n">
        <v>2.99000000000000021</v>
      </c>
      <c r="AS65" s="218" t="n">
        <v>4</v>
      </c>
      <c r="AT65" s="218" t="n">
        <v>4.99000000000000021</v>
      </c>
      <c r="AU65" s="216" t="n">
        <v>3</v>
      </c>
      <c r="AV65" s="216" t="n">
        <v>3.99000000000000021</v>
      </c>
      <c r="AW65" s="218" t="n">
        <v>6</v>
      </c>
      <c r="AX65" s="219" t="n">
        <v>6.99000000000000021</v>
      </c>
      <c r="AY65" s="216" t="n">
        <v>3</v>
      </c>
      <c r="AZ65" s="216" t="n">
        <v>3.99000000000000021</v>
      </c>
      <c r="BA65" s="223"/>
      <c r="BB65" s="215" t="n">
        <v>2.99000000000000021</v>
      </c>
      <c r="BC65" s="225" t="n">
        <v>42840</v>
      </c>
    </row>
    <row r="66" spans="37:55">
      <c r="AK66" s="211" t="s">
        <v>331</v>
      </c>
      <c r="AL66" s="211" t="n">
        <v>17</v>
      </c>
      <c r="AM66" s="213" t="n">
        <v>886</v>
      </c>
      <c r="AN66" s="231"/>
      <c r="AO66" s="223"/>
      <c r="AP66" s="223"/>
      <c r="AQ66" s="218" t="n">
        <v>4</v>
      </c>
      <c r="AR66" s="218" t="n">
        <v>4.99000000000000021</v>
      </c>
      <c r="AS66" s="218" t="n">
        <v>4</v>
      </c>
      <c r="AT66" s="218" t="n">
        <v>4.99000000000000021</v>
      </c>
      <c r="AU66" s="215" t="n">
        <v>5</v>
      </c>
      <c r="AV66" s="224" t="n">
        <v>6.99000000000000021</v>
      </c>
      <c r="AW66" s="223"/>
      <c r="AX66" s="215" t="n">
        <v>3.99000000000000021</v>
      </c>
      <c r="AY66" s="216" t="n">
        <v>3</v>
      </c>
      <c r="AZ66" s="216" t="n">
        <v>3.99000000000000021</v>
      </c>
      <c r="BA66" s="223"/>
      <c r="BB66" s="223"/>
      <c r="BC66" s="225" t="n">
        <v>42828</v>
      </c>
    </row>
    <row r="67" spans="37:55">
      <c r="AK67" s="211" t="s">
        <v>332</v>
      </c>
      <c r="AL67" s="211" t="n">
        <v>17</v>
      </c>
      <c r="AM67" s="213" t="n">
        <v>785</v>
      </c>
      <c r="AN67" s="231"/>
      <c r="AO67" s="223"/>
      <c r="AP67" s="223"/>
      <c r="AQ67" s="218" t="n">
        <v>4</v>
      </c>
      <c r="AR67" s="218" t="n">
        <v>4.99000000000000021</v>
      </c>
      <c r="AS67" s="218" t="n">
        <v>5</v>
      </c>
      <c r="AT67" s="219" t="n">
        <v>5.99000000000000021</v>
      </c>
      <c r="AU67" s="223"/>
      <c r="AV67" s="223"/>
      <c r="AW67" s="223"/>
      <c r="AX67" s="223"/>
      <c r="AY67" s="223"/>
      <c r="AZ67" s="215" t="n">
        <v>4.99000000000000021</v>
      </c>
      <c r="BA67" s="223"/>
      <c r="BB67" s="223"/>
      <c r="BC67" s="225" t="n">
        <v>42863</v>
      </c>
    </row>
    <row r="68" spans="37:55">
      <c r="AK68" s="211" t="s">
        <v>333</v>
      </c>
      <c r="AL68" s="211" t="n">
        <v>16</v>
      </c>
      <c r="AM68" s="213" t="n">
        <v>883</v>
      </c>
      <c r="AN68" s="231" t="s">
        <v>252</v>
      </c>
      <c r="AO68" s="223"/>
      <c r="AP68" s="223"/>
      <c r="AQ68" s="218" t="n">
        <v>4</v>
      </c>
      <c r="AR68" s="218" t="n">
        <v>4.99000000000000021</v>
      </c>
      <c r="AS68" s="218" t="n">
        <v>3</v>
      </c>
      <c r="AT68" s="218" t="n">
        <v>3.99000000000000021</v>
      </c>
      <c r="AU68" s="223"/>
      <c r="AV68" s="215" t="n">
        <v>2.99000000000000021</v>
      </c>
      <c r="AW68" s="218" t="n">
        <v>5</v>
      </c>
      <c r="AX68" s="219" t="n">
        <v>5.99000000000000021</v>
      </c>
      <c r="AY68" s="218" t="n">
        <v>5</v>
      </c>
      <c r="AZ68" s="219" t="n">
        <v>5.99000000000000021</v>
      </c>
      <c r="BA68" s="223"/>
      <c r="BB68" s="223"/>
      <c r="BC68" s="225" t="n">
        <v>42873</v>
      </c>
    </row>
    <row r="69" spans="37:55">
      <c r="AK69" s="211" t="s">
        <v>334</v>
      </c>
      <c r="AL69" s="211" t="n">
        <v>17</v>
      </c>
      <c r="AM69" s="213" t="n">
        <v>787</v>
      </c>
      <c r="AN69" s="231" t="s">
        <v>335</v>
      </c>
      <c r="AO69" s="223"/>
      <c r="AP69" s="215" t="n">
        <v>1.99000000000000004</v>
      </c>
      <c r="AQ69" s="218" t="n">
        <v>4</v>
      </c>
      <c r="AR69" s="218" t="n">
        <v>4.99000000000000021</v>
      </c>
      <c r="AS69" s="215" t="n">
        <v>6</v>
      </c>
      <c r="AT69" s="224" t="n">
        <v>7</v>
      </c>
      <c r="AU69" s="223"/>
      <c r="AV69" s="215" t="n">
        <v>3.99000000000000021</v>
      </c>
      <c r="AW69" s="218" t="n">
        <v>3</v>
      </c>
      <c r="AX69" s="218" t="n">
        <v>3.99000000000000021</v>
      </c>
      <c r="AY69" s="216" t="n">
        <v>2</v>
      </c>
      <c r="AZ69" s="216" t="n">
        <v>2.99000000000000021</v>
      </c>
      <c r="BA69" s="223"/>
      <c r="BB69" s="223"/>
      <c r="BC69" s="225" t="n">
        <v>42886</v>
      </c>
    </row>
    <row r="70" spans="37:55">
      <c r="AK70" s="211" t="s">
        <v>336</v>
      </c>
      <c r="AL70" s="211" t="n">
        <v>17</v>
      </c>
      <c r="AM70" s="213" t="n">
        <v>812</v>
      </c>
      <c r="AN70" s="231" t="s">
        <v>202</v>
      </c>
      <c r="AO70" s="223"/>
      <c r="AP70" s="223"/>
      <c r="AQ70" s="223"/>
      <c r="AR70" s="215" t="n">
        <v>4.99000000000000021</v>
      </c>
      <c r="AS70" s="218" t="n">
        <v>5</v>
      </c>
      <c r="AT70" s="219" t="n">
        <v>5.99000000000000021</v>
      </c>
      <c r="AU70" s="223"/>
      <c r="AV70" s="215" t="n">
        <v>2.99000000000000021</v>
      </c>
      <c r="AW70" s="223"/>
      <c r="AX70" s="223" t="n">
        <v>2.99000000000000021</v>
      </c>
      <c r="AY70" s="215" t="n">
        <v>4</v>
      </c>
      <c r="AZ70" s="221" t="n">
        <v>5.99000000000000021</v>
      </c>
      <c r="BA70" s="223"/>
      <c r="BB70" s="223"/>
      <c r="BC70" s="225" t="n">
        <v>42912</v>
      </c>
    </row>
    <row r="71" spans="37:55">
      <c r="AK71" s="211" t="s">
        <v>337</v>
      </c>
      <c r="AL71" s="211" t="n">
        <v>17</v>
      </c>
      <c r="AM71" s="213" t="n">
        <v>-1523</v>
      </c>
      <c r="AN71" s="231" t="s">
        <v>244</v>
      </c>
      <c r="AO71" s="223"/>
      <c r="AP71" s="215" t="n">
        <v>1.99000000000000004</v>
      </c>
      <c r="AQ71" s="216" t="n">
        <v>4</v>
      </c>
      <c r="AR71" s="216" t="n">
        <v>4.99000000000000021</v>
      </c>
      <c r="AS71" s="223"/>
      <c r="AT71" s="223"/>
      <c r="AU71" s="223"/>
      <c r="AV71" s="215" t="n">
        <v>1.99000000000000004</v>
      </c>
      <c r="AW71" s="218" t="n">
        <v>6</v>
      </c>
      <c r="AX71" s="219" t="n">
        <v>6.99000000000000021</v>
      </c>
      <c r="AY71" s="216" t="n">
        <v>3</v>
      </c>
      <c r="AZ71" s="216" t="n">
        <v>3.99000000000000021</v>
      </c>
      <c r="BA71" s="223"/>
      <c r="BB71" s="215" t="n">
        <v>2.99000000000000021</v>
      </c>
      <c r="BC71" s="225" t="n">
        <v>45167</v>
      </c>
    </row>
    <row r="72" spans="37:55">
      <c r="AK72" s="211" t="s">
        <v>338</v>
      </c>
      <c r="AL72" s="211" t="n">
        <v>18</v>
      </c>
      <c r="AM72" s="213" t="n">
        <v>793</v>
      </c>
      <c r="AN72" s="231"/>
      <c r="AO72" s="223"/>
      <c r="AP72" s="221" t="n">
        <v>5.99000000000000021</v>
      </c>
      <c r="AQ72" s="218" t="n">
        <v>4</v>
      </c>
      <c r="AR72" s="218" t="n">
        <v>4.99000000000000021</v>
      </c>
      <c r="AS72" s="216" t="n">
        <v>1</v>
      </c>
      <c r="AT72" s="216" t="n">
        <v>1.99000000000000004</v>
      </c>
      <c r="AU72" s="216" t="n">
        <v>0</v>
      </c>
      <c r="AV72" s="216" t="n">
        <v>0.990000000000000036</v>
      </c>
      <c r="AW72" s="216" t="n">
        <v>0</v>
      </c>
      <c r="AX72" s="216" t="n">
        <v>0.990000000000000036</v>
      </c>
      <c r="AY72" s="216" t="n">
        <v>0</v>
      </c>
      <c r="AZ72" s="216" t="n">
        <v>0.990000000000000036</v>
      </c>
      <c r="BA72" s="223"/>
      <c r="BB72" s="223"/>
      <c r="BC72" s="225" t="n">
        <v>42739</v>
      </c>
    </row>
    <row r="73" spans="37:55">
      <c r="AK73" s="211" t="s">
        <v>339</v>
      </c>
      <c r="AL73" s="211" t="n">
        <v>18</v>
      </c>
      <c r="AM73" s="213" t="n">
        <v>770</v>
      </c>
      <c r="AN73" s="231" t="s">
        <v>244</v>
      </c>
      <c r="AO73" s="223"/>
      <c r="AP73" s="223"/>
      <c r="AQ73" s="216" t="n">
        <v>3</v>
      </c>
      <c r="AR73" s="216" t="n">
        <v>3.99000000000000021</v>
      </c>
      <c r="AS73" s="218" t="n">
        <v>5</v>
      </c>
      <c r="AT73" s="219" t="n">
        <v>5.99000000000000021</v>
      </c>
      <c r="AU73" s="223"/>
      <c r="AV73" s="224" t="n">
        <v>6.99000000000000021</v>
      </c>
      <c r="AW73" s="215" t="n">
        <v>2</v>
      </c>
      <c r="AX73" s="223"/>
      <c r="AY73" s="216" t="n">
        <v>3</v>
      </c>
      <c r="AZ73" s="216" t="n">
        <v>3.99000000000000021</v>
      </c>
      <c r="BA73" s="223"/>
      <c r="BB73" s="223"/>
      <c r="BC73" s="225" t="n">
        <v>42835</v>
      </c>
    </row>
    <row r="74" spans="37:55">
      <c r="AK74" s="211" t="s">
        <v>340</v>
      </c>
      <c r="AL74" s="211" t="n">
        <v>16</v>
      </c>
      <c r="AM74" s="213" t="n">
        <v>778</v>
      </c>
      <c r="AN74" s="231"/>
      <c r="AO74" s="223"/>
      <c r="AP74" s="223"/>
      <c r="AQ74" s="223"/>
      <c r="AR74" s="215" t="n">
        <v>2.99000000000000021</v>
      </c>
      <c r="AS74" s="218" t="n">
        <v>3</v>
      </c>
      <c r="AT74" s="223" t="n">
        <v>3.99000000000000021</v>
      </c>
      <c r="AU74" s="223"/>
      <c r="AV74" s="215" t="n">
        <v>3.99000000000000021</v>
      </c>
      <c r="AW74" s="218" t="n">
        <v>6</v>
      </c>
      <c r="AX74" s="219" t="n">
        <v>6.99000000000000021</v>
      </c>
      <c r="AY74" s="216" t="n">
        <v>4</v>
      </c>
      <c r="AZ74" s="216" t="n">
        <v>4.99000000000000021</v>
      </c>
      <c r="BA74" s="223"/>
      <c r="BB74" s="223"/>
      <c r="BC74" s="225" t="n">
        <v>42978</v>
      </c>
    </row>
    <row r="75" spans="37:55">
      <c r="AK75" s="211" t="s">
        <v>341</v>
      </c>
      <c r="AL75" s="211" t="n">
        <v>16</v>
      </c>
      <c r="AM75" s="213" t="n">
        <v>745</v>
      </c>
      <c r="AN75" s="231" t="s">
        <v>244</v>
      </c>
      <c r="AO75" s="223"/>
      <c r="AP75" s="215" t="n">
        <v>1.99000000000000004</v>
      </c>
      <c r="AQ75" s="223"/>
      <c r="AR75" s="215" t="n">
        <v>2.99000000000000021</v>
      </c>
      <c r="AS75" s="216" t="n">
        <v>3</v>
      </c>
      <c r="AT75" s="216" t="n">
        <v>3.99000000000000021</v>
      </c>
      <c r="AU75" s="218" t="n">
        <v>3</v>
      </c>
      <c r="AV75" s="227" t="n">
        <v>3.99000000000000021</v>
      </c>
      <c r="AW75" s="218" t="n">
        <v>5</v>
      </c>
      <c r="AX75" s="219" t="n">
        <v>5.99000000000000021</v>
      </c>
      <c r="AY75" s="218" t="n">
        <v>6</v>
      </c>
      <c r="AZ75" s="219" t="n">
        <v>6.99000000000000021</v>
      </c>
      <c r="BA75" s="223"/>
      <c r="BB75" s="223"/>
      <c r="BC75" s="225" t="n">
        <v>43011</v>
      </c>
    </row>
    <row r="76" spans="37:55">
      <c r="AK76" s="211" t="s">
        <v>342</v>
      </c>
      <c r="AL76" s="211" t="n">
        <v>16</v>
      </c>
      <c r="AM76" s="213" t="n">
        <v>725</v>
      </c>
      <c r="AN76" s="231"/>
      <c r="AO76" s="223"/>
      <c r="AP76" s="223"/>
      <c r="AQ76" s="223"/>
      <c r="AR76" s="215" t="n">
        <v>3.99000000000000021</v>
      </c>
      <c r="AS76" s="218" t="n">
        <v>3</v>
      </c>
      <c r="AT76" s="218" t="n">
        <v>3.99000000000000021</v>
      </c>
      <c r="AU76" s="218" t="n">
        <v>6</v>
      </c>
      <c r="AV76" s="219" t="n">
        <v>6.99000000000000021</v>
      </c>
      <c r="AW76" s="216" t="n">
        <v>1</v>
      </c>
      <c r="AX76" s="216" t="n">
        <v>1.99000000000000004</v>
      </c>
      <c r="AY76" s="215" t="n">
        <v>4</v>
      </c>
      <c r="AZ76" s="221" t="n">
        <v>5.99000000000000021</v>
      </c>
      <c r="BA76" s="223"/>
      <c r="BB76" s="215" t="n">
        <v>2.99000000000000021</v>
      </c>
      <c r="BC76" s="225" t="n">
        <v>43031</v>
      </c>
    </row>
    <row r="77" spans="37:55">
      <c r="AK77" s="211" t="s">
        <v>343</v>
      </c>
      <c r="AL77" s="211" t="n">
        <v>18</v>
      </c>
      <c r="AM77" s="213" t="n">
        <v>706</v>
      </c>
      <c r="AN77" s="231"/>
      <c r="AO77" s="223"/>
      <c r="AP77" s="215" t="n">
        <v>1.99000000000000004</v>
      </c>
      <c r="AQ77" s="215" t="n">
        <v>3</v>
      </c>
      <c r="AR77" s="215" t="n">
        <v>4.99000000000000021</v>
      </c>
      <c r="AS77" s="216" t="n">
        <v>3</v>
      </c>
      <c r="AT77" s="216" t="n">
        <v>3.99000000000000021</v>
      </c>
      <c r="AU77" s="215" t="n">
        <v>5</v>
      </c>
      <c r="AV77" s="224" t="n">
        <v>6.99000000000000021</v>
      </c>
      <c r="AW77" s="216" t="n">
        <v>2</v>
      </c>
      <c r="AX77" s="216" t="n">
        <v>2.99000000000000021</v>
      </c>
      <c r="AY77" s="223"/>
      <c r="AZ77" s="215" t="n">
        <v>2.99000000000000021</v>
      </c>
      <c r="BA77" s="223"/>
      <c r="BB77" s="223" t="n">
        <v>3.99000000000000021</v>
      </c>
      <c r="BC77" s="225" t="n">
        <v>42928</v>
      </c>
    </row>
    <row r="78" spans="37:55">
      <c r="AK78" s="211" t="s">
        <v>344</v>
      </c>
      <c r="AL78" s="211" t="n">
        <v>17</v>
      </c>
      <c r="AM78" s="213" t="n">
        <v>585</v>
      </c>
      <c r="AN78" s="231"/>
      <c r="AO78" s="223"/>
      <c r="AP78" s="215" t="n">
        <v>1.99000000000000004</v>
      </c>
      <c r="AQ78" s="223"/>
      <c r="AR78" s="215" t="n">
        <v>3.99000000000000021</v>
      </c>
      <c r="AS78" s="215" t="n">
        <v>6</v>
      </c>
      <c r="AT78" s="224" t="n">
        <v>7</v>
      </c>
      <c r="AU78" s="218" t="n">
        <v>6</v>
      </c>
      <c r="AV78" s="219" t="n">
        <v>6.99000000000000021</v>
      </c>
      <c r="AW78" s="218" t="n">
        <v>2</v>
      </c>
      <c r="AX78" s="218" t="n">
        <v>2.99000000000000021</v>
      </c>
      <c r="AY78" s="216" t="n">
        <v>4</v>
      </c>
      <c r="AZ78" s="216" t="n">
        <v>4.99000000000000021</v>
      </c>
      <c r="BA78" s="223"/>
      <c r="BB78" s="215" t="n">
        <v>4.99000000000000021</v>
      </c>
      <c r="BC78" s="225" t="n">
        <v>43059</v>
      </c>
    </row>
    <row r="79" spans="37:58">
      <c r="AK79" s="211" t="s">
        <v>345</v>
      </c>
      <c r="AL79" s="211" t="n">
        <v>16</v>
      </c>
      <c r="AM79" s="213" t="n">
        <v>656</v>
      </c>
      <c r="AN79" s="231"/>
      <c r="AO79" s="223"/>
      <c r="AP79" s="215" t="n">
        <v>1.99000000000000004</v>
      </c>
      <c r="AQ79" s="216" t="n">
        <v>2</v>
      </c>
      <c r="AR79" s="216" t="n">
        <v>2.99000000000000021</v>
      </c>
      <c r="AS79" s="216" t="n">
        <v>4</v>
      </c>
      <c r="AT79" s="216" t="n">
        <v>4.99000000000000021</v>
      </c>
      <c r="AU79" s="218" t="n">
        <v>3</v>
      </c>
      <c r="AV79" s="218" t="n">
        <v>3.99000000000000021</v>
      </c>
      <c r="AW79" s="218" t="n">
        <v>5</v>
      </c>
      <c r="AX79" s="219" t="n">
        <v>5.99000000000000021</v>
      </c>
      <c r="AY79" s="216" t="n">
        <v>1</v>
      </c>
      <c r="AZ79" s="216" t="n">
        <v>1.99000000000000004</v>
      </c>
      <c r="BA79" s="223"/>
      <c r="BB79" s="223"/>
      <c r="BC79" s="225" t="n">
        <v>43100</v>
      </c>
      <c r="BD79" s="3"/>
      <c r="BE79" s="3"/>
      <c r="BF79" s="3"/>
    </row>
    <row r="80" spans="37:58">
      <c r="AK80" s="211" t="s">
        <v>346</v>
      </c>
      <c r="AL80" s="211" t="n">
        <v>17</v>
      </c>
      <c r="AM80" s="213" t="n">
        <v>535</v>
      </c>
      <c r="AN80" s="231"/>
      <c r="AO80" s="223"/>
      <c r="AP80" s="223"/>
      <c r="AQ80" s="223"/>
      <c r="AR80" s="215" t="n">
        <v>2.99000000000000021</v>
      </c>
      <c r="AS80" s="218" t="n">
        <v>6</v>
      </c>
      <c r="AT80" s="219" t="n">
        <v>6.59999999999999964</v>
      </c>
      <c r="AU80" s="218" t="n">
        <v>5</v>
      </c>
      <c r="AV80" s="219" t="n">
        <v>5.99000000000000021</v>
      </c>
      <c r="AW80" s="218" t="n">
        <v>4</v>
      </c>
      <c r="AX80" s="218" t="n">
        <v>4.99000000000000021</v>
      </c>
      <c r="AY80" s="223"/>
      <c r="AZ80" s="215" t="n">
        <v>2.99000000000000021</v>
      </c>
      <c r="BA80" s="223"/>
      <c r="BB80" s="223"/>
      <c r="BC80" s="225" t="n">
        <v>43109</v>
      </c>
      <c r="BD80" s="3"/>
      <c r="BE80" s="3"/>
      <c r="BF80" s="3"/>
    </row>
    <row r="81" spans="37:58">
      <c r="AK81" s="211" t="s">
        <v>347</v>
      </c>
      <c r="AL81" s="211" t="n">
        <v>16</v>
      </c>
      <c r="AM81" s="213" t="n">
        <v>581</v>
      </c>
      <c r="AN81" s="231" t="s">
        <v>348</v>
      </c>
      <c r="AO81" s="223"/>
      <c r="AP81" s="223"/>
      <c r="AQ81" s="223"/>
      <c r="AR81" s="215" t="n">
        <v>3.99000000000000021</v>
      </c>
      <c r="AS81" s="216" t="n">
        <v>4</v>
      </c>
      <c r="AT81" s="216" t="n">
        <v>4.99000000000000021</v>
      </c>
      <c r="AU81" s="223"/>
      <c r="AV81" s="221" t="n">
        <v>5.99000000000000021</v>
      </c>
      <c r="AW81" s="218" t="n">
        <v>1</v>
      </c>
      <c r="AX81" s="218" t="n">
        <v>1.99000000000000004</v>
      </c>
      <c r="AY81" s="223"/>
      <c r="AZ81" s="215" t="n">
        <v>3.99000000000000021</v>
      </c>
      <c r="BA81" s="223"/>
      <c r="BB81" s="223"/>
      <c r="BC81" s="225" t="n">
        <v>43175</v>
      </c>
      <c r="BD81" s="3"/>
      <c r="BE81" s="3"/>
      <c r="BF81" s="3"/>
    </row>
    <row r="82" spans="37:58">
      <c r="AK82" s="211" t="s">
        <v>349</v>
      </c>
      <c r="AL82" s="211" t="n">
        <v>17</v>
      </c>
      <c r="AM82" s="213" t="n">
        <v>473</v>
      </c>
      <c r="AN82" s="231" t="s">
        <v>348</v>
      </c>
      <c r="AO82" s="223"/>
      <c r="AP82" s="215" t="n">
        <v>0.990000000000000036</v>
      </c>
      <c r="AQ82" s="216" t="n">
        <v>3</v>
      </c>
      <c r="AR82" s="216" t="n">
        <v>3.99000000000000021</v>
      </c>
      <c r="AS82" s="216" t="n">
        <v>5</v>
      </c>
      <c r="AT82" s="216" t="n">
        <v>5.99000000000000021</v>
      </c>
      <c r="AU82" s="223"/>
      <c r="AV82" s="215" t="n">
        <v>2.99000000000000021</v>
      </c>
      <c r="AW82" s="223"/>
      <c r="AX82" s="223"/>
      <c r="AY82" s="216" t="n">
        <v>2</v>
      </c>
      <c r="AZ82" s="216" t="n">
        <v>2.99000000000000021</v>
      </c>
      <c r="BA82" s="223"/>
      <c r="BB82" s="223"/>
      <c r="BC82" s="225" t="n">
        <v>43192</v>
      </c>
      <c r="BD82" s="3"/>
      <c r="BE82" s="3"/>
      <c r="BF82" s="3"/>
    </row>
    <row r="83" spans="37:58">
      <c r="AK83" s="211" t="s">
        <v>350</v>
      </c>
      <c r="AL83" s="211" t="n">
        <v>18</v>
      </c>
      <c r="AM83" s="213" t="n">
        <v>539</v>
      </c>
      <c r="AN83" s="231"/>
      <c r="AO83" s="223"/>
      <c r="AP83" s="215" t="n">
        <v>1.99000000000000004</v>
      </c>
      <c r="AQ83" s="216" t="n">
        <v>3</v>
      </c>
      <c r="AR83" s="216" t="n">
        <v>3.99000000000000021</v>
      </c>
      <c r="AS83" s="216" t="n">
        <v>4</v>
      </c>
      <c r="AT83" s="216" t="n">
        <v>4.99000000000000021</v>
      </c>
      <c r="AU83" s="216" t="n">
        <v>2</v>
      </c>
      <c r="AV83" s="216" t="n">
        <v>2.99000000000000021</v>
      </c>
      <c r="AW83" s="216" t="n">
        <v>4</v>
      </c>
      <c r="AX83" s="216" t="n">
        <v>4.99000000000000021</v>
      </c>
      <c r="AY83" s="218" t="n">
        <v>4</v>
      </c>
      <c r="AZ83" s="218" t="n">
        <v>4.99000000000000021</v>
      </c>
      <c r="BA83" s="223"/>
      <c r="BB83" s="215" t="n">
        <v>2.99000000000000021</v>
      </c>
      <c r="BC83" s="225" t="n">
        <v>42919</v>
      </c>
      <c r="BD83" s="3"/>
      <c r="BE83" s="3"/>
      <c r="BF83" s="3"/>
    </row>
    <row r="84" spans="37:58">
      <c r="AK84" s="211" t="s">
        <v>351</v>
      </c>
      <c r="AL84" s="211" t="n">
        <v>18</v>
      </c>
      <c r="AM84" s="213" t="n">
        <v>539</v>
      </c>
      <c r="AN84" s="231" t="s">
        <v>210</v>
      </c>
      <c r="AO84" s="223"/>
      <c r="AP84" s="215" t="n">
        <v>0.990000000000000036</v>
      </c>
      <c r="AQ84" s="218" t="n">
        <v>3</v>
      </c>
      <c r="AR84" s="218" t="n">
        <v>3.99000000000000021</v>
      </c>
      <c r="AS84" s="218" t="n">
        <v>3</v>
      </c>
      <c r="AT84" s="218" t="n">
        <v>3.99000000000000021</v>
      </c>
      <c r="AU84" s="218" t="n">
        <v>3</v>
      </c>
      <c r="AV84" s="218" t="n">
        <v>3.99000000000000021</v>
      </c>
      <c r="AW84" s="215" t="n">
        <v>4</v>
      </c>
      <c r="AX84" s="224" t="n">
        <v>7</v>
      </c>
      <c r="AY84" s="223"/>
      <c r="AZ84" s="221" t="n">
        <v>5.99000000000000021</v>
      </c>
      <c r="BA84" s="223"/>
      <c r="BB84" s="215" t="n">
        <v>1.99000000000000004</v>
      </c>
      <c r="BC84" s="225" t="n">
        <v>43067</v>
      </c>
      <c r="BD84" s="3"/>
      <c r="BE84" s="3"/>
      <c r="BF84" s="3"/>
    </row>
    <row r="85" spans="37:58">
      <c r="AK85" s="211" t="s">
        <v>352</v>
      </c>
      <c r="AL85" s="211" t="n">
        <v>18</v>
      </c>
      <c r="AM85" s="213" t="n">
        <v>-1718</v>
      </c>
      <c r="AN85" s="231" t="s">
        <v>252</v>
      </c>
      <c r="AO85" s="223"/>
      <c r="AP85" s="215" t="n">
        <v>1.99000000000000004</v>
      </c>
      <c r="AQ85" s="216" t="n">
        <v>2</v>
      </c>
      <c r="AR85" s="216" t="n">
        <v>2.99000000000000021</v>
      </c>
      <c r="AS85" s="216" t="n">
        <v>4</v>
      </c>
      <c r="AT85" s="216" t="n">
        <v>4.99000000000000021</v>
      </c>
      <c r="AU85" s="223"/>
      <c r="AV85" s="215" t="n">
        <v>3.99000000000000021</v>
      </c>
      <c r="AW85" s="215" t="n">
        <v>2</v>
      </c>
      <c r="AX85" s="215" t="n">
        <v>3.99000000000000021</v>
      </c>
      <c r="AY85" s="223"/>
      <c r="AZ85" s="215" t="n">
        <v>2.99000000000000021</v>
      </c>
      <c r="BA85" s="223"/>
      <c r="BB85" s="223"/>
      <c r="BC85" s="225" t="n">
        <v>45250</v>
      </c>
      <c r="BD85" s="3"/>
      <c r="BE85" s="3"/>
      <c r="BF85" s="3"/>
    </row>
    <row r="86" spans="37:58">
      <c r="AK86" s="211" t="s">
        <v>353</v>
      </c>
      <c r="AL86" s="211" t="n">
        <v>17</v>
      </c>
      <c r="AM86" s="213" t="n">
        <v>423</v>
      </c>
      <c r="AN86" s="231"/>
      <c r="AO86" s="223"/>
      <c r="AP86" s="215" t="n">
        <v>1.99000000000000004</v>
      </c>
      <c r="AQ86" s="218" t="n">
        <v>4</v>
      </c>
      <c r="AR86" s="218" t="n">
        <v>4.99000000000000021</v>
      </c>
      <c r="AS86" s="216" t="n">
        <v>3</v>
      </c>
      <c r="AT86" s="216" t="n">
        <v>3.99000000000000021</v>
      </c>
      <c r="AU86" s="215" t="n">
        <v>5</v>
      </c>
      <c r="AV86" s="224" t="n">
        <v>6.99000000000000021</v>
      </c>
      <c r="AW86" s="216" t="n">
        <v>1</v>
      </c>
      <c r="AX86" s="216" t="n">
        <v>1.99000000000000004</v>
      </c>
      <c r="AY86" s="216" t="n">
        <v>1</v>
      </c>
      <c r="AZ86" s="216" t="n">
        <v>1.99000000000000004</v>
      </c>
      <c r="BA86" s="223"/>
      <c r="BB86" s="223"/>
      <c r="BC86" s="225" t="n">
        <v>43221</v>
      </c>
      <c r="BD86" s="3"/>
      <c r="BE86" s="3"/>
      <c r="BF86" s="3"/>
    </row>
    <row r="87" spans="37:58">
      <c r="AK87" s="211" t="s">
        <v>354</v>
      </c>
      <c r="AL87" s="211" t="n">
        <v>18</v>
      </c>
      <c r="AM87" s="213" t="n">
        <v>413</v>
      </c>
      <c r="AN87" s="231"/>
      <c r="AO87" s="223"/>
      <c r="AP87" s="215" t="n">
        <v>0.990000000000000036</v>
      </c>
      <c r="AQ87" s="218" t="n">
        <v>6</v>
      </c>
      <c r="AR87" s="219" t="n">
        <v>6.99000000000000021</v>
      </c>
      <c r="AS87" s="218" t="n">
        <v>4</v>
      </c>
      <c r="AT87" s="218" t="n">
        <v>4.99000000000000021</v>
      </c>
      <c r="AU87" s="215" t="n">
        <v>4</v>
      </c>
      <c r="AV87" s="221" t="n">
        <v>5.99000000000000021</v>
      </c>
      <c r="AW87" s="223"/>
      <c r="AX87" s="215" t="n">
        <v>3.99000000000000021</v>
      </c>
      <c r="AY87" s="223"/>
      <c r="AZ87" s="215" t="n">
        <v>4.99000000000000021</v>
      </c>
      <c r="BA87" s="223"/>
      <c r="BB87" s="215" t="n">
        <v>2.99000000000000021</v>
      </c>
      <c r="BC87" s="225" t="n">
        <v>43143</v>
      </c>
      <c r="BD87" s="3"/>
      <c r="BE87" s="3"/>
      <c r="BF87" s="3"/>
    </row>
    <row r="88" spans="37:58">
      <c r="AK88" s="211" t="s">
        <v>355</v>
      </c>
      <c r="AL88" s="211" t="n">
        <v>16</v>
      </c>
      <c r="AM88" s="213" t="n">
        <v>467</v>
      </c>
      <c r="AN88" s="231" t="s">
        <v>185</v>
      </c>
      <c r="AO88" s="223"/>
      <c r="AP88" s="215" t="n">
        <v>0.990000000000000036</v>
      </c>
      <c r="AQ88" s="218" t="n">
        <v>7</v>
      </c>
      <c r="AR88" s="219" t="n">
        <v>7</v>
      </c>
      <c r="AS88" s="218" t="n">
        <v>4</v>
      </c>
      <c r="AT88" s="218" t="n">
        <v>4.99000000000000021</v>
      </c>
      <c r="AU88" s="218" t="n">
        <v>4</v>
      </c>
      <c r="AV88" s="218" t="n">
        <v>4.99000000000000021</v>
      </c>
      <c r="AW88" s="216" t="n">
        <v>3</v>
      </c>
      <c r="AX88" s="216" t="n">
        <v>3.99000000000000021</v>
      </c>
      <c r="AY88" s="223"/>
      <c r="AZ88" s="215" t="n">
        <v>2.99000000000000021</v>
      </c>
      <c r="BA88" s="223"/>
      <c r="BB88" s="215" t="n">
        <v>3.99000000000000021</v>
      </c>
      <c r="BC88" s="225" t="n">
        <v>43289</v>
      </c>
      <c r="BD88" s="3"/>
      <c r="BE88" s="3"/>
      <c r="BF88" s="3"/>
    </row>
    <row r="89" spans="37:58">
      <c r="AK89" s="211" t="s">
        <v>356</v>
      </c>
      <c r="AL89" s="211" t="n">
        <v>16</v>
      </c>
      <c r="AM89" s="213" t="n">
        <v>386</v>
      </c>
      <c r="AN89" s="231"/>
      <c r="AO89" s="223"/>
      <c r="AP89" s="223"/>
      <c r="AQ89" s="215" t="n">
        <v>3</v>
      </c>
      <c r="AR89" s="223"/>
      <c r="AS89" s="223"/>
      <c r="AT89" s="223"/>
      <c r="AU89" s="223"/>
      <c r="AV89" s="215" t="n">
        <v>3.99000000000000021</v>
      </c>
      <c r="AW89" s="215" t="n">
        <v>4</v>
      </c>
      <c r="AX89" s="224" t="n">
        <v>6.99000000000000021</v>
      </c>
      <c r="AY89" s="223"/>
      <c r="AZ89" s="215" t="n">
        <v>4.99000000000000021</v>
      </c>
      <c r="BA89" s="223"/>
      <c r="BB89" s="223"/>
      <c r="BC89" s="225" t="n">
        <v>43370</v>
      </c>
      <c r="BD89" s="3"/>
      <c r="BE89" s="3"/>
      <c r="BF89" s="3"/>
    </row>
    <row r="90" spans="37:58">
      <c r="AK90" s="211" t="s">
        <v>357</v>
      </c>
      <c r="AL90" s="211" t="n">
        <v>16</v>
      </c>
      <c r="AM90" s="213" t="n">
        <v>429</v>
      </c>
      <c r="AN90" s="231"/>
      <c r="AO90" s="223"/>
      <c r="AP90" s="215" t="n">
        <v>1.99000000000000004</v>
      </c>
      <c r="AQ90" s="216" t="n">
        <v>4</v>
      </c>
      <c r="AR90" s="216" t="n">
        <v>4.99000000000000021</v>
      </c>
      <c r="AS90" s="223"/>
      <c r="AT90" s="215" t="n">
        <v>4.99000000000000021</v>
      </c>
      <c r="AU90" s="218" t="n">
        <v>5</v>
      </c>
      <c r="AV90" s="219" t="n">
        <v>5.99000000000000021</v>
      </c>
      <c r="AW90" s="223"/>
      <c r="AX90" s="215" t="n">
        <v>2.99000000000000021</v>
      </c>
      <c r="AY90" s="223"/>
      <c r="AZ90" s="215" t="n">
        <v>3.99000000000000021</v>
      </c>
      <c r="BA90" s="223"/>
      <c r="BB90" s="223"/>
      <c r="BC90" s="225" t="n">
        <v>43327</v>
      </c>
      <c r="BD90" s="3"/>
      <c r="BE90" s="3"/>
      <c r="BF90" s="3"/>
    </row>
    <row r="91" spans="37:58">
      <c r="AK91" s="211" t="s">
        <v>17</v>
      </c>
      <c r="AL91" s="211" t="n">
        <v>17</v>
      </c>
      <c r="AM91" s="213" t="n">
        <v>211</v>
      </c>
      <c r="AN91" s="231" t="s">
        <v>175</v>
      </c>
      <c r="AO91" s="223"/>
      <c r="AP91" s="215" t="n">
        <v>1.99000000000000004</v>
      </c>
      <c r="AQ91" s="235" t="n">
        <v>2</v>
      </c>
      <c r="AR91" s="216" t="n">
        <v>2.99000000000000021</v>
      </c>
      <c r="AS91" s="236" t="s">
        <v>358</v>
      </c>
      <c r="AT91" s="237" t="n">
        <v>5.99000000000000021</v>
      </c>
      <c r="AU91" s="236" t="n">
        <v>5.5</v>
      </c>
      <c r="AV91" s="237" t="n">
        <v>5.5</v>
      </c>
      <c r="AW91" s="236" t="n">
        <v>4.40000000000000036</v>
      </c>
      <c r="AX91" s="216" t="n">
        <v>4.40000000000000036</v>
      </c>
      <c r="AY91" s="236" t="n">
        <v>3</v>
      </c>
      <c r="AZ91" s="216" t="n">
        <v>3.99000000000000021</v>
      </c>
      <c r="BA91" s="223"/>
      <c r="BB91" s="223"/>
      <c r="BC91" s="225" t="n">
        <v>43433</v>
      </c>
      <c r="BD91" s="3"/>
      <c r="BE91" s="3"/>
      <c r="BF91" s="3"/>
    </row>
    <row r="92" spans="37:58">
      <c r="AK92" s="211" t="s">
        <v>359</v>
      </c>
      <c r="AL92" s="211" t="n">
        <v>17</v>
      </c>
      <c r="AM92" s="213" t="n">
        <v>172</v>
      </c>
      <c r="AN92" s="231"/>
      <c r="AO92" s="223"/>
      <c r="AP92" s="215" t="n">
        <v>0.990000000000000036</v>
      </c>
      <c r="AQ92" s="223"/>
      <c r="AR92" s="215" t="n">
        <v>3.99000000000000021</v>
      </c>
      <c r="AS92" s="235" t="n">
        <v>2</v>
      </c>
      <c r="AT92" s="216" t="n">
        <v>2.99000000000000021</v>
      </c>
      <c r="AU92" s="238" t="n">
        <v>5</v>
      </c>
      <c r="AV92" s="224" t="n">
        <v>6.99000000000000021</v>
      </c>
      <c r="AW92" s="236" t="n">
        <v>5</v>
      </c>
      <c r="AX92" s="217" t="n">
        <v>5.99000000000000021</v>
      </c>
      <c r="AY92" s="239" t="n">
        <v>6</v>
      </c>
      <c r="AZ92" s="219" t="n">
        <v>6.99000000000000021</v>
      </c>
      <c r="BA92" s="236" t="n">
        <v>4</v>
      </c>
      <c r="BB92" s="216" t="n">
        <v>4.99000000000000021</v>
      </c>
      <c r="BC92" s="225" t="n">
        <v>43472</v>
      </c>
      <c r="BD92" s="3"/>
      <c r="BE92" s="3"/>
      <c r="BF92" s="3"/>
    </row>
    <row r="93" spans="37:58">
      <c r="AK93" s="211" t="s">
        <v>360</v>
      </c>
      <c r="AL93" s="211" t="n">
        <v>16</v>
      </c>
      <c r="AM93" s="213" t="n">
        <v>271</v>
      </c>
      <c r="AN93" s="231"/>
      <c r="AO93" s="223"/>
      <c r="AP93" s="215" t="n">
        <v>1.99000000000000004</v>
      </c>
      <c r="AQ93" s="236" t="n">
        <v>5.09999999999999964</v>
      </c>
      <c r="AR93" s="217" t="n">
        <v>5.99000000000000021</v>
      </c>
      <c r="AS93" s="239" t="n">
        <v>6.5</v>
      </c>
      <c r="AT93" s="219" t="n">
        <v>6.99000000000000021</v>
      </c>
      <c r="AU93" s="236" t="n">
        <v>3</v>
      </c>
      <c r="AV93" s="216" t="n">
        <v>3.99000000000000021</v>
      </c>
      <c r="AW93" s="235" t="n">
        <v>2</v>
      </c>
      <c r="AX93" s="216" t="n">
        <v>2.99000000000000021</v>
      </c>
      <c r="AY93" s="236" t="n">
        <v>3</v>
      </c>
      <c r="AZ93" s="216" t="n">
        <v>3.99000000000000021</v>
      </c>
      <c r="BA93" s="223"/>
      <c r="BB93" s="223"/>
      <c r="BC93" s="225" t="n">
        <v>43485</v>
      </c>
      <c r="BD93" s="3"/>
      <c r="BE93" s="3"/>
      <c r="BF93" s="3"/>
    </row>
    <row r="94" spans="37:58">
      <c r="AK94" s="211" t="s">
        <v>361</v>
      </c>
      <c r="AL94" s="211" t="n">
        <v>18</v>
      </c>
      <c r="AM94" s="213" t="n">
        <v>257</v>
      </c>
      <c r="AN94" s="231"/>
      <c r="AO94" s="223"/>
      <c r="AP94" s="215" t="n">
        <v>1.99000000000000004</v>
      </c>
      <c r="AQ94" s="223"/>
      <c r="AR94" s="215" t="n">
        <v>4.99000000000000021</v>
      </c>
      <c r="AS94" s="238" t="n">
        <v>5</v>
      </c>
      <c r="AT94" s="224" t="n">
        <v>6.99000000000000021</v>
      </c>
      <c r="AU94" s="223"/>
      <c r="AV94" s="215" t="n">
        <v>2.99000000000000021</v>
      </c>
      <c r="AW94" s="236" t="n">
        <v>3</v>
      </c>
      <c r="AX94" s="216" t="n">
        <v>3.99000000000000021</v>
      </c>
      <c r="AY94" s="223"/>
      <c r="AZ94" s="224" t="n">
        <v>6.99000000000000021</v>
      </c>
      <c r="BA94" s="235" t="n">
        <v>2</v>
      </c>
      <c r="BB94" s="216" t="n">
        <v>2.99000000000000021</v>
      </c>
      <c r="BC94" s="225" t="n">
        <v>43644</v>
      </c>
      <c r="BD94" s="3"/>
      <c r="BE94" s="3"/>
      <c r="BF94" s="3"/>
    </row>
    <row r="95" spans="37:58">
      <c r="AK95" s="211" t="s">
        <v>362</v>
      </c>
      <c r="AL95" s="211" t="n">
        <v>19</v>
      </c>
      <c r="AM95" s="213" t="n">
        <v>148</v>
      </c>
      <c r="AN95" s="231"/>
      <c r="AO95" s="223"/>
      <c r="AP95" s="215" t="n">
        <v>1.99000000000000004</v>
      </c>
      <c r="AQ95" s="236" t="n">
        <v>4</v>
      </c>
      <c r="AR95" s="216" t="n">
        <v>4.99000000000000021</v>
      </c>
      <c r="AS95" s="223"/>
      <c r="AT95" s="215" t="n">
        <v>4.99000000000000021</v>
      </c>
      <c r="AU95" s="223"/>
      <c r="AV95" s="215" t="n">
        <v>4.99000000000000021</v>
      </c>
      <c r="AW95" s="236" t="n">
        <v>3</v>
      </c>
      <c r="AX95" s="216" t="n">
        <v>3.99000000000000021</v>
      </c>
      <c r="AY95" s="238" t="n">
        <v>3</v>
      </c>
      <c r="AZ95" s="215" t="n">
        <v>4.99000000000000021</v>
      </c>
      <c r="BA95" s="236" t="n">
        <v>1</v>
      </c>
      <c r="BB95" s="216" t="n">
        <v>1.99000000000000004</v>
      </c>
      <c r="BC95" s="225" t="n">
        <v>43644</v>
      </c>
      <c r="BD95" s="3"/>
      <c r="BE95" s="3"/>
      <c r="BF95" s="3"/>
    </row>
    <row r="96" spans="37:58">
      <c r="AK96" s="211" t="s">
        <v>363</v>
      </c>
      <c r="AL96" s="211" t="n">
        <v>19</v>
      </c>
      <c r="AM96" s="213" t="n">
        <v>135</v>
      </c>
      <c r="AN96" s="231"/>
      <c r="AO96" s="223"/>
      <c r="AP96" s="215" t="n">
        <v>0.990000000000000036</v>
      </c>
      <c r="AQ96" s="236" t="n">
        <v>4</v>
      </c>
      <c r="AR96" s="216" t="n">
        <v>4.99000000000000021</v>
      </c>
      <c r="AS96" s="236" t="n">
        <v>4</v>
      </c>
      <c r="AT96" s="216" t="n">
        <v>4.99000000000000021</v>
      </c>
      <c r="AU96" s="235" t="n">
        <v>2</v>
      </c>
      <c r="AV96" s="216" t="n">
        <v>2.99000000000000021</v>
      </c>
      <c r="AW96" s="223"/>
      <c r="AX96" s="221" t="n">
        <v>5.99000000000000021</v>
      </c>
      <c r="AY96" s="236" t="n">
        <v>4</v>
      </c>
      <c r="AZ96" s="216" t="n">
        <v>4.99000000000000021</v>
      </c>
      <c r="BA96" s="235" t="n">
        <v>2</v>
      </c>
      <c r="BB96" s="216" t="n">
        <v>2.99000000000000021</v>
      </c>
      <c r="BC96" s="225" t="n">
        <v>43644</v>
      </c>
      <c r="BD96" s="3"/>
      <c r="BE96" s="3"/>
      <c r="BF96" s="3"/>
    </row>
    <row r="97" spans="37:58">
      <c r="AK97" s="211" t="s">
        <v>364</v>
      </c>
      <c r="AL97" s="211" t="n">
        <v>16</v>
      </c>
      <c r="AM97" s="213" t="n">
        <v>167</v>
      </c>
      <c r="AN97" s="231"/>
      <c r="AO97" s="223"/>
      <c r="AP97" s="215" t="n">
        <v>0.990000000000000036</v>
      </c>
      <c r="AQ97" s="236" t="n">
        <v>1</v>
      </c>
      <c r="AR97" s="216" t="n">
        <v>1.99000000000000004</v>
      </c>
      <c r="AS97" s="239" t="n">
        <v>5</v>
      </c>
      <c r="AT97" s="219" t="n">
        <v>5.99000000000000021</v>
      </c>
      <c r="AU97" s="239" t="n">
        <v>6</v>
      </c>
      <c r="AV97" s="219" t="n">
        <v>6.99000000000000021</v>
      </c>
      <c r="AW97" s="239" t="n">
        <v>4</v>
      </c>
      <c r="AX97" s="218" t="n">
        <v>4.99000000000000021</v>
      </c>
      <c r="AY97" s="239" t="s">
        <v>365</v>
      </c>
      <c r="AZ97" s="218" t="n">
        <v>3.99000000000000021</v>
      </c>
      <c r="BA97" s="223"/>
      <c r="BB97" s="223"/>
      <c r="BC97" s="225" t="n">
        <v>43589</v>
      </c>
      <c r="BD97" s="3"/>
      <c r="BE97" s="3"/>
      <c r="BF97" s="3"/>
    </row>
    <row r="98" spans="37:58">
      <c r="AK98" s="211" t="s">
        <v>88</v>
      </c>
      <c r="AL98" s="211" t="n">
        <v>18</v>
      </c>
      <c r="AM98" s="213">
        <f>88-444+'[1]Jugadores'!AM33-112-112-102-6+17-112-5+3-112-35+68-112-112+88-112-8+34-80-7+47-36-112-112-112-27-70-21-2-179+69-112-112+50-112-112</f>
        <v>-2126</v>
      </c>
      <c r="AN98" s="231"/>
      <c r="AO98" s="238" t="n">
        <v>4</v>
      </c>
      <c r="AP98" s="224" t="n">
        <v>6.99000000000000021</v>
      </c>
      <c r="AQ98" s="239" t="n">
        <v>3</v>
      </c>
      <c r="AR98" s="218" t="n">
        <v>3.99000000000000021</v>
      </c>
      <c r="AS98" s="236" t="n">
        <v>0</v>
      </c>
      <c r="AT98" s="216" t="n">
        <v>0.990000000000000036</v>
      </c>
      <c r="AU98" s="236" t="n">
        <v>0</v>
      </c>
      <c r="AV98" s="216" t="n">
        <v>0.990000000000000036</v>
      </c>
      <c r="AW98" s="223"/>
      <c r="AX98" s="215" t="n">
        <v>1.99000000000000004</v>
      </c>
      <c r="AY98" s="236" t="n">
        <v>1</v>
      </c>
      <c r="AZ98" s="216" t="n">
        <v>1.99000000000000004</v>
      </c>
      <c r="BA98" s="223"/>
      <c r="BB98" s="223"/>
      <c r="BC98" s="225" t="n">
        <v>43644</v>
      </c>
      <c r="BD98" s="3"/>
      <c r="BE98" s="3"/>
      <c r="BF98" s="3"/>
    </row>
    <row r="99" spans="37:58">
      <c r="AK99" s="211" t="s">
        <v>366</v>
      </c>
      <c r="AL99" s="211" t="n">
        <v>18</v>
      </c>
      <c r="AM99" s="213">
        <f>88-444+'[1]Jugadores'!AM33-112-112-102-6+17-112-5+3-112-35+68-112-112+88-112-8+34-80-7+47-36-112-112-112-27-70-21-2-179+33+39-112+43-112-112-112</f>
        <v>-2130</v>
      </c>
      <c r="AN99" s="231"/>
      <c r="AO99" s="223"/>
      <c r="AP99" s="223"/>
      <c r="AQ99" s="238" t="n">
        <v>5</v>
      </c>
      <c r="AR99" s="224" t="n">
        <v>6.99000000000000021</v>
      </c>
      <c r="AS99" s="236" t="n">
        <v>2</v>
      </c>
      <c r="AT99" s="216" t="n">
        <v>2.99000000000000021</v>
      </c>
      <c r="AU99" s="235" t="n">
        <v>2</v>
      </c>
      <c r="AV99" s="216" t="n">
        <v>2.99000000000000021</v>
      </c>
      <c r="AW99" s="235" t="n">
        <v>2</v>
      </c>
      <c r="AX99" s="216" t="n">
        <v>2.99000000000000021</v>
      </c>
      <c r="AY99" s="239" t="n">
        <v>4</v>
      </c>
      <c r="AZ99" s="218" t="n">
        <v>4.99000000000000021</v>
      </c>
      <c r="BA99" s="223"/>
      <c r="BB99" s="223"/>
      <c r="BC99" s="225" t="n">
        <v>43644</v>
      </c>
      <c r="BD99" s="3"/>
      <c r="BE99" s="3"/>
      <c r="BF99" s="3"/>
    </row>
    <row r="100" spans="37:58">
      <c r="AK100" s="211" t="s">
        <v>367</v>
      </c>
      <c r="AL100" s="211" t="n">
        <v>16</v>
      </c>
      <c r="AM100" s="213">
        <f>88-444+'[1]Jugadores'!AM33-1629-102</f>
        <v>-2087</v>
      </c>
      <c r="AN100" s="231"/>
      <c r="AO100" s="226"/>
      <c r="AP100" s="226"/>
      <c r="AQ100" s="238" t="n">
        <v>5</v>
      </c>
      <c r="AR100" s="224" t="n">
        <v>6.99000000000000021</v>
      </c>
      <c r="AS100" s="236" t="n">
        <v>3.29999999999999982</v>
      </c>
      <c r="AT100" s="216" t="n">
        <v>3.99000000000000021</v>
      </c>
      <c r="AU100" s="239" t="n">
        <v>1</v>
      </c>
      <c r="AV100" s="218" t="n">
        <v>1.99000000000000004</v>
      </c>
      <c r="AW100" s="236" t="n">
        <v>3</v>
      </c>
      <c r="AX100" s="216" t="n">
        <v>3.99000000000000021</v>
      </c>
      <c r="AY100" s="226"/>
      <c r="AZ100" s="221" t="n">
        <v>5.99000000000000021</v>
      </c>
      <c r="BA100" s="226"/>
      <c r="BB100" s="226"/>
      <c r="BC100" s="225" t="n">
        <v>45870</v>
      </c>
      <c r="BD100" s="3"/>
      <c r="BE100" s="3"/>
      <c r="BF100" s="3"/>
    </row>
    <row r="101" spans="37:58">
      <c r="AK101" s="211" t="s">
        <v>368</v>
      </c>
      <c r="AL101" s="211" t="n">
        <v>16</v>
      </c>
      <c r="AM101" s="213">
        <f>88-444+'[1]Jugadores'!AM33-1629-112</f>
        <v>-2097</v>
      </c>
      <c r="AN101" s="231"/>
      <c r="AO101" s="223"/>
      <c r="AP101" s="223"/>
      <c r="AQ101" s="238" t="n">
        <v>4</v>
      </c>
      <c r="AR101" s="221" t="n">
        <v>5.99000000000000021</v>
      </c>
      <c r="AS101" s="236" t="n">
        <v>3</v>
      </c>
      <c r="AT101" s="216" t="n">
        <v>3.99000000000000021</v>
      </c>
      <c r="AU101" s="236" t="n">
        <v>4</v>
      </c>
      <c r="AV101" s="216" t="n">
        <v>4.99000000000000021</v>
      </c>
      <c r="AW101" s="235" t="n">
        <v>2</v>
      </c>
      <c r="AX101" s="216" t="n">
        <v>2.99000000000000021</v>
      </c>
      <c r="AY101" s="223"/>
      <c r="AZ101" s="215" t="n">
        <v>3.99000000000000021</v>
      </c>
      <c r="BA101" s="223"/>
      <c r="BB101" s="215" t="n">
        <v>4.99000000000000021</v>
      </c>
      <c r="BC101" s="225" t="n">
        <v>45853</v>
      </c>
      <c r="BD101" s="3"/>
      <c r="BE101" s="3"/>
      <c r="BF101" s="3"/>
    </row>
    <row r="102" spans="37:58">
      <c r="AK102" s="211" t="s">
        <v>369</v>
      </c>
      <c r="AL102" s="211" t="n">
        <v>16</v>
      </c>
      <c r="AM102" s="213">
        <f>42-584+'[1]Jugadores'!AM33-112-112+6-112+3-112+21-112+67-112-6-40-34-12-105+55-75+11-112-112+4-112-30-112-112-9-112+100-103-112</f>
        <v>-2145</v>
      </c>
      <c r="AN102" s="231"/>
      <c r="AO102" s="223"/>
      <c r="AP102" s="223"/>
      <c r="AQ102" s="239" t="n">
        <v>5</v>
      </c>
      <c r="AR102" s="219" t="n">
        <v>5.99000000000000021</v>
      </c>
      <c r="AS102" s="236" t="n">
        <v>4</v>
      </c>
      <c r="AT102" s="216" t="n">
        <v>4.99000000000000021</v>
      </c>
      <c r="AU102" s="223"/>
      <c r="AV102" s="215" t="n">
        <v>1.99000000000000004</v>
      </c>
      <c r="AW102" s="223"/>
      <c r="AX102" s="215" t="n">
        <v>3.99000000000000021</v>
      </c>
      <c r="AY102" s="238" t="n">
        <v>3</v>
      </c>
      <c r="AZ102" s="223"/>
      <c r="BA102" s="223"/>
      <c r="BB102" s="223"/>
      <c r="BC102" s="225" t="n">
        <v>45901</v>
      </c>
      <c r="BD102" s="3"/>
      <c r="BE102" s="3"/>
      <c r="BF102" s="3"/>
    </row>
    <row r="103" spans="37:58">
      <c r="AK103" s="211" t="s">
        <v>370</v>
      </c>
      <c r="AL103" s="211" t="n">
        <v>18</v>
      </c>
      <c r="AM103" s="213">
        <f>42-584+'[1]Jugadores'!AM33-112-112+6-112+3-112+21-112+67-112-6-40-34-12-105+55+11-112+1-23-112-112-112-115-42-112-112-112</f>
        <v>-2211</v>
      </c>
      <c r="AN103" s="231" t="s">
        <v>185</v>
      </c>
      <c r="AO103" s="223"/>
      <c r="AP103" s="215" t="n">
        <v>1.99000000000000004</v>
      </c>
      <c r="AQ103" s="235" t="n">
        <v>2</v>
      </c>
      <c r="AR103" s="216" t="n">
        <v>2.99000000000000021</v>
      </c>
      <c r="AS103" s="235" t="n">
        <v>2</v>
      </c>
      <c r="AT103" s="216" t="n">
        <v>2.99000000000000021</v>
      </c>
      <c r="AU103" s="236" t="n">
        <v>3</v>
      </c>
      <c r="AV103" s="216" t="n">
        <v>3.99000000000000021</v>
      </c>
      <c r="AW103" s="238" t="n">
        <v>4</v>
      </c>
      <c r="AX103" s="221" t="n">
        <v>5.99000000000000021</v>
      </c>
      <c r="AY103" s="223"/>
      <c r="AZ103" s="215" t="n">
        <v>3.99000000000000021</v>
      </c>
      <c r="BA103" s="223"/>
      <c r="BB103" s="215" t="n">
        <v>4.99000000000000021</v>
      </c>
      <c r="BC103" s="225" t="n">
        <v>43644</v>
      </c>
      <c r="BD103" s="3"/>
      <c r="BE103" s="3"/>
      <c r="BF103" s="3"/>
    </row>
    <row r="104" spans="37:58">
      <c r="AK104" s="211" t="s">
        <v>371</v>
      </c>
      <c r="AL104" s="211" t="n">
        <v>16</v>
      </c>
      <c r="AM104" s="213">
        <f>88-444+'[1]Jugadores'!AM33-112-112-102-6+17-112-5+3-112-35+68-112-112+88-112-8+34-80-7+47-36-112-57-112+76-112-115-6-112-70-112-112-86+1-80</f>
        <v>-2171</v>
      </c>
      <c r="AN104" s="231" t="s">
        <v>172</v>
      </c>
      <c r="AO104" s="226"/>
      <c r="AP104" s="215" t="n">
        <v>1.99000000000000004</v>
      </c>
      <c r="AQ104" s="235" t="n">
        <v>2</v>
      </c>
      <c r="AR104" s="216" t="n">
        <v>2.99000000000000021</v>
      </c>
      <c r="AS104" s="238" t="n">
        <v>3</v>
      </c>
      <c r="AT104" s="215" t="n">
        <v>4.99000000000000021</v>
      </c>
      <c r="AU104" s="226"/>
      <c r="AV104" s="224" t="n">
        <v>6.99000000000000021</v>
      </c>
      <c r="AW104" s="226"/>
      <c r="AX104" s="215" t="n">
        <v>4.99000000000000021</v>
      </c>
      <c r="AY104" s="238" t="n">
        <v>3</v>
      </c>
      <c r="AZ104" s="215" t="n">
        <v>4.99000000000000021</v>
      </c>
      <c r="BA104" s="226"/>
      <c r="BB104" s="226"/>
      <c r="BC104" s="225" t="n">
        <v>45934</v>
      </c>
      <c r="BD104" s="3"/>
      <c r="BE104" s="3"/>
      <c r="BF104" s="3"/>
    </row>
    <row r="105" spans="37:58">
      <c r="AK105" s="211" t="s">
        <v>372</v>
      </c>
      <c r="AL105" s="211" t="n">
        <v>17</v>
      </c>
      <c r="AM105" s="213">
        <f>88-444+'[1]Jugadores'!AM33-112-112-102-6+17-112-5+3-112-35+68-112-112+88-112-8+34-80-7+47-36-112-112-112-27-70-21-2-179+33+15-112-75+7-112+52-28-112-36-112</f>
        <v>-2277</v>
      </c>
      <c r="AN105" s="231"/>
      <c r="AO105" s="223"/>
      <c r="AP105" s="215" t="n">
        <v>0.990000000000000036</v>
      </c>
      <c r="AQ105" s="238" t="n">
        <v>4</v>
      </c>
      <c r="AR105" s="221" t="n">
        <v>5.99000000000000021</v>
      </c>
      <c r="AS105" s="236" t="n">
        <v>2</v>
      </c>
      <c r="AT105" s="216" t="n">
        <v>2.99000000000000021</v>
      </c>
      <c r="AU105" s="236" t="n">
        <v>4</v>
      </c>
      <c r="AV105" s="216" t="n">
        <v>4.99000000000000021</v>
      </c>
      <c r="AW105" s="236" t="n">
        <v>2</v>
      </c>
      <c r="AX105" s="216" t="n">
        <v>2.99000000000000021</v>
      </c>
      <c r="AY105" s="238" t="n">
        <v>5</v>
      </c>
      <c r="AZ105" s="224" t="n">
        <v>6.99000000000000021</v>
      </c>
      <c r="BA105" s="223"/>
      <c r="BB105" s="223"/>
      <c r="BC105" s="225" t="n">
        <v>43644</v>
      </c>
      <c r="BD105" s="3"/>
      <c r="BE105" s="3"/>
      <c r="BF105" s="3"/>
    </row>
    <row r="106" spans="37:58">
      <c r="AK106" s="211" t="s">
        <v>373</v>
      </c>
      <c r="AL106" s="211" t="n">
        <v>18</v>
      </c>
      <c r="AM106" s="213">
        <f>42-584+'[1]Jugadores'!AM33-112-112+6-112+3-112+21-112+67-112-6-40-34-12-105+55+11-112+1-23-112-112-112-115-52-112-112-112</f>
        <v>-2221</v>
      </c>
      <c r="AN106" s="231"/>
      <c r="AO106" s="223"/>
      <c r="AP106" s="215" t="n">
        <v>1.99000000000000004</v>
      </c>
      <c r="AQ106" s="239" t="n">
        <v>5</v>
      </c>
      <c r="AR106" s="219" t="n">
        <v>5.99000000000000021</v>
      </c>
      <c r="AS106" s="236" t="n">
        <v>4.09999999999999964</v>
      </c>
      <c r="AT106" s="216" t="n">
        <v>4.99000000000000021</v>
      </c>
      <c r="AU106" s="235" t="n">
        <v>2</v>
      </c>
      <c r="AV106" s="216" t="n">
        <v>2.99000000000000021</v>
      </c>
      <c r="AW106" s="223"/>
      <c r="AX106" s="221" t="n">
        <v>5.99000000000000021</v>
      </c>
      <c r="AY106" s="239" t="n">
        <v>3</v>
      </c>
      <c r="AZ106" s="218" t="n">
        <v>3.99000000000000021</v>
      </c>
      <c r="BA106" s="223"/>
      <c r="BB106" s="215" t="n">
        <v>2.99000000000000021</v>
      </c>
      <c r="BC106" s="225" t="n">
        <v>43644</v>
      </c>
      <c r="BD106" s="3"/>
      <c r="BE106" s="3"/>
      <c r="BF106" s="3"/>
    </row>
    <row r="107" spans="37:58">
      <c r="AK107" s="211" t="s">
        <v>374</v>
      </c>
      <c r="AL107" s="211" t="n">
        <v>18</v>
      </c>
      <c r="AM107" s="213">
        <f>'[1]Jugadores'!AM33-2150+2-112</f>
        <v>-2260</v>
      </c>
      <c r="AN107" s="231" t="s">
        <v>210</v>
      </c>
      <c r="AO107" s="223"/>
      <c r="AP107" s="215" t="n">
        <v>1.99000000000000004</v>
      </c>
      <c r="AQ107" s="235" t="n">
        <v>2</v>
      </c>
      <c r="AR107" s="216" t="n">
        <v>2.99000000000000021</v>
      </c>
      <c r="AS107" s="236" t="n">
        <v>3</v>
      </c>
      <c r="AT107" s="216" t="n">
        <v>3.99000000000000021</v>
      </c>
      <c r="AU107" s="236" t="n">
        <v>3</v>
      </c>
      <c r="AV107" s="216" t="n">
        <v>3.99000000000000021</v>
      </c>
      <c r="AW107" s="235" t="n">
        <v>2</v>
      </c>
      <c r="AX107" s="216" t="n">
        <v>2.99000000000000021</v>
      </c>
      <c r="AY107" s="236" t="n">
        <v>5</v>
      </c>
      <c r="AZ107" s="217" t="n">
        <v>5.99000000000000021</v>
      </c>
      <c r="BA107" s="223"/>
      <c r="BB107" s="223"/>
      <c r="BC107" s="225" t="n">
        <v>43644</v>
      </c>
      <c r="BD107" s="3"/>
      <c r="BE107" s="3"/>
      <c r="BF107" s="3"/>
    </row>
    <row r="108" spans="37:58">
      <c r="AK108" s="211" t="s">
        <v>375</v>
      </c>
      <c r="AL108" s="211" t="n">
        <v>17</v>
      </c>
      <c r="AM108" s="213">
        <f>88+AK143-2254-112-112</f>
        <v>-2390</v>
      </c>
      <c r="AN108" s="231"/>
      <c r="AO108" s="223"/>
      <c r="AP108" s="215" t="n">
        <v>0.990000000000000036</v>
      </c>
      <c r="AQ108" s="236" t="n">
        <v>2</v>
      </c>
      <c r="AR108" s="216" t="n">
        <v>2.99000000000000021</v>
      </c>
      <c r="AS108" s="236" t="n">
        <v>4</v>
      </c>
      <c r="AT108" s="216" t="n">
        <v>4.99000000000000021</v>
      </c>
      <c r="AU108" s="236" t="n">
        <v>2</v>
      </c>
      <c r="AV108" s="216" t="n">
        <v>2.99000000000000021</v>
      </c>
      <c r="AW108" s="236" t="n">
        <v>3</v>
      </c>
      <c r="AX108" s="216" t="n">
        <v>3.99000000000000021</v>
      </c>
      <c r="AY108" s="239" t="n">
        <v>5</v>
      </c>
      <c r="AZ108" s="219" t="n">
        <v>5.99000000000000021</v>
      </c>
      <c r="BA108" s="223"/>
      <c r="BB108" s="223"/>
      <c r="BC108" s="225" t="n">
        <v>43644</v>
      </c>
      <c r="BD108" s="3"/>
      <c r="BE108" s="3"/>
      <c r="BF108" s="3"/>
    </row>
    <row r="109" spans="37:58">
      <c r="AK109" s="211" t="s">
        <v>376</v>
      </c>
      <c r="AL109" s="211" t="n">
        <v>17</v>
      </c>
      <c r="AM109" s="213">
        <f>88-444+'[1]Jugadores'!AM33-112-112-102-6+17-112-5+3-112-35+68-112-112+88-112-8+34-80-7+47-36-112-112-112-27-70-21-2-179+33+39-112-112+20-112+7-69+8-212-112</f>
        <v>-2419</v>
      </c>
      <c r="AN109" s="231"/>
      <c r="AO109" s="226"/>
      <c r="AP109" s="215" t="n">
        <v>0.990000000000000036</v>
      </c>
      <c r="AQ109" s="239" t="n">
        <v>3</v>
      </c>
      <c r="AR109" s="218" t="n">
        <v>3.99000000000000021</v>
      </c>
      <c r="AS109" s="226"/>
      <c r="AT109" s="215" t="n">
        <v>3.99000000000000021</v>
      </c>
      <c r="AU109" s="236" t="n">
        <v>6</v>
      </c>
      <c r="AV109" s="217" t="n">
        <v>6.99000000000000021</v>
      </c>
      <c r="AW109" s="236" t="n">
        <v>4</v>
      </c>
      <c r="AX109" s="216" t="n">
        <v>4.99000000000000021</v>
      </c>
      <c r="AY109" s="240" t="n">
        <v>1</v>
      </c>
      <c r="AZ109" s="218" t="n">
        <v>1.99000000000000004</v>
      </c>
      <c r="BA109" s="226"/>
      <c r="BB109" s="226"/>
      <c r="BC109" s="225" t="n">
        <v>46063</v>
      </c>
      <c r="BD109" s="3"/>
      <c r="BE109" s="3"/>
      <c r="BF109" s="3"/>
    </row>
    <row r="110" spans="37:58">
      <c r="AK110" s="211" t="s">
        <v>377</v>
      </c>
      <c r="AL110" s="211" t="n">
        <v>16</v>
      </c>
      <c r="AM110" s="213">
        <f>-1500+'[1]Jugadores'!AM33-770+30-112</f>
        <v>-2352</v>
      </c>
      <c r="AN110" s="231" t="s">
        <v>172</v>
      </c>
      <c r="AO110" s="223"/>
      <c r="AP110" s="215" t="n">
        <v>1.99000000000000004</v>
      </c>
      <c r="AQ110" s="238" t="n">
        <v>3</v>
      </c>
      <c r="AR110" s="215" t="n">
        <v>4.99000000000000021</v>
      </c>
      <c r="AS110" s="223"/>
      <c r="AT110" s="215" t="n">
        <v>2.99000000000000021</v>
      </c>
      <c r="AU110" s="236" t="n">
        <v>5</v>
      </c>
      <c r="AV110" s="217" t="n">
        <v>5.99000000000000021</v>
      </c>
      <c r="AW110" s="236" t="n">
        <v>4</v>
      </c>
      <c r="AX110" s="216" t="n">
        <v>4.99000000000000021</v>
      </c>
      <c r="AY110" s="236" t="n">
        <v>4</v>
      </c>
      <c r="AZ110" s="216" t="n">
        <v>4.99000000000000021</v>
      </c>
      <c r="BA110" s="223"/>
      <c r="BB110" s="223"/>
      <c r="BC110" s="225" t="n">
        <v>41322</v>
      </c>
      <c r="BD110" s="3"/>
      <c r="BE110" s="3"/>
      <c r="BF110" s="3"/>
    </row>
    <row r="111" spans="37:58">
      <c r="AK111" s="211" t="s">
        <v>378</v>
      </c>
      <c r="AL111" s="211" t="n">
        <v>16</v>
      </c>
      <c r="AM111" s="213">
        <f>-1500+'[1]Jugadores'!AM33-770-112</f>
        <v>-2382</v>
      </c>
      <c r="AN111" s="231" t="s">
        <v>278</v>
      </c>
      <c r="AO111" s="223"/>
      <c r="AP111" s="215" t="n">
        <v>1.99000000000000004</v>
      </c>
      <c r="AQ111" s="238" t="n">
        <v>4</v>
      </c>
      <c r="AR111" s="221" t="n">
        <v>5.99000000000000021</v>
      </c>
      <c r="AS111" s="235" t="n">
        <v>2</v>
      </c>
      <c r="AT111" s="216" t="n">
        <v>2.99000000000000021</v>
      </c>
      <c r="AU111" s="235" t="n">
        <v>2</v>
      </c>
      <c r="AV111" s="216" t="n">
        <v>2.99000000000000021</v>
      </c>
      <c r="AW111" s="239" t="n">
        <v>4</v>
      </c>
      <c r="AX111" s="218" t="n">
        <v>4.99000000000000021</v>
      </c>
      <c r="AY111" s="239" t="n">
        <v>5</v>
      </c>
      <c r="AZ111" s="219" t="n">
        <v>5.99000000000000021</v>
      </c>
      <c r="BA111" s="223"/>
      <c r="BB111" s="223"/>
      <c r="BC111" s="225" t="n">
        <v>46138</v>
      </c>
      <c r="BD111" s="3"/>
      <c r="BE111" s="3"/>
      <c r="BF111" s="3"/>
    </row>
    <row r="112" spans="37:58">
      <c r="AK112" s="211" t="s">
        <v>379</v>
      </c>
      <c r="AL112" s="211" t="n">
        <v>16</v>
      </c>
      <c r="AM112" s="213">
        <f>'[1]Jugadores'!AM33-2100-6-93+31-112-26+34-112</f>
        <v>-2384</v>
      </c>
      <c r="AN112" s="231"/>
      <c r="AO112" s="223"/>
      <c r="AP112" s="215" t="n">
        <v>1.99000000000000004</v>
      </c>
      <c r="AQ112" s="236" t="n">
        <v>3</v>
      </c>
      <c r="AR112" s="216" t="n">
        <v>3.99000000000000021</v>
      </c>
      <c r="AS112" s="223"/>
      <c r="AT112" s="215" t="n">
        <v>2.99000000000000021</v>
      </c>
      <c r="AU112" s="239" t="n">
        <v>6</v>
      </c>
      <c r="AV112" s="219" t="n">
        <v>6.99000000000000021</v>
      </c>
      <c r="AW112" s="239" t="n">
        <v>2</v>
      </c>
      <c r="AX112" s="218" t="n">
        <v>2.99000000000000021</v>
      </c>
      <c r="AY112" s="238" t="n">
        <v>4</v>
      </c>
      <c r="AZ112" s="224" t="n">
        <v>6.99000000000000021</v>
      </c>
      <c r="BA112" s="223"/>
      <c r="BB112" s="223"/>
      <c r="BC112" s="225" t="n">
        <v>46140</v>
      </c>
      <c r="BD112" s="3"/>
      <c r="BE112" s="3"/>
      <c r="BF112" s="3"/>
    </row>
    <row r="113" spans="37:58">
      <c r="AK113" s="211" t="s">
        <v>380</v>
      </c>
      <c r="AL113" s="211" t="n">
        <v>16</v>
      </c>
      <c r="AM113" s="213">
        <f>'[1]Jugadores'!AM33-2100-6-93+31-112-26-44-112</f>
        <v>-2462</v>
      </c>
      <c r="AN113" s="231" t="s">
        <v>278</v>
      </c>
      <c r="AO113" s="223"/>
      <c r="AP113" s="223"/>
      <c r="AQ113" s="239" t="n">
        <v>1</v>
      </c>
      <c r="AR113" s="218" t="n">
        <v>1.99000000000000004</v>
      </c>
      <c r="AS113" s="223"/>
      <c r="AT113" s="215" t="n">
        <v>2.99000000000000021</v>
      </c>
      <c r="AU113" s="236" t="n">
        <v>6</v>
      </c>
      <c r="AV113" s="217" t="n">
        <v>6.99000000000000021</v>
      </c>
      <c r="AW113" s="223"/>
      <c r="AX113" s="215" t="n">
        <v>2.99000000000000021</v>
      </c>
      <c r="AY113" s="236" t="n">
        <v>4</v>
      </c>
      <c r="AZ113" s="216" t="n">
        <v>4.99000000000000021</v>
      </c>
      <c r="BA113" s="223"/>
      <c r="BB113" s="223"/>
      <c r="BC113" s="225" t="n">
        <v>46218</v>
      </c>
      <c r="BD113" s="3"/>
      <c r="BE113" s="3"/>
      <c r="BF113" s="3"/>
    </row>
    <row r="114" spans="37:58">
      <c r="AK114" s="211" t="s">
        <v>381</v>
      </c>
      <c r="AL114" s="211" t="n">
        <v>18</v>
      </c>
      <c r="AM114" s="213">
        <f>88+'[1]Jugadores'!AM33-2254-112-112+6-112-112</f>
        <v>-2608</v>
      </c>
      <c r="AN114" s="231" t="s">
        <v>210</v>
      </c>
      <c r="AO114" s="223"/>
      <c r="AP114" s="223"/>
      <c r="AQ114" s="238" t="n">
        <v>5</v>
      </c>
      <c r="AR114" s="224" t="n">
        <v>6.99000000000000021</v>
      </c>
      <c r="AS114" s="238" t="n">
        <v>5</v>
      </c>
      <c r="AT114" s="224" t="n">
        <v>6.99000000000000021</v>
      </c>
      <c r="AU114" s="236" t="n">
        <v>2</v>
      </c>
      <c r="AV114" s="216" t="n">
        <v>2.99000000000000021</v>
      </c>
      <c r="AW114" s="238" t="n">
        <v>5</v>
      </c>
      <c r="AX114" s="224" t="n">
        <v>6.99000000000000021</v>
      </c>
      <c r="AY114" s="236" t="n">
        <v>3</v>
      </c>
      <c r="AZ114" s="216" t="n">
        <v>3.99000000000000021</v>
      </c>
      <c r="BA114" s="223"/>
      <c r="BB114" s="223"/>
      <c r="BC114" s="225" t="n">
        <v>43644</v>
      </c>
      <c r="BD114" s="3"/>
      <c r="BE114" s="3"/>
      <c r="BF114" s="3"/>
    </row>
    <row r="115" spans="37:58">
      <c r="AK115" s="211" t="s">
        <v>382</v>
      </c>
      <c r="AL115" s="211" t="n">
        <v>16</v>
      </c>
      <c r="AM115" s="213">
        <f>88+'[1]Jugadores'!AM33-2254-112-112+6-112</f>
        <v>-2496</v>
      </c>
      <c r="AN115" s="231" t="s">
        <v>172</v>
      </c>
      <c r="AO115" s="223"/>
      <c r="AP115" s="215" t="n">
        <v>2.99000000000000021</v>
      </c>
      <c r="AQ115" s="238" t="n">
        <v>4</v>
      </c>
      <c r="AR115" s="224" t="n">
        <v>6.99000000000000021</v>
      </c>
      <c r="AS115" s="223"/>
      <c r="AT115" s="223"/>
      <c r="AU115" s="239" t="n">
        <v>3</v>
      </c>
      <c r="AV115" s="218" t="n">
        <v>3.99000000000000021</v>
      </c>
      <c r="AW115" s="223"/>
      <c r="AX115" s="215" t="n">
        <v>4.99000000000000021</v>
      </c>
      <c r="AY115" s="238" t="n">
        <v>2</v>
      </c>
      <c r="AZ115" s="223"/>
      <c r="BA115" s="223"/>
      <c r="BB115" s="223"/>
      <c r="BC115" s="225" t="n">
        <v>46252</v>
      </c>
      <c r="BD115" s="3"/>
      <c r="BE115" s="3"/>
      <c r="BF115" s="3"/>
    </row>
    <row r="116" spans="37:58">
      <c r="AK116" s="211" t="s">
        <v>383</v>
      </c>
      <c r="AL116" s="211" t="n">
        <v>17</v>
      </c>
      <c r="AM116" s="213" t="n">
        <v>3</v>
      </c>
      <c r="AN116" s="231"/>
      <c r="AO116" s="223"/>
      <c r="AP116" s="223"/>
      <c r="AQ116" s="239" t="n">
        <v>5</v>
      </c>
      <c r="AR116" s="219" t="n">
        <v>5.99000000000000021</v>
      </c>
      <c r="AS116" s="239" t="n">
        <v>4</v>
      </c>
      <c r="AT116" s="218" t="n">
        <v>4.99000000000000021</v>
      </c>
      <c r="AU116" s="239" t="n">
        <v>5</v>
      </c>
      <c r="AV116" s="219" t="n">
        <v>5.99000000000000021</v>
      </c>
      <c r="AW116" s="236" t="n">
        <v>2</v>
      </c>
      <c r="AX116" s="216" t="n">
        <v>2.99000000000000021</v>
      </c>
      <c r="AY116" s="223"/>
      <c r="AZ116" s="215" t="n">
        <v>3.99000000000000021</v>
      </c>
      <c r="BA116" s="223"/>
      <c r="BB116" s="223"/>
      <c r="BC116" s="225" t="n">
        <v>43648</v>
      </c>
      <c r="BD116" s="3"/>
      <c r="BE116" s="3"/>
      <c r="BF116" s="3"/>
    </row>
    <row r="117" spans="37:58">
      <c r="AK117" s="350" t="s">
        <v>384</v>
      </c>
      <c r="AL117" s="223" t="n">
        <v>17</v>
      </c>
      <c r="AM117" s="351" t="n">
        <v>54</v>
      </c>
      <c r="AN117" s="352"/>
      <c r="AO117" s="223"/>
      <c r="AP117" s="215" t="n">
        <v>0.990000000000000036</v>
      </c>
      <c r="AQ117" s="236" t="n">
        <v>3</v>
      </c>
      <c r="AR117" s="216" t="n">
        <v>3.99000000000000021</v>
      </c>
      <c r="AS117" s="236" t="n">
        <v>4</v>
      </c>
      <c r="AT117" s="216" t="n">
        <v>4.99000000000000021</v>
      </c>
      <c r="AU117" s="238" t="n">
        <v>4</v>
      </c>
      <c r="AV117" s="221" t="n">
        <v>5.99000000000000021</v>
      </c>
      <c r="AW117" s="238" t="n">
        <v>4</v>
      </c>
      <c r="AX117" s="224" t="n">
        <v>6.99000000000000021</v>
      </c>
      <c r="AY117" s="239" t="n">
        <v>5</v>
      </c>
      <c r="AZ117" s="219" t="n">
        <v>5.99000000000000021</v>
      </c>
      <c r="BA117" s="19"/>
      <c r="BB117" s="19"/>
      <c r="BC117" s="210" t="n">
        <v>43699</v>
      </c>
      <c r="BD117" s="3"/>
      <c r="BE117" s="3"/>
      <c r="BF117" s="3"/>
    </row>
    <row r="118" spans="37:58">
      <c r="AK118" s="350" t="s">
        <v>385</v>
      </c>
      <c r="AL118" s="223" t="n">
        <v>17</v>
      </c>
      <c r="AM118" s="351" t="n">
        <v>0</v>
      </c>
      <c r="AN118" s="352"/>
      <c r="AO118" s="223"/>
      <c r="AP118" s="215" t="n">
        <v>1.99000000000000004</v>
      </c>
      <c r="AQ118" s="239" t="n">
        <v>5</v>
      </c>
      <c r="AR118" s="219" t="n">
        <v>5.99000000000000021</v>
      </c>
      <c r="AS118" s="223"/>
      <c r="AT118" s="215" t="n">
        <v>3.99000000000000021</v>
      </c>
      <c r="AU118" s="223"/>
      <c r="AV118" s="215" t="n">
        <v>2.99000000000000021</v>
      </c>
      <c r="AW118" s="223"/>
      <c r="AX118" s="215" t="n">
        <v>2.99000000000000021</v>
      </c>
      <c r="AY118" s="223"/>
      <c r="AZ118" s="215" t="n">
        <v>3.99000000000000021</v>
      </c>
      <c r="BA118" s="223"/>
      <c r="BB118" s="215" t="n">
        <v>4.99000000000000021</v>
      </c>
      <c r="BC118" s="210" t="n">
        <v>43704</v>
      </c>
      <c r="BD118" s="3"/>
      <c r="BE118" s="3"/>
      <c r="BF118" s="3"/>
    </row>
    <row r="119" spans="37:58">
      <c r="AK119" s="354" t="s">
        <v>386</v>
      </c>
      <c r="AL119" s="223" t="n">
        <v>17</v>
      </c>
      <c r="AM119" s="351" t="n">
        <v>10</v>
      </c>
      <c r="AN119" s="352" t="s">
        <v>210</v>
      </c>
      <c r="AO119" s="223"/>
      <c r="AP119" s="223"/>
      <c r="AQ119" s="223"/>
      <c r="AR119" s="215" t="n">
        <v>3.99000000000000021</v>
      </c>
      <c r="AS119" s="223"/>
      <c r="AT119" s="215" t="n">
        <v>4.99000000000000021</v>
      </c>
      <c r="AU119" s="239" t="n">
        <v>3</v>
      </c>
      <c r="AV119" s="218" t="n">
        <v>3.99000000000000021</v>
      </c>
      <c r="AW119" s="236" t="n">
        <v>2</v>
      </c>
      <c r="AX119" s="216" t="n">
        <v>2.99000000000000021</v>
      </c>
      <c r="AY119" s="238" t="n">
        <v>6</v>
      </c>
      <c r="AZ119" s="224" t="n">
        <v>7</v>
      </c>
      <c r="BA119" s="223"/>
      <c r="BB119" s="223"/>
      <c r="BC119" s="210" t="n">
        <v>43730</v>
      </c>
      <c r="BD119" s="3"/>
      <c r="BE119" s="3"/>
      <c r="BF119" s="3"/>
    </row>
    <row r="120" spans="37:58">
      <c r="AK120" s="350" t="s">
        <v>387</v>
      </c>
      <c r="AL120" s="223" t="n">
        <v>17</v>
      </c>
      <c r="AM120" s="358" t="n">
        <v>13</v>
      </c>
      <c r="AN120" s="352"/>
      <c r="AO120" s="223"/>
      <c r="AP120" s="223"/>
      <c r="AQ120" s="236" t="n">
        <v>3</v>
      </c>
      <c r="AR120" s="216" t="n">
        <v>3.99000000000000021</v>
      </c>
      <c r="AS120" s="238" t="n">
        <v>4</v>
      </c>
      <c r="AT120" s="221" t="n">
        <v>5.99000000000000021</v>
      </c>
      <c r="AU120" s="236" t="n">
        <v>1</v>
      </c>
      <c r="AV120" s="216" t="n">
        <v>1.99000000000000004</v>
      </c>
      <c r="AW120" s="359" t="n">
        <v>5</v>
      </c>
      <c r="AX120" s="237" t="n">
        <v>5.99000000000000021</v>
      </c>
      <c r="AY120" s="238" t="n">
        <v>6</v>
      </c>
      <c r="AZ120" s="224" t="n">
        <v>7</v>
      </c>
      <c r="BA120" s="223"/>
      <c r="BB120" s="223"/>
      <c r="BC120" s="210" t="n">
        <v>43744</v>
      </c>
      <c r="BD120" s="3"/>
      <c r="BE120" s="3"/>
      <c r="BF120" s="3"/>
    </row>
  </sheetData>
  <mergeCells count="1">
    <mergeCell ref="G31:N31"/>
  </mergeCells>
  <conditionalFormatting sqref="E13">
    <cfRule type="cellIs" dxfId="1" priority="1" stopIfTrue="1" operator="lessThan">
      <formula>1</formula>
    </cfRule>
  </conditionalFormatting>
  <conditionalFormatting sqref="E13">
    <cfRule type="cellIs" dxfId="2" priority="2" stopIfTrue="1" operator="between">
      <formula>1</formula>
      <formula>50</formula>
    </cfRule>
  </conditionalFormatting>
  <conditionalFormatting sqref="E13">
    <cfRule type="cellIs" dxfId="3" priority="3" stopIfTrue="1" operator="greaterThan">
      <formula>50</formula>
    </cfRule>
  </conditionalFormatting>
  <conditionalFormatting sqref="AC13:AH13">
    <cfRule type="cellIs" dxfId="4" priority="4" stopIfTrue="1" operator="between">
      <formula>4</formula>
      <formula>5</formula>
    </cfRule>
  </conditionalFormatting>
  <conditionalFormatting sqref="AC13:AH13">
    <cfRule type="cellIs" dxfId="5" priority="5" stopIfTrue="1" operator="lessThan">
      <formula>4</formula>
    </cfRule>
  </conditionalFormatting>
  <conditionalFormatting sqref="AC13:AH13">
    <cfRule type="cellIs" dxfId="6" priority="6" stopIfTrue="1" operator="greaterThan">
      <formula>5</formula>
    </cfRule>
  </conditionalFormatting>
  <conditionalFormatting sqref="BC31:BC43">
    <cfRule type="cellIs" dxfId="7" priority="7" stopIfTrue="1" operator="lessThan">
      <formula>4</formula>
    </cfRule>
  </conditionalFormatting>
  <conditionalFormatting sqref="BC31:BC43">
    <cfRule type="cellIs" dxfId="8" priority="8" stopIfTrue="1" operator="greaterThan">
      <formula>6.4</formula>
    </cfRule>
  </conditionalFormatting>
  <conditionalFormatting sqref="BC31:BC43">
    <cfRule type="cellIs" dxfId="9" priority="9" stopIfTrue="1" operator="lessThan">
      <formula>4</formula>
    </cfRule>
  </conditionalFormatting>
  <conditionalFormatting sqref="BC31:BC43">
    <cfRule type="cellIs" dxfId="10" priority="10" stopIfTrue="1" operator="greaterThan">
      <formula>6.4</formula>
    </cfRule>
  </conditionalFormatting>
  <conditionalFormatting sqref="BC31:BC43">
    <cfRule type="cellIs" dxfId="11" priority="11" stopIfTrue="1" operator="lessThan">
      <formula>4</formula>
    </cfRule>
  </conditionalFormatting>
  <conditionalFormatting sqref="BC31:BC43">
    <cfRule type="cellIs" dxfId="12" priority="12" stopIfTrue="1" operator="greaterThan">
      <formula>6.4</formula>
    </cfRule>
  </conditionalFormatting>
  <conditionalFormatting sqref="BC31:BC43">
    <cfRule type="cellIs" dxfId="13" priority="13" stopIfTrue="1" operator="lessThan">
      <formula>4</formula>
    </cfRule>
  </conditionalFormatting>
  <conditionalFormatting sqref="BC31:BC43">
    <cfRule type="cellIs" dxfId="14" priority="14" stopIfTrue="1" operator="greaterThan">
      <formula>6.4</formula>
    </cfRule>
  </conditionalFormatting>
  <conditionalFormatting sqref="BC31:BC43">
    <cfRule type="cellIs" dxfId="15" priority="15" stopIfTrue="1" operator="lessThan">
      <formula>4</formula>
    </cfRule>
  </conditionalFormatting>
  <conditionalFormatting sqref="BC31:BC43">
    <cfRule type="cellIs" dxfId="16" priority="16" stopIfTrue="1" operator="greaterThan">
      <formula>6.4</formula>
    </cfRule>
  </conditionalFormatting>
  <conditionalFormatting sqref="BC31:BC43">
    <cfRule type="cellIs" dxfId="17" priority="17" stopIfTrue="1" operator="lessThan">
      <formula>4</formula>
    </cfRule>
  </conditionalFormatting>
  <conditionalFormatting sqref="BC31:BC43">
    <cfRule type="cellIs" dxfId="18" priority="18" stopIfTrue="1" operator="greaterThan">
      <formula>6.4</formula>
    </cfRule>
  </conditionalFormatting>
  <conditionalFormatting sqref="BC31:BC43">
    <cfRule type="cellIs" dxfId="19" priority="19" stopIfTrue="1" operator="lessThan">
      <formula>4</formula>
    </cfRule>
  </conditionalFormatting>
  <conditionalFormatting sqref="BC31:BC43">
    <cfRule type="cellIs" dxfId="20" priority="20" stopIfTrue="1" operator="greaterThan">
      <formula>6.4</formula>
    </cfRule>
  </conditionalFormatting>
  <conditionalFormatting sqref="AC15:AH15">
    <cfRule type="cellIs" dxfId="21" priority="21" stopIfTrue="1" operator="between">
      <formula>4</formula>
      <formula>5</formula>
    </cfRule>
  </conditionalFormatting>
  <conditionalFormatting sqref="AC15:AH15">
    <cfRule type="cellIs" dxfId="22" priority="22" stopIfTrue="1" operator="lessThan">
      <formula>4</formula>
    </cfRule>
  </conditionalFormatting>
  <conditionalFormatting sqref="AC15:AH15">
    <cfRule type="cellIs" dxfId="23" priority="23" stopIfTrue="1" operator="greaterThan">
      <formula>5</formula>
    </cfRule>
  </conditionalFormatting>
  <conditionalFormatting sqref="AC12:AH12">
    <cfRule type="cellIs" dxfId="24" priority="24" stopIfTrue="1" operator="between">
      <formula>4</formula>
      <formula>5</formula>
    </cfRule>
  </conditionalFormatting>
  <conditionalFormatting sqref="AC12:AH12">
    <cfRule type="cellIs" dxfId="25" priority="25" stopIfTrue="1" operator="lessThan">
      <formula>4</formula>
    </cfRule>
  </conditionalFormatting>
  <conditionalFormatting sqref="AC12:AH12">
    <cfRule type="cellIs" dxfId="26" priority="26" stopIfTrue="1" operator="greaterThan">
      <formula>5</formula>
    </cfRule>
  </conditionalFormatting>
  <conditionalFormatting sqref="E3 E7:E8 E12:E17 E20:E28">
    <cfRule type="cellIs" dxfId="27" priority="27" stopIfTrue="1" operator="lessThan">
      <formula>1</formula>
    </cfRule>
  </conditionalFormatting>
  <conditionalFormatting sqref="E3 E7:E8 E12:E17 E20:E28">
    <cfRule type="cellIs" dxfId="28" priority="28" stopIfTrue="1" operator="between">
      <formula>1</formula>
      <formula>50</formula>
    </cfRule>
  </conditionalFormatting>
  <conditionalFormatting sqref="E3 E7:E8 E12:E17 E20:E28">
    <cfRule type="cellIs" dxfId="29" priority="29" stopIfTrue="1" operator="greaterThan">
      <formula>50</formula>
    </cfRule>
  </conditionalFormatting>
  <conditionalFormatting sqref="AC3:AH3 AC7:AH8 AC12:AH17 AC20:AH28">
    <cfRule type="cellIs" dxfId="30" priority="30" stopIfTrue="1" operator="between">
      <formula>4</formula>
      <formula>5</formula>
    </cfRule>
  </conditionalFormatting>
  <conditionalFormatting sqref="AC3:AH3 AC7:AH8 AC12:AH17 AC20:AH28">
    <cfRule type="cellIs" dxfId="31" priority="31" stopIfTrue="1" operator="lessThan">
      <formula>4</formula>
    </cfRule>
  </conditionalFormatting>
  <conditionalFormatting sqref="AC3:AH3 AC7:AH8 AC12:AH17 AC20:AH28">
    <cfRule type="cellIs" dxfId="32" priority="32" stopIfTrue="1" operator="greaterThan">
      <formula>5</formula>
    </cfRule>
  </conditionalFormatting>
  <conditionalFormatting sqref="X3:Y3 X7:Y8 X12:Y17 X20:Y28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rintOptions>
    <extLst>
      <ext uri="smNativeData">
        <pm:pageFlags xmlns:pm="smNativeData" id="1591683921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91683921" l="56" r="56" t="56" b="56" borderId="0" fillId="0" vertical="0"/>
        <pm:footer xmlns:pm="smNativeData" id="1591683921" l="56" r="56" t="56" b="56" borderId="0" fillId="0" vertical="2"/>
      </ext>
    </extLst>
  </headerFooter>
  <legacyDrawing r:id="rId2"/>
  <extLst>
    <ext uri="smNativeData">
      <pm:sheetPrefs xmlns:pm="smNativeData" day="1591683921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E6B8B7"/>
  </sheetPr>
  <dimension ref="A1:W19"/>
  <sheetViews>
    <sheetView view="normal" zoomScale="110" workbookViewId="0">
      <selection activeCell="D17" sqref="D17"/>
    </sheetView>
  </sheetViews>
  <sheetFormatPr baseColWidth="10" defaultColWidth="10.669643" defaultRowHeight="15.40"/>
  <cols>
    <col min="1" max="1" width="23.285714" customWidth="1" style="44"/>
    <col min="2" max="2" width="10.857143" customWidth="1" style="44"/>
    <col min="3" max="3" width="14.142857" customWidth="1" style="44"/>
    <col min="4" max="4" width="9.857143" customWidth="1" style="44"/>
    <col min="5" max="6" width="14.142857" customWidth="1" style="44"/>
    <col min="7" max="7" width="5.714286" customWidth="1" style="44"/>
    <col min="8" max="8" width="9.285714" customWidth="1" style="44"/>
    <col min="9" max="9" width="10.571429" customWidth="1" style="44"/>
    <col min="10" max="10" width="9.285714" customWidth="1" style="44"/>
    <col min="11" max="11" width="10.571429" customWidth="1" style="44"/>
    <col min="12" max="12" width="8.571429" customWidth="1" style="44"/>
    <col min="13" max="14" width="6.142857" customWidth="1" style="44"/>
    <col min="15" max="15" width="7.428571" customWidth="1" style="44"/>
    <col min="16" max="18" width="4.571429" customWidth="1" style="44"/>
    <col min="19" max="19" width="4.142857" customWidth="1" style="44"/>
    <col min="20" max="21" width="4.571429" customWidth="1" style="44"/>
    <col min="22" max="22" width="27.000000" customWidth="1" style="44"/>
    <col min="23" max="23" width="11.714286" customWidth="1" style="44"/>
  </cols>
  <sheetData>
    <row r="1" spans="1:23">
      <c r="A1" s="405" t="s">
        <v>388</v>
      </c>
      <c r="B1" s="405" t="s">
        <v>389</v>
      </c>
      <c r="C1" s="405" t="s">
        <v>390</v>
      </c>
      <c r="D1" s="405" t="s">
        <v>391</v>
      </c>
      <c r="E1" s="405" t="s">
        <v>392</v>
      </c>
      <c r="F1" s="405" t="s">
        <v>393</v>
      </c>
      <c r="G1" s="405" t="s">
        <v>394</v>
      </c>
      <c r="H1" s="405" t="s">
        <v>134</v>
      </c>
      <c r="I1" s="405" t="s">
        <v>395</v>
      </c>
      <c r="J1" s="405" t="s">
        <v>396</v>
      </c>
      <c r="K1" s="405" t="s">
        <v>397</v>
      </c>
      <c r="L1" s="405" t="s">
        <v>398</v>
      </c>
      <c r="M1" s="405" t="s">
        <v>399</v>
      </c>
      <c r="N1" s="405" t="s">
        <v>400</v>
      </c>
      <c r="O1" s="405" t="s">
        <v>401</v>
      </c>
      <c r="P1" s="405" t="s">
        <v>210</v>
      </c>
      <c r="Q1" s="405" t="s">
        <v>185</v>
      </c>
      <c r="R1" s="405" t="s">
        <v>175</v>
      </c>
      <c r="S1" s="405" t="s">
        <v>278</v>
      </c>
      <c r="T1" s="405" t="s">
        <v>172</v>
      </c>
      <c r="U1" s="405" t="s">
        <v>402</v>
      </c>
      <c r="V1" s="405" t="s">
        <v>403</v>
      </c>
      <c r="W1" s="405" t="s">
        <v>404</v>
      </c>
    </row>
    <row r="2" spans="1:23">
      <c r="A2" s="44" t="s">
        <v>405</v>
      </c>
      <c r="B2" s="115" t="n">
        <v>41884</v>
      </c>
      <c r="C2" s="44" t="s">
        <v>406</v>
      </c>
      <c r="D2" s="44" t="s">
        <v>407</v>
      </c>
      <c r="E2" s="406" t="n">
        <v>47129110</v>
      </c>
      <c r="F2" s="406" t="n">
        <v>36220760</v>
      </c>
      <c r="G2" s="44" t="n">
        <v>115</v>
      </c>
      <c r="H2" s="407" t="n">
        <v>1109350</v>
      </c>
      <c r="I2" s="406" t="n">
        <v>294908</v>
      </c>
      <c r="J2" s="407" t="n">
        <v>1036370</v>
      </c>
      <c r="K2" s="406" t="n">
        <v>264270</v>
      </c>
      <c r="L2" s="44" t="n">
        <v>5.5</v>
      </c>
      <c r="M2" s="44" t="n">
        <v>6.5</v>
      </c>
      <c r="N2" s="44" t="n">
        <v>5.5</v>
      </c>
      <c r="O2" s="44" t="s">
        <v>408</v>
      </c>
      <c r="P2" s="44" t="n">
        <v>0</v>
      </c>
      <c r="Q2" s="44" t="n">
        <v>5</v>
      </c>
      <c r="R2" s="44" t="n">
        <v>0</v>
      </c>
      <c r="S2" s="44" t="n">
        <v>1</v>
      </c>
      <c r="T2" s="44" t="n">
        <v>5</v>
      </c>
      <c r="U2" s="44">
        <f>SUM(P2:T2)</f>
        <v>11</v>
      </c>
      <c r="V2" s="44" t="s">
        <v>409</v>
      </c>
      <c r="W2" s="44" t="s">
        <v>410</v>
      </c>
    </row>
    <row r="3" spans="1:23">
      <c r="A3" s="44" t="s">
        <v>411</v>
      </c>
      <c r="B3" s="115" t="n">
        <v>39559</v>
      </c>
      <c r="C3" s="44" t="s">
        <v>412</v>
      </c>
      <c r="D3" s="44" t="s">
        <v>413</v>
      </c>
      <c r="E3" s="406" t="n">
        <v>256348598</v>
      </c>
      <c r="F3" s="406" t="n">
        <v>272162542</v>
      </c>
      <c r="G3" s="44" t="n">
        <v>482</v>
      </c>
      <c r="H3" s="407" t="n">
        <v>1213540</v>
      </c>
      <c r="I3" s="406" t="n">
        <v>226018</v>
      </c>
      <c r="J3" s="407" t="n">
        <v>1085590</v>
      </c>
      <c r="K3" s="406" t="n">
        <v>181988</v>
      </c>
      <c r="L3" s="44" t="n">
        <v>5.75</v>
      </c>
      <c r="M3" s="44" t="n">
        <v>6.75</v>
      </c>
      <c r="N3" s="44" t="n">
        <v>4.5</v>
      </c>
      <c r="O3" s="44" t="s">
        <v>414</v>
      </c>
      <c r="P3" s="44" t="n">
        <v>0</v>
      </c>
      <c r="Q3" s="44" t="n">
        <v>1</v>
      </c>
      <c r="R3" s="44" t="n">
        <v>1</v>
      </c>
      <c r="S3" s="44" t="n">
        <v>1</v>
      </c>
      <c r="T3" s="44" t="n">
        <v>1</v>
      </c>
      <c r="U3" s="44">
        <f>SUM(P3:T3)</f>
        <v>4</v>
      </c>
      <c r="V3" s="44" t="s">
        <v>415</v>
      </c>
      <c r="W3" s="44" t="s">
        <v>416</v>
      </c>
    </row>
    <row r="4" spans="1:23">
      <c r="A4" s="44" t="s">
        <v>417</v>
      </c>
      <c r="B4" s="115" t="n">
        <v>42028</v>
      </c>
      <c r="C4" s="44" t="s">
        <v>418</v>
      </c>
      <c r="D4" s="44" t="s">
        <v>419</v>
      </c>
      <c r="E4" s="406" t="n">
        <v>90598139</v>
      </c>
      <c r="F4" s="406" t="n">
        <v>95834988</v>
      </c>
      <c r="G4" s="44" t="n">
        <v>246</v>
      </c>
      <c r="H4" s="407" t="n">
        <v>1323480</v>
      </c>
      <c r="I4" s="406" t="n">
        <v>367712</v>
      </c>
      <c r="J4" s="407" t="n">
        <v>1200260</v>
      </c>
      <c r="K4" s="406" t="n">
        <v>313134</v>
      </c>
      <c r="L4" s="44" t="n">
        <v>6</v>
      </c>
      <c r="M4" s="44" t="n">
        <v>6</v>
      </c>
      <c r="N4" s="44" t="n">
        <v>5.5</v>
      </c>
      <c r="O4" s="44" t="s">
        <v>420</v>
      </c>
      <c r="P4" s="44" t="n">
        <v>2</v>
      </c>
      <c r="Q4" s="44" t="n">
        <v>1</v>
      </c>
      <c r="R4" s="44" t="n">
        <v>0</v>
      </c>
      <c r="S4" s="44" t="n">
        <v>3</v>
      </c>
      <c r="T4" s="44" t="n">
        <v>0</v>
      </c>
      <c r="U4" s="44">
        <f>SUM(P4:T4)</f>
        <v>6</v>
      </c>
      <c r="V4" s="44" t="s">
        <v>421</v>
      </c>
      <c r="W4" s="44" t="s">
        <v>422</v>
      </c>
    </row>
    <row r="5" spans="1:23">
      <c r="A5" s="44" t="s">
        <v>423</v>
      </c>
      <c r="B5" s="115" t="n">
        <v>39638</v>
      </c>
      <c r="C5" s="44" t="s">
        <v>418</v>
      </c>
      <c r="D5" s="44" t="s">
        <v>424</v>
      </c>
      <c r="E5" s="406" t="n">
        <v>101904410</v>
      </c>
      <c r="F5" s="406" t="n">
        <v>106728274</v>
      </c>
      <c r="G5" s="44" t="n">
        <v>369</v>
      </c>
      <c r="H5" s="407" t="n">
        <v>1091490</v>
      </c>
      <c r="I5" s="406" t="n">
        <v>314820</v>
      </c>
      <c r="J5" s="407" t="n">
        <v>1035660</v>
      </c>
      <c r="K5" s="406" t="n">
        <v>295298</v>
      </c>
      <c r="L5" s="44" t="n">
        <v>5.25</v>
      </c>
      <c r="M5" s="44" t="n">
        <v>5</v>
      </c>
      <c r="N5" s="44" t="n">
        <v>6.25</v>
      </c>
      <c r="O5" s="44" t="s">
        <v>425</v>
      </c>
      <c r="P5" s="44" t="n">
        <v>0</v>
      </c>
      <c r="Q5" s="44" t="n">
        <v>2</v>
      </c>
      <c r="R5" s="44" t="n">
        <v>0</v>
      </c>
      <c r="S5" s="44" t="n">
        <v>2</v>
      </c>
      <c r="T5" s="44" t="n">
        <v>0</v>
      </c>
      <c r="U5" s="44">
        <f>SUM(P5:T5)</f>
        <v>4</v>
      </c>
      <c r="V5" s="44" t="s">
        <v>426</v>
      </c>
      <c r="W5" s="44" t="s">
        <v>427</v>
      </c>
    </row>
    <row r="6" spans="1:23">
      <c r="A6" s="44" t="s">
        <v>428</v>
      </c>
      <c r="B6" s="115" t="n">
        <v>38176</v>
      </c>
      <c r="C6" s="44" t="s">
        <v>429</v>
      </c>
      <c r="D6" s="44" t="s">
        <v>413</v>
      </c>
      <c r="E6" s="406" t="n">
        <v>114552212</v>
      </c>
      <c r="F6" s="406" t="n">
        <v>106068085</v>
      </c>
      <c r="G6" s="44" t="n">
        <v>332</v>
      </c>
      <c r="H6" s="407" t="n">
        <v>613770</v>
      </c>
      <c r="I6" s="406" t="n">
        <v>214342</v>
      </c>
      <c r="J6" s="407" t="n">
        <v>594970</v>
      </c>
      <c r="K6" s="406" t="n">
        <v>196056</v>
      </c>
      <c r="L6" s="44" t="n">
        <v>5.75</v>
      </c>
      <c r="M6" s="44" t="n">
        <v>6.5</v>
      </c>
      <c r="N6" s="44" t="n">
        <v>5.25</v>
      </c>
      <c r="O6" s="44" t="s">
        <v>430</v>
      </c>
      <c r="P6" s="44" t="n">
        <v>0</v>
      </c>
      <c r="Q6" s="44" t="n">
        <v>2</v>
      </c>
      <c r="R6" s="44" t="n">
        <v>2</v>
      </c>
      <c r="S6" s="44" t="n">
        <v>0</v>
      </c>
      <c r="T6" s="44" t="n">
        <v>0</v>
      </c>
      <c r="U6" s="44">
        <f>SUM(P6:T6)</f>
        <v>4</v>
      </c>
      <c r="V6" s="44" t="s">
        <v>431</v>
      </c>
      <c r="W6" s="44" t="s">
        <v>432</v>
      </c>
    </row>
    <row r="7" spans="1:23">
      <c r="A7" s="44" t="s">
        <v>433</v>
      </c>
      <c r="B7" s="115" t="n">
        <v>37938</v>
      </c>
      <c r="C7" s="44" t="s">
        <v>434</v>
      </c>
      <c r="D7" s="44" t="s">
        <v>413</v>
      </c>
      <c r="E7" s="406" t="n">
        <v>152808114</v>
      </c>
      <c r="F7" s="406" t="n">
        <v>152569289</v>
      </c>
      <c r="G7" s="44" t="n">
        <v>454</v>
      </c>
      <c r="H7" s="407" t="n">
        <v>735430</v>
      </c>
      <c r="I7" s="406" t="n">
        <v>218146</v>
      </c>
      <c r="J7" s="407" t="n">
        <v>656840</v>
      </c>
      <c r="K7" s="406" t="n">
        <v>183738</v>
      </c>
      <c r="L7" s="44" t="n">
        <v>6.25</v>
      </c>
      <c r="M7" s="44" t="n">
        <v>6.5</v>
      </c>
      <c r="N7" s="44" t="n">
        <v>5.5</v>
      </c>
      <c r="O7" s="44" t="s">
        <v>435</v>
      </c>
      <c r="P7" s="44" t="n">
        <v>0</v>
      </c>
      <c r="Q7" s="44" t="n">
        <v>0</v>
      </c>
      <c r="R7" s="44" t="n">
        <v>0</v>
      </c>
      <c r="S7" s="44" t="n">
        <v>2</v>
      </c>
      <c r="T7" s="44" t="n">
        <v>1</v>
      </c>
      <c r="U7" s="44">
        <f>SUM(P7:T7)</f>
        <v>3</v>
      </c>
      <c r="V7" s="44" t="s">
        <v>436</v>
      </c>
      <c r="W7" s="44" t="n">
        <v>352</v>
      </c>
    </row>
    <row r="8" spans="1:23">
      <c r="A8" s="44" t="s">
        <v>437</v>
      </c>
      <c r="B8" s="115" t="n">
        <v>40968</v>
      </c>
      <c r="C8" s="44" t="s">
        <v>429</v>
      </c>
      <c r="D8" s="44" t="s">
        <v>438</v>
      </c>
      <c r="E8" s="406" t="n">
        <v>37248599</v>
      </c>
      <c r="F8" s="406" t="n">
        <v>18434858</v>
      </c>
      <c r="G8" s="44" t="n">
        <v>83</v>
      </c>
      <c r="H8" s="407" t="n">
        <v>926910</v>
      </c>
      <c r="I8" s="406" t="n">
        <v>175590</v>
      </c>
      <c r="J8" s="407" t="n">
        <v>811840</v>
      </c>
      <c r="K8" s="406" t="n">
        <v>152758</v>
      </c>
      <c r="L8" s="44" t="n">
        <v>6</v>
      </c>
      <c r="M8" s="44" t="n">
        <v>5.75</v>
      </c>
      <c r="N8" s="44" t="n">
        <v>5.75</v>
      </c>
      <c r="O8" s="44" t="s">
        <v>439</v>
      </c>
      <c r="P8" s="44" t="n">
        <v>1</v>
      </c>
      <c r="Q8" s="44" t="n">
        <v>0</v>
      </c>
      <c r="R8" s="44" t="n">
        <v>2</v>
      </c>
      <c r="S8" s="44" t="n">
        <v>4</v>
      </c>
      <c r="T8" s="44" t="n">
        <v>1</v>
      </c>
      <c r="U8" s="44">
        <f>SUM(P8:T8)</f>
        <v>8</v>
      </c>
      <c r="V8" s="44" t="s">
        <v>440</v>
      </c>
      <c r="W8" s="44" t="s">
        <v>410</v>
      </c>
    </row>
    <row r="9" spans="1:23">
      <c r="A9" s="44" t="s">
        <v>441</v>
      </c>
      <c r="B9" s="115" t="n">
        <v>40792</v>
      </c>
      <c r="C9" s="44" t="s">
        <v>434</v>
      </c>
      <c r="D9" s="44" t="s">
        <v>442</v>
      </c>
      <c r="E9" s="406" t="n">
        <v>276071009</v>
      </c>
      <c r="F9" s="406" t="n">
        <v>299255460</v>
      </c>
      <c r="G9" s="44" t="n">
        <v>893</v>
      </c>
      <c r="H9" s="407" t="n">
        <v>1389140</v>
      </c>
      <c r="I9" s="406" t="n">
        <v>226850</v>
      </c>
      <c r="J9" s="407" t="n">
        <v>1203640</v>
      </c>
      <c r="K9" s="406" t="n">
        <v>176410</v>
      </c>
      <c r="L9" s="44" t="n">
        <v>5.25</v>
      </c>
      <c r="M9" s="44" t="n">
        <v>6.25</v>
      </c>
      <c r="N9" s="44" t="n">
        <v>4.5</v>
      </c>
      <c r="O9" s="44" t="s">
        <v>443</v>
      </c>
      <c r="P9" s="44" t="n">
        <v>1</v>
      </c>
      <c r="Q9" s="44" t="n">
        <v>1</v>
      </c>
      <c r="R9" s="44" t="n">
        <v>3</v>
      </c>
      <c r="S9" s="44" t="n">
        <v>0</v>
      </c>
      <c r="T9" s="44" t="n">
        <v>6</v>
      </c>
      <c r="U9" s="44">
        <f>SUM(P9:T9)</f>
        <v>11</v>
      </c>
      <c r="V9" s="44" t="s">
        <v>444</v>
      </c>
      <c r="W9" s="44" t="s">
        <v>445</v>
      </c>
    </row>
    <row r="11" spans="1:23">
      <c r="A11" s="405" t="s">
        <v>446</v>
      </c>
      <c r="B11" s="405" t="s">
        <v>389</v>
      </c>
      <c r="C11" s="405" t="s">
        <v>390</v>
      </c>
      <c r="D11" s="405" t="s">
        <v>391</v>
      </c>
      <c r="E11" s="405" t="s">
        <v>392</v>
      </c>
      <c r="F11" s="405" t="s">
        <v>393</v>
      </c>
      <c r="G11" s="405" t="s">
        <v>394</v>
      </c>
      <c r="H11" s="405" t="s">
        <v>134</v>
      </c>
      <c r="I11" s="405" t="s">
        <v>395</v>
      </c>
      <c r="J11" s="405" t="s">
        <v>396</v>
      </c>
      <c r="K11" s="405" t="s">
        <v>397</v>
      </c>
      <c r="L11" s="405" t="s">
        <v>398</v>
      </c>
      <c r="M11" s="405" t="s">
        <v>399</v>
      </c>
      <c r="N11" s="405" t="s">
        <v>400</v>
      </c>
      <c r="O11" s="405" t="s">
        <v>401</v>
      </c>
      <c r="P11" s="405" t="s">
        <v>210</v>
      </c>
      <c r="Q11" s="405" t="s">
        <v>185</v>
      </c>
      <c r="R11" s="405" t="s">
        <v>175</v>
      </c>
      <c r="S11" s="405" t="s">
        <v>278</v>
      </c>
      <c r="T11" s="405" t="s">
        <v>172</v>
      </c>
      <c r="U11" s="405" t="s">
        <v>402</v>
      </c>
      <c r="V11" s="405" t="s">
        <v>403</v>
      </c>
      <c r="W11" s="405" t="s">
        <v>404</v>
      </c>
    </row>
    <row r="12" spans="1:23">
      <c r="A12" s="44" t="s">
        <v>447</v>
      </c>
      <c r="B12" s="115" t="n">
        <v>42188</v>
      </c>
      <c r="C12" s="44" t="s">
        <v>448</v>
      </c>
      <c r="D12" s="44" t="s">
        <v>449</v>
      </c>
      <c r="E12" s="406" t="n">
        <v>82460995</v>
      </c>
      <c r="F12" s="406" t="n">
        <v>96298020</v>
      </c>
      <c r="G12" s="44" t="n">
        <v>203</v>
      </c>
      <c r="H12" s="407" t="n">
        <v>815450</v>
      </c>
      <c r="I12" s="406" t="n">
        <v>255716</v>
      </c>
      <c r="J12" s="407" t="n">
        <v>694460</v>
      </c>
      <c r="K12" s="406" t="n">
        <v>181616</v>
      </c>
      <c r="L12" s="44" t="n">
        <v>5.5</v>
      </c>
      <c r="M12" s="44" t="n">
        <v>6.25</v>
      </c>
      <c r="N12" s="44" t="n">
        <v>5.5</v>
      </c>
      <c r="O12" s="44" t="s">
        <v>408</v>
      </c>
      <c r="P12" s="44" t="n">
        <v>2</v>
      </c>
      <c r="Q12" s="44" t="n">
        <v>1</v>
      </c>
      <c r="R12" s="44" t="n">
        <v>2</v>
      </c>
      <c r="S12" s="44" t="n">
        <v>1</v>
      </c>
      <c r="T12" s="44" t="n">
        <v>0</v>
      </c>
      <c r="U12" s="44">
        <f>SUM(P12:T12)</f>
        <v>6</v>
      </c>
      <c r="V12" s="44" t="s">
        <v>436</v>
      </c>
      <c r="W12" s="44" t="s">
        <v>450</v>
      </c>
    </row>
    <row r="13" spans="1:23">
      <c r="A13" s="44" t="s">
        <v>451</v>
      </c>
      <c r="B13" s="115" t="n">
        <v>41373</v>
      </c>
      <c r="C13" s="44" t="s">
        <v>452</v>
      </c>
      <c r="D13" s="44" t="s">
        <v>453</v>
      </c>
      <c r="E13" s="406" t="n">
        <v>60889118</v>
      </c>
      <c r="F13" s="406" t="n">
        <v>48697720</v>
      </c>
      <c r="G13" s="44" t="n">
        <v>89</v>
      </c>
      <c r="H13" s="407" t="n">
        <v>1177340</v>
      </c>
      <c r="I13" s="406" t="n">
        <v>300932</v>
      </c>
      <c r="J13" s="407" t="n">
        <v>1140440</v>
      </c>
      <c r="K13" s="406" t="n">
        <v>291780</v>
      </c>
      <c r="L13" s="44" t="n">
        <v>5.75</v>
      </c>
      <c r="M13" s="44" t="n">
        <v>6.25</v>
      </c>
      <c r="N13" s="44" t="n">
        <v>6.5</v>
      </c>
      <c r="O13" s="44" t="s">
        <v>420</v>
      </c>
      <c r="P13" s="44" t="n">
        <v>0</v>
      </c>
      <c r="Q13" s="44" t="n">
        <v>1</v>
      </c>
      <c r="R13" s="44" t="n">
        <v>0</v>
      </c>
      <c r="S13" s="44" t="n">
        <v>1</v>
      </c>
      <c r="T13" s="44" t="n">
        <v>0</v>
      </c>
      <c r="U13" s="44">
        <f>SUM(P13:T13)</f>
        <v>2</v>
      </c>
      <c r="V13" s="44" t="s">
        <v>454</v>
      </c>
      <c r="W13" s="44" t="n">
        <v>352</v>
      </c>
    </row>
    <row r="14" spans="1:23">
      <c r="A14" s="44" t="s">
        <v>455</v>
      </c>
      <c r="B14" s="115" t="n">
        <v>40967</v>
      </c>
      <c r="C14" s="44" t="s">
        <v>448</v>
      </c>
      <c r="D14" s="44" t="s">
        <v>419</v>
      </c>
      <c r="E14" s="406" t="n">
        <v>82442500</v>
      </c>
      <c r="F14" s="406" t="n">
        <v>87332141</v>
      </c>
      <c r="G14" s="44" t="n">
        <v>178</v>
      </c>
      <c r="H14" s="407" t="n">
        <v>777010</v>
      </c>
      <c r="I14" s="406" t="n">
        <v>290792</v>
      </c>
      <c r="J14" s="407" t="n">
        <v>723210</v>
      </c>
      <c r="K14" s="406" t="n">
        <v>261158</v>
      </c>
      <c r="L14" s="44" t="n">
        <v>5.5</v>
      </c>
      <c r="M14" s="44" t="n">
        <v>5.75</v>
      </c>
      <c r="N14" s="44" t="n">
        <v>6.75</v>
      </c>
      <c r="O14" s="44" t="s">
        <v>456</v>
      </c>
      <c r="P14" s="44" t="n">
        <v>0</v>
      </c>
      <c r="Q14" s="44" t="n">
        <v>2</v>
      </c>
      <c r="R14" s="44" t="n">
        <v>2</v>
      </c>
      <c r="S14" s="44" t="n">
        <v>4</v>
      </c>
      <c r="T14" s="44" t="n">
        <v>2</v>
      </c>
      <c r="U14" s="44">
        <f>SUM(P14:T14)</f>
        <v>10</v>
      </c>
      <c r="V14" s="44" t="s">
        <v>431</v>
      </c>
      <c r="W14" s="44" t="n">
        <v>352</v>
      </c>
    </row>
    <row r="15" spans="1:23">
      <c r="A15" s="44" t="s">
        <v>457</v>
      </c>
      <c r="B15" s="115" t="n">
        <v>38761</v>
      </c>
      <c r="C15" s="44" t="s">
        <v>458</v>
      </c>
      <c r="D15" s="44" t="s">
        <v>459</v>
      </c>
      <c r="E15" s="406" t="n">
        <v>338220879</v>
      </c>
      <c r="F15" s="406" t="n">
        <v>354040033</v>
      </c>
      <c r="G15" s="44" t="n">
        <v>1243</v>
      </c>
      <c r="H15" s="407" t="n">
        <v>643900</v>
      </c>
      <c r="I15" s="406" t="n">
        <v>150312</v>
      </c>
      <c r="J15" s="407" t="n">
        <v>556130</v>
      </c>
      <c r="K15" s="406" t="n">
        <v>111082</v>
      </c>
      <c r="L15" s="44" t="n">
        <v>6</v>
      </c>
      <c r="M15" s="44" t="n">
        <v>6.25</v>
      </c>
      <c r="N15" s="44" t="n">
        <v>6.25</v>
      </c>
      <c r="O15" s="44" t="s">
        <v>460</v>
      </c>
      <c r="P15" s="44" t="n">
        <v>1</v>
      </c>
      <c r="Q15" s="44" t="n">
        <v>4</v>
      </c>
      <c r="R15" s="44" t="n">
        <v>1</v>
      </c>
      <c r="S15" s="44" t="n">
        <v>1</v>
      </c>
      <c r="T15" s="44" t="n">
        <v>0</v>
      </c>
      <c r="U15" s="44">
        <f>SUM(P15:T15)</f>
        <v>7</v>
      </c>
      <c r="V15" s="44" t="s">
        <v>426</v>
      </c>
      <c r="W15" s="44" t="s">
        <v>461</v>
      </c>
    </row>
    <row r="16" spans="1:23">
      <c r="A16" s="44" t="s">
        <v>462</v>
      </c>
      <c r="B16" s="115" t="n">
        <v>42114</v>
      </c>
      <c r="C16" s="44" t="s">
        <v>448</v>
      </c>
      <c r="D16" s="44" t="s">
        <v>463</v>
      </c>
      <c r="E16" s="406" t="n">
        <v>46709570</v>
      </c>
      <c r="F16" s="406" t="n">
        <v>37113808</v>
      </c>
      <c r="G16" s="44" t="n">
        <v>218</v>
      </c>
      <c r="H16" s="407" t="n">
        <v>829470</v>
      </c>
      <c r="I16" s="406" t="n">
        <v>182412</v>
      </c>
      <c r="J16" s="407" t="n">
        <v>756500</v>
      </c>
      <c r="K16" s="406" t="n">
        <v>160334</v>
      </c>
      <c r="L16" s="44" t="n">
        <v>5.25</v>
      </c>
      <c r="M16" s="44" t="n">
        <v>6.5</v>
      </c>
      <c r="N16" s="44" t="n">
        <v>5</v>
      </c>
      <c r="O16" s="44" t="s">
        <v>464</v>
      </c>
      <c r="P16" s="44" t="n">
        <v>2</v>
      </c>
      <c r="Q16" s="44" t="n">
        <v>3</v>
      </c>
      <c r="R16" s="44" t="n">
        <v>1</v>
      </c>
      <c r="S16" s="44" t="n">
        <v>1</v>
      </c>
      <c r="T16" s="44" t="n">
        <v>2</v>
      </c>
      <c r="U16" s="44">
        <f>SUM(P16:T16)</f>
        <v>9</v>
      </c>
      <c r="V16" s="44" t="s">
        <v>465</v>
      </c>
      <c r="W16" s="44" t="s">
        <v>466</v>
      </c>
    </row>
    <row r="17" spans="1:23">
      <c r="A17" s="44" t="s">
        <v>467</v>
      </c>
      <c r="B17" s="115" t="n">
        <v>42081</v>
      </c>
      <c r="C17" s="44" t="s">
        <v>468</v>
      </c>
      <c r="D17" s="44" t="s">
        <v>449</v>
      </c>
      <c r="E17" s="406" t="n">
        <v>65518666</v>
      </c>
      <c r="F17" s="406" t="n">
        <v>79171407</v>
      </c>
      <c r="G17" s="44" t="n">
        <v>144</v>
      </c>
      <c r="H17" s="407" t="n">
        <v>1116530</v>
      </c>
      <c r="I17" s="406" t="n">
        <v>355742</v>
      </c>
      <c r="J17" s="407" t="n">
        <v>1052690</v>
      </c>
      <c r="K17" s="406" t="n">
        <v>319518</v>
      </c>
      <c r="L17" s="44" t="n">
        <v>5.25</v>
      </c>
      <c r="M17" s="44" t="n">
        <v>6.25</v>
      </c>
      <c r="N17" s="44" t="n">
        <v>5.75</v>
      </c>
      <c r="O17" s="44" t="s">
        <v>469</v>
      </c>
      <c r="P17" s="44" t="n">
        <v>0</v>
      </c>
      <c r="Q17" s="44" t="n">
        <v>2</v>
      </c>
      <c r="R17" s="44" t="n">
        <v>0</v>
      </c>
      <c r="S17" s="44" t="n">
        <v>1</v>
      </c>
      <c r="T17" s="44" t="n">
        <v>1</v>
      </c>
      <c r="U17" s="44">
        <f>SUM(P17:T17)</f>
        <v>4</v>
      </c>
      <c r="V17" s="44" t="s">
        <v>470</v>
      </c>
      <c r="W17" s="44" t="s">
        <v>471</v>
      </c>
    </row>
    <row r="18" spans="1:23">
      <c r="A18" s="44" t="s">
        <v>472</v>
      </c>
      <c r="B18" s="115" t="n">
        <v>42987</v>
      </c>
      <c r="C18" s="44" t="s">
        <v>434</v>
      </c>
      <c r="D18" s="44" t="s">
        <v>473</v>
      </c>
      <c r="E18" s="406" t="n">
        <v>12127780</v>
      </c>
      <c r="F18" s="406" t="n">
        <v>10570244</v>
      </c>
      <c r="G18" s="44" t="n">
        <v>41</v>
      </c>
      <c r="H18" s="407" t="n">
        <v>485360</v>
      </c>
      <c r="I18" s="406" t="n">
        <v>114784</v>
      </c>
      <c r="J18" s="407" t="n">
        <v>416940</v>
      </c>
      <c r="K18" s="406" t="n">
        <v>101762</v>
      </c>
      <c r="L18" s="44" t="n">
        <v>6</v>
      </c>
      <c r="M18" s="44" t="n">
        <v>6.5</v>
      </c>
      <c r="N18" s="44" t="n">
        <v>3.5</v>
      </c>
      <c r="O18" s="44" t="s">
        <v>474</v>
      </c>
      <c r="P18" s="44" t="n">
        <v>4</v>
      </c>
      <c r="Q18" s="44" t="n">
        <v>0</v>
      </c>
      <c r="R18" s="44" t="n">
        <v>1</v>
      </c>
      <c r="S18" s="44" t="n">
        <v>0</v>
      </c>
      <c r="T18" s="44" t="n">
        <v>3</v>
      </c>
      <c r="U18" s="44">
        <f>SUM(P18:T18)</f>
        <v>8</v>
      </c>
      <c r="V18" s="44" t="s">
        <v>475</v>
      </c>
      <c r="W18" s="44" t="n">
        <v>343</v>
      </c>
    </row>
    <row r="19" spans="1:23">
      <c r="A19" s="44" t="s">
        <v>441</v>
      </c>
      <c r="B19" s="115" t="n">
        <v>40792</v>
      </c>
      <c r="C19" s="44" t="s">
        <v>434</v>
      </c>
      <c r="D19" s="44" t="s">
        <v>442</v>
      </c>
      <c r="E19" s="406" t="n">
        <v>276071009</v>
      </c>
      <c r="F19" s="406" t="n">
        <v>299255460</v>
      </c>
      <c r="G19" s="44" t="n">
        <v>893</v>
      </c>
      <c r="H19" s="407" t="n">
        <v>1389140</v>
      </c>
      <c r="I19" s="406" t="n">
        <v>226850</v>
      </c>
      <c r="J19" s="407" t="n">
        <v>1203640</v>
      </c>
      <c r="K19" s="406" t="n">
        <v>176410</v>
      </c>
      <c r="L19" s="44" t="n">
        <v>5.25</v>
      </c>
      <c r="M19" s="44" t="n">
        <v>6.25</v>
      </c>
      <c r="N19" s="44" t="n">
        <v>4.5</v>
      </c>
      <c r="O19" s="44" t="s">
        <v>443</v>
      </c>
      <c r="P19" s="44" t="n">
        <v>1</v>
      </c>
      <c r="Q19" s="44" t="n">
        <v>1</v>
      </c>
      <c r="R19" s="44" t="n">
        <v>3</v>
      </c>
      <c r="S19" s="44" t="n">
        <v>0</v>
      </c>
      <c r="T19" s="44" t="n">
        <v>6</v>
      </c>
      <c r="U19" s="44">
        <f>SUM(P19:T19)</f>
        <v>11</v>
      </c>
      <c r="V19" s="44" t="s">
        <v>444</v>
      </c>
      <c r="W19" s="44" t="s">
        <v>445</v>
      </c>
    </row>
  </sheetData>
  <conditionalFormatting sqref="U12:U1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:N19">
    <cfRule type="colorScale" priority="2">
      <colorScale>
        <cfvo type="min"/>
        <cfvo type="max"/>
        <color rgb="FFFCFCFF"/>
        <color rgb="FF63BE7B"/>
      </colorScale>
    </cfRule>
  </conditionalFormatting>
  <conditionalFormatting sqref="M12:M19">
    <cfRule type="colorScale" priority="3">
      <colorScale>
        <cfvo type="min"/>
        <cfvo type="max"/>
        <color rgb="FFFCFCFF"/>
        <color rgb="FFF8696B"/>
      </colorScale>
    </cfRule>
  </conditionalFormatting>
  <conditionalFormatting sqref="L12:L19">
    <cfRule type="colorScale" priority="4">
      <colorScale>
        <cfvo type="min"/>
        <cfvo type="max"/>
        <color rgb="FFFCFCFF"/>
        <color rgb="FFF8696B"/>
      </colorScale>
    </cfRule>
  </conditionalFormatting>
  <conditionalFormatting sqref="I12:I19 K12:K1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2:H19 J12:J1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2:F19">
    <cfRule type="colorScale" priority="7">
      <colorScale>
        <cfvo type="min"/>
        <cfvo type="max"/>
        <color rgb="FFFCFCFF"/>
        <color rgb="FFF8696B"/>
      </colorScale>
    </cfRule>
  </conditionalFormatting>
  <conditionalFormatting sqref="U2:U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9">
    <cfRule type="colorScale" priority="9">
      <colorScale>
        <cfvo type="min"/>
        <cfvo type="max"/>
        <color rgb="FFFCFCFF"/>
        <color rgb="FF63BE7B"/>
      </colorScale>
    </cfRule>
  </conditionalFormatting>
  <conditionalFormatting sqref="M2:M9">
    <cfRule type="colorScale" priority="10">
      <colorScale>
        <cfvo type="min"/>
        <cfvo type="max"/>
        <color rgb="FFFCFCFF"/>
        <color rgb="FFF8696B"/>
      </colorScale>
    </cfRule>
  </conditionalFormatting>
  <conditionalFormatting sqref="L2:L9">
    <cfRule type="colorScale" priority="11">
      <colorScale>
        <cfvo type="min"/>
        <cfvo type="max"/>
        <color rgb="FFFCFCFF"/>
        <color rgb="FFF8696B"/>
      </colorScale>
    </cfRule>
  </conditionalFormatting>
  <conditionalFormatting sqref="I2:I9 K2:K9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9 J2:J9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:F9">
    <cfRule type="colorScale" priority="14">
      <colorScale>
        <cfvo type="min"/>
        <cfvo type="max"/>
        <color rgb="FFFCFCFF"/>
        <color rgb="FFF8696B"/>
      </colorScale>
    </cfRule>
  </conditionalFormatting>
  <printOptions>
    <extLst>
      <ext uri="smNativeData">
        <pm:pageFlags xmlns:pm="smNativeData" id="1591683921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91683921" l="56" r="56" t="56" b="56" borderId="0" fillId="0" vertical="0"/>
        <pm:footer xmlns:pm="smNativeData" id="1591683921" l="56" r="56" t="56" b="56" borderId="0" fillId="0" vertical="2"/>
      </ext>
    </extLst>
  </headerFooter>
  <extLst>
    <ext uri="smNativeData">
      <pm:sheetPrefs xmlns:pm="smNativeData" day="1591683921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0000"/>
  </sheetPr>
  <dimension ref="A1:AS30"/>
  <sheetViews>
    <sheetView view="normal" workbookViewId="0">
      <selection activeCell="P12" sqref="P12"/>
    </sheetView>
  </sheetViews>
  <sheetFormatPr baseColWidth="10" defaultColWidth="11.428571" defaultRowHeight="15.40"/>
  <cols>
    <col min="1" max="1" width="5.142857" customWidth="1"/>
    <col min="2" max="2" width="6.142857" customWidth="1"/>
    <col min="3" max="3" width="8.000000" customWidth="1"/>
    <col min="4" max="4" width="13.571429" customWidth="1"/>
    <col min="5" max="5" width="4.571429" customWidth="1"/>
    <col min="6" max="6" width="5.000000" customWidth="1"/>
    <col min="7" max="11" width="5.571429" customWidth="1"/>
    <col min="12" max="12" width="4.571429" customWidth="1"/>
    <col min="13" max="13" width="5.571429" customWidth="1"/>
    <col min="14" max="14" width="7.285714" customWidth="1"/>
    <col min="15" max="15" width="5.571429" customWidth="1"/>
    <col min="16" max="16" width="6.294643" customWidth="1"/>
    <col min="17" max="17" width="5.285714" customWidth="1"/>
    <col min="18" max="18" width="5.571429" customWidth="1"/>
    <col min="19" max="19" width="5.428571" customWidth="1"/>
    <col min="20" max="21" width="5.714286" customWidth="1"/>
    <col min="22" max="22" width="9.142857" customWidth="1"/>
    <col min="23" max="23" width="7.285714" customWidth="1"/>
    <col min="24" max="24" width="5.142857" customWidth="1"/>
    <col min="25" max="25" width="4.571429" customWidth="1"/>
    <col min="26" max="26" width="5.714286" customWidth="1"/>
    <col min="27" max="33" width="4.571429" customWidth="1"/>
    <col min="34" max="34" width="7.285714" customWidth="1"/>
    <col min="35" max="35" width="5.571429" customWidth="1"/>
    <col min="36" max="36" width="5.714286" customWidth="1"/>
    <col min="37" max="37" width="5.285714" customWidth="1"/>
    <col min="38" max="38" width="5.571429" customWidth="1"/>
    <col min="39" max="39" width="5.428571" customWidth="1"/>
    <col min="40" max="41" width="5.714286" customWidth="1"/>
    <col min="42" max="42" width="9.142857" customWidth="1"/>
    <col min="43" max="43" width="5.142857" customWidth="1" style="56"/>
    <col min="44" max="45" width="6.142857" customWidth="1" style="56"/>
  </cols>
  <sheetData>
    <row r="1" spans="14:34">
      <c r="N1" s="79">
        <f>SUM(N3:N15)</f>
        <v>234748</v>
      </c>
      <c r="AH1" s="79">
        <f>SUM(AH3:AH15)</f>
        <v>192063.48000000001</v>
      </c>
    </row>
    <row r="2" spans="1:42">
      <c r="A2" s="98" t="s">
        <v>476</v>
      </c>
      <c r="B2" s="98" t="s">
        <v>116</v>
      </c>
      <c r="C2" s="98" t="s">
        <v>477</v>
      </c>
      <c r="D2" s="98" t="s">
        <v>118</v>
      </c>
      <c r="E2" s="98" t="s">
        <v>478</v>
      </c>
      <c r="F2" s="98" t="s">
        <v>479</v>
      </c>
      <c r="G2" s="98" t="s">
        <v>138</v>
      </c>
      <c r="H2" s="98" t="s">
        <v>139</v>
      </c>
      <c r="I2" s="98" t="s">
        <v>140</v>
      </c>
      <c r="J2" s="98" t="s">
        <v>141</v>
      </c>
      <c r="K2" s="98" t="s">
        <v>142</v>
      </c>
      <c r="L2" s="98" t="s">
        <v>143</v>
      </c>
      <c r="M2" s="98" t="s">
        <v>121</v>
      </c>
      <c r="N2" s="98" t="s">
        <v>480</v>
      </c>
      <c r="O2" s="98" t="s">
        <v>481</v>
      </c>
      <c r="P2" s="98" t="s">
        <v>482</v>
      </c>
      <c r="Q2" s="98" t="s">
        <v>483</v>
      </c>
      <c r="R2" s="98" t="s">
        <v>484</v>
      </c>
      <c r="S2" s="98" t="s">
        <v>485</v>
      </c>
      <c r="T2" s="98" t="s">
        <v>486</v>
      </c>
      <c r="U2" s="98" t="s">
        <v>487</v>
      </c>
      <c r="V2" s="98" t="s">
        <v>488</v>
      </c>
      <c r="X2" s="14" t="s">
        <v>476</v>
      </c>
      <c r="Y2" s="14" t="s">
        <v>478</v>
      </c>
      <c r="Z2" s="14" t="s">
        <v>479</v>
      </c>
      <c r="AA2" s="14" t="s">
        <v>138</v>
      </c>
      <c r="AB2" s="14" t="s">
        <v>139</v>
      </c>
      <c r="AC2" s="14" t="s">
        <v>140</v>
      </c>
      <c r="AD2" s="14" t="s">
        <v>141</v>
      </c>
      <c r="AE2" s="14" t="s">
        <v>142</v>
      </c>
      <c r="AF2" s="14" t="s">
        <v>143</v>
      </c>
      <c r="AG2" s="14" t="s">
        <v>121</v>
      </c>
      <c r="AH2" s="14" t="s">
        <v>480</v>
      </c>
      <c r="AI2" s="14" t="s">
        <v>481</v>
      </c>
      <c r="AJ2" s="14" t="s">
        <v>482</v>
      </c>
      <c r="AK2" s="14" t="s">
        <v>483</v>
      </c>
      <c r="AL2" s="14" t="s">
        <v>484</v>
      </c>
      <c r="AM2" s="14" t="s">
        <v>485</v>
      </c>
      <c r="AN2" s="14" t="s">
        <v>486</v>
      </c>
      <c r="AO2" s="14" t="s">
        <v>487</v>
      </c>
      <c r="AP2" s="14" t="s">
        <v>488</v>
      </c>
    </row>
    <row r="3" spans="1:42">
      <c r="A3" t="s">
        <v>160</v>
      </c>
      <c r="B3" s="19" t="s">
        <v>161</v>
      </c>
      <c r="C3" s="7"/>
      <c r="D3" s="7" t="s">
        <v>489</v>
      </c>
      <c r="E3" s="7">
        <f>Plantilla!E4</f>
        <v>25</v>
      </c>
      <c r="F3" s="21">
        <f>Plantilla!F4</f>
        <v>66</v>
      </c>
      <c r="G3" s="91">
        <f>Plantilla!X4</f>
        <v>15</v>
      </c>
      <c r="H3" s="91">
        <f>Plantilla!Y4</f>
        <v>12.1999999999999993</v>
      </c>
      <c r="I3" s="91">
        <f>Plantilla!Z4</f>
        <v>0</v>
      </c>
      <c r="J3" s="91">
        <f>Plantilla!AA4</f>
        <v>0</v>
      </c>
      <c r="K3" s="91">
        <f>Plantilla!AB4</f>
        <v>0</v>
      </c>
      <c r="L3" s="91">
        <f>Plantilla!AC4</f>
        <v>1</v>
      </c>
      <c r="M3" s="91">
        <f>Plantilla!AD4</f>
        <v>14</v>
      </c>
      <c r="N3" s="39">
        <f>Plantilla!V4</f>
        <v>30780</v>
      </c>
      <c r="O3" s="44" t="n">
        <v>51.5</v>
      </c>
      <c r="P3" s="44" t="n">
        <v>58</v>
      </c>
      <c r="Q3" s="44" t="n">
        <v>0</v>
      </c>
      <c r="R3" s="44" t="n">
        <v>0</v>
      </c>
      <c r="S3" s="44" t="n">
        <v>0</v>
      </c>
      <c r="T3" s="44" t="n">
        <v>0</v>
      </c>
      <c r="U3" s="44" t="n">
        <v>16</v>
      </c>
      <c r="V3" s="361">
        <f>SUM(O3:U3)</f>
        <v>125.5</v>
      </c>
      <c r="X3" t="s">
        <v>160</v>
      </c>
      <c r="Y3" s="7">
        <f>E3</f>
        <v>25</v>
      </c>
      <c r="Z3" s="7">
        <f>F3+(7*$AR$8)</f>
        <v>66</v>
      </c>
      <c r="AA3" s="57">
        <f>G3</f>
        <v>15</v>
      </c>
      <c r="AB3" s="57">
        <f>11+6/10</f>
        <v>11.5999999999999996</v>
      </c>
      <c r="AC3" s="57">
        <f>I3</f>
        <v>0</v>
      </c>
      <c r="AD3" s="57">
        <f>J3</f>
        <v>0</v>
      </c>
      <c r="AE3" s="57">
        <f>K3</f>
        <v>0</v>
      </c>
      <c r="AF3" s="57">
        <f>L3</f>
        <v>1</v>
      </c>
      <c r="AG3" s="57">
        <f>M3</f>
        <v>14</v>
      </c>
      <c r="AH3" s="39">
        <f>(24270+2300)*1.008</f>
        <v>26782.5600000000013</v>
      </c>
      <c r="AI3" s="44">
        <f>O3</f>
        <v>51.5</v>
      </c>
      <c r="AJ3" s="44">
        <f>P3+$AR$8</f>
        <v>58</v>
      </c>
      <c r="AK3" s="44">
        <f>Q3</f>
        <v>0</v>
      </c>
      <c r="AL3" s="44">
        <f>R3</f>
        <v>0</v>
      </c>
      <c r="AM3" s="44">
        <f>S3</f>
        <v>0</v>
      </c>
      <c r="AN3" s="44">
        <f>T3</f>
        <v>0</v>
      </c>
      <c r="AO3" s="44">
        <f>U3</f>
        <v>16</v>
      </c>
      <c r="AP3" s="361">
        <f>SUM(AI3:AO3)</f>
        <v>125.5</v>
      </c>
    </row>
    <row r="4" spans="1:42">
      <c r="A4" t="s">
        <v>163</v>
      </c>
      <c r="B4" s="19" t="s">
        <v>203</v>
      </c>
      <c r="C4" s="7"/>
      <c r="D4" s="7" t="s">
        <v>490</v>
      </c>
      <c r="E4" s="7">
        <f>Plantilla!E6</f>
        <v>25</v>
      </c>
      <c r="F4" s="21">
        <f>Plantilla!F6</f>
        <v>63</v>
      </c>
      <c r="G4" s="91">
        <f>Plantilla!X6</f>
        <v>0</v>
      </c>
      <c r="H4" s="91">
        <f>Plantilla!Y6</f>
        <v>15.4034722222222005</v>
      </c>
      <c r="I4" s="91">
        <f>Plantilla!Z6</f>
        <v>5</v>
      </c>
      <c r="J4" s="91">
        <f>Plantilla!AA6</f>
        <v>6</v>
      </c>
      <c r="K4" s="91">
        <f>Plantilla!AB6</f>
        <v>8</v>
      </c>
      <c r="L4" s="91">
        <f>Plantilla!AC6</f>
        <v>2</v>
      </c>
      <c r="M4" s="91">
        <f>Plantilla!AD6</f>
        <v>13</v>
      </c>
      <c r="N4" s="39">
        <f>Plantilla!V6</f>
        <v>32730</v>
      </c>
      <c r="O4" s="44" t="n">
        <v>0</v>
      </c>
      <c r="P4" s="44">
        <f>97+0.28*18/1</f>
        <v>102.040000000000006</v>
      </c>
      <c r="Q4" s="44" t="n">
        <v>9</v>
      </c>
      <c r="R4" s="44" t="n">
        <v>9</v>
      </c>
      <c r="S4" s="44" t="n">
        <v>18</v>
      </c>
      <c r="T4" s="44" t="n">
        <v>0</v>
      </c>
      <c r="U4" s="44" t="n">
        <v>14</v>
      </c>
      <c r="V4" s="361">
        <f>SUM(O4:U4)</f>
        <v>152.039999999999992</v>
      </c>
      <c r="X4" t="s">
        <v>163</v>
      </c>
      <c r="Y4" s="7">
        <f>E4</f>
        <v>25</v>
      </c>
      <c r="Z4" s="7">
        <f>F4+(7*$AR$8)</f>
        <v>63</v>
      </c>
      <c r="AA4" s="57">
        <f>G4</f>
        <v>0</v>
      </c>
      <c r="AB4" s="57">
        <f>15+3/18</f>
        <v>15.1666666666666998</v>
      </c>
      <c r="AC4" s="57">
        <f>I4</f>
        <v>5</v>
      </c>
      <c r="AD4" s="57">
        <f>5+2/10</f>
        <v>5.20000000000000018</v>
      </c>
      <c r="AE4" s="57">
        <f>K4</f>
        <v>8</v>
      </c>
      <c r="AF4" s="57">
        <f>L4</f>
        <v>2</v>
      </c>
      <c r="AG4" s="57">
        <f>M4</f>
        <v>13</v>
      </c>
      <c r="AH4" s="39">
        <f>(28000+135+130+135)*1.004</f>
        <v>28513.5999999999985</v>
      </c>
      <c r="AI4" s="44">
        <f>O4</f>
        <v>0</v>
      </c>
      <c r="AJ4" s="44">
        <f>P4+$AR$8</f>
        <v>102.040000000000006</v>
      </c>
      <c r="AK4" s="44">
        <f>Q4</f>
        <v>9</v>
      </c>
      <c r="AL4" s="44">
        <f>R4</f>
        <v>9</v>
      </c>
      <c r="AM4" s="44">
        <f>S4</f>
        <v>18</v>
      </c>
      <c r="AN4" s="44">
        <f>T4</f>
        <v>0</v>
      </c>
      <c r="AO4" s="44">
        <f>U4</f>
        <v>14</v>
      </c>
      <c r="AP4" s="361">
        <f>SUM(AI4:AO4)</f>
        <v>152.039999999999992</v>
      </c>
    </row>
    <row r="5" spans="1:42">
      <c r="A5" t="s">
        <v>173</v>
      </c>
      <c r="B5" s="19" t="s">
        <v>203</v>
      </c>
      <c r="C5" s="7"/>
      <c r="D5" s="7" t="s">
        <v>491</v>
      </c>
      <c r="E5" s="7">
        <f>Plantilla!E8</f>
        <v>25</v>
      </c>
      <c r="F5" s="21">
        <f>Plantilla!F8</f>
        <v>94</v>
      </c>
      <c r="G5" s="91">
        <f>Plantilla!X8</f>
        <v>0</v>
      </c>
      <c r="H5" s="91">
        <f>Plantilla!Y8</f>
        <v>14</v>
      </c>
      <c r="I5" s="91">
        <f>Plantilla!Z8</f>
        <v>3</v>
      </c>
      <c r="J5" s="91">
        <f>Plantilla!AA8</f>
        <v>7.8666666666666698</v>
      </c>
      <c r="K5" s="91">
        <f>Plantilla!AB8</f>
        <v>11.4285714285714004</v>
      </c>
      <c r="L5" s="91">
        <f>Plantilla!AC8</f>
        <v>3</v>
      </c>
      <c r="M5" s="91">
        <f>Plantilla!AD8</f>
        <v>13</v>
      </c>
      <c r="N5" s="39">
        <f>Plantilla!V8</f>
        <v>19850</v>
      </c>
      <c r="O5" s="44" t="n">
        <v>0</v>
      </c>
      <c r="P5" s="44" t="n">
        <v>79</v>
      </c>
      <c r="Q5" s="44" t="n">
        <v>3</v>
      </c>
      <c r="R5" s="44" t="n">
        <v>13.5</v>
      </c>
      <c r="S5" s="44" t="n">
        <v>39</v>
      </c>
      <c r="T5" s="44" t="n">
        <v>2</v>
      </c>
      <c r="U5" s="44" t="n">
        <v>14</v>
      </c>
      <c r="V5" s="361">
        <f>SUM(O5:U5)</f>
        <v>150.5</v>
      </c>
      <c r="X5" t="s">
        <v>173</v>
      </c>
      <c r="Y5" s="7">
        <f>E5</f>
        <v>25</v>
      </c>
      <c r="Z5" s="7">
        <f>F5+(7*$AR$8)</f>
        <v>94</v>
      </c>
      <c r="AA5" s="57">
        <f>G5</f>
        <v>0</v>
      </c>
      <c r="AB5" s="57">
        <f>13+5/12</f>
        <v>13.4166666666666998</v>
      </c>
      <c r="AC5" s="57">
        <f>I5</f>
        <v>3</v>
      </c>
      <c r="AD5" s="57">
        <f>7+1/12</f>
        <v>7.08333333333333037</v>
      </c>
      <c r="AE5" s="57">
        <f>K5</f>
        <v>11.4285714285714004</v>
      </c>
      <c r="AF5" s="57">
        <f>L5</f>
        <v>3</v>
      </c>
      <c r="AG5" s="57">
        <f>M5</f>
        <v>13</v>
      </c>
      <c r="AH5" s="39">
        <f>(195+13000+190)*1.008</f>
        <v>13492.0799999999999</v>
      </c>
      <c r="AI5" s="44">
        <f>O5</f>
        <v>0</v>
      </c>
      <c r="AJ5" s="44">
        <f>P5+$AR$8</f>
        <v>79</v>
      </c>
      <c r="AK5" s="44">
        <f>Q5</f>
        <v>3</v>
      </c>
      <c r="AL5" s="44">
        <f>R5</f>
        <v>13.5</v>
      </c>
      <c r="AM5" s="44">
        <f>S5</f>
        <v>39</v>
      </c>
      <c r="AN5" s="44">
        <f>T5</f>
        <v>2</v>
      </c>
      <c r="AO5" s="44">
        <f>U5</f>
        <v>14</v>
      </c>
      <c r="AP5" s="361">
        <f>SUM(AI5:AO5)</f>
        <v>150.5</v>
      </c>
    </row>
    <row r="6" spans="1:42">
      <c r="A6" t="s">
        <v>167</v>
      </c>
      <c r="B6" s="19" t="s">
        <v>203</v>
      </c>
      <c r="C6" s="7"/>
      <c r="D6" s="7" t="s">
        <v>492</v>
      </c>
      <c r="E6" s="7">
        <f>Plantilla!E7</f>
        <v>25</v>
      </c>
      <c r="F6" s="21">
        <f>Plantilla!F7</f>
        <v>44</v>
      </c>
      <c r="G6" s="91">
        <f>Plantilla!X7</f>
        <v>0</v>
      </c>
      <c r="H6" s="91">
        <f>Plantilla!Y7</f>
        <v>15.3125</v>
      </c>
      <c r="I6" s="91">
        <f>Plantilla!Z7</f>
        <v>5</v>
      </c>
      <c r="J6" s="91">
        <f>Plantilla!AA7</f>
        <v>7.75</v>
      </c>
      <c r="K6" s="91">
        <f>Plantilla!AB7</f>
        <v>8.5</v>
      </c>
      <c r="L6" s="91">
        <f>Plantilla!AC7</f>
        <v>1</v>
      </c>
      <c r="M6" s="91">
        <f>Plantilla!AD7</f>
        <v>12</v>
      </c>
      <c r="N6" s="39">
        <f>Plantilla!V7</f>
        <v>32810</v>
      </c>
      <c r="O6" s="44" t="n">
        <v>0</v>
      </c>
      <c r="P6" s="44">
        <f>95+0.31*18/1</f>
        <v>100.579999999999998</v>
      </c>
      <c r="Q6" s="44" t="n">
        <v>9</v>
      </c>
      <c r="R6" s="44" t="n">
        <v>13.5</v>
      </c>
      <c r="S6" s="44" t="n">
        <v>21</v>
      </c>
      <c r="T6" s="44" t="n">
        <v>0</v>
      </c>
      <c r="U6" s="44" t="n">
        <v>12</v>
      </c>
      <c r="V6" s="361">
        <f>SUM(O6:U6)</f>
        <v>156.080000000000013</v>
      </c>
      <c r="X6" t="s">
        <v>167</v>
      </c>
      <c r="Y6" s="7">
        <f>E6</f>
        <v>25</v>
      </c>
      <c r="Z6" s="7">
        <f>F6+(7*$AR$8)</f>
        <v>44</v>
      </c>
      <c r="AA6" s="57">
        <f>G6</f>
        <v>0</v>
      </c>
      <c r="AB6" s="57">
        <f>15+3/18</f>
        <v>15.1666666666666998</v>
      </c>
      <c r="AC6" s="57">
        <f>I6</f>
        <v>5</v>
      </c>
      <c r="AD6" s="57">
        <f>J6+(0.5*AR9)/4</f>
        <v>7.75</v>
      </c>
      <c r="AE6" s="57">
        <f>K6</f>
        <v>8.5</v>
      </c>
      <c r="AF6" s="57">
        <f>L6</f>
        <v>1</v>
      </c>
      <c r="AG6" s="57">
        <f>M6</f>
        <v>12</v>
      </c>
      <c r="AH6" s="39">
        <f>(28000+135+130+135)*1.004</f>
        <v>28513.5999999999985</v>
      </c>
      <c r="AI6" s="44">
        <f>O6</f>
        <v>0</v>
      </c>
      <c r="AJ6" s="44">
        <f>P6+$AR$8</f>
        <v>100.579999999999998</v>
      </c>
      <c r="AK6" s="44">
        <f>Q6</f>
        <v>9</v>
      </c>
      <c r="AL6" s="44">
        <f>R6</f>
        <v>13.5</v>
      </c>
      <c r="AM6" s="44">
        <f>S6</f>
        <v>21</v>
      </c>
      <c r="AN6" s="44">
        <f>T6</f>
        <v>0</v>
      </c>
      <c r="AO6" s="44">
        <f>U6</f>
        <v>12</v>
      </c>
      <c r="AP6" s="361">
        <f>SUM(AI6:AO6)</f>
        <v>156.080000000000013</v>
      </c>
    </row>
    <row r="7" spans="1:45">
      <c r="A7" t="s">
        <v>176</v>
      </c>
      <c r="B7" s="19" t="s">
        <v>203</v>
      </c>
      <c r="C7" s="7"/>
      <c r="D7" s="7" t="s">
        <v>493</v>
      </c>
      <c r="E7" s="7">
        <f>Plantilla!E9</f>
        <v>25</v>
      </c>
      <c r="F7" s="21">
        <f>Plantilla!F9</f>
        <v>79</v>
      </c>
      <c r="G7" s="91">
        <f>Plantilla!X9</f>
        <v>0</v>
      </c>
      <c r="H7" s="91">
        <f>Plantilla!Y9</f>
        <v>12.2727272727273</v>
      </c>
      <c r="I7" s="91">
        <f>Plantilla!Z9</f>
        <v>11</v>
      </c>
      <c r="J7" s="91">
        <f>Plantilla!AA9</f>
        <v>4</v>
      </c>
      <c r="K7" s="91">
        <f>Plantilla!AB9</f>
        <v>11</v>
      </c>
      <c r="L7" s="91">
        <f>Plantilla!AC9</f>
        <v>4</v>
      </c>
      <c r="M7" s="91">
        <f>Plantilla!AD9</f>
        <v>13</v>
      </c>
      <c r="N7" s="39">
        <f>Plantilla!V9</f>
        <v>11270</v>
      </c>
      <c r="O7" s="44" t="n">
        <v>0</v>
      </c>
      <c r="P7" s="44" t="n">
        <v>58</v>
      </c>
      <c r="Q7" s="44" t="n">
        <v>40</v>
      </c>
      <c r="R7" s="44" t="n">
        <v>3.5</v>
      </c>
      <c r="S7" s="44" t="n">
        <v>36</v>
      </c>
      <c r="T7" s="44" t="n">
        <v>5</v>
      </c>
      <c r="U7" s="44" t="n">
        <v>14</v>
      </c>
      <c r="V7" s="361">
        <f>SUM(O7:U7)</f>
        <v>156.5</v>
      </c>
      <c r="X7" t="s">
        <v>176</v>
      </c>
      <c r="Y7" s="7">
        <f>E7</f>
        <v>25</v>
      </c>
      <c r="Z7" s="7">
        <f>F7+(7*$AR$8)</f>
        <v>79</v>
      </c>
      <c r="AA7" s="57">
        <f>G7</f>
        <v>0</v>
      </c>
      <c r="AB7" s="57">
        <f>11+7/10</f>
        <v>11.6999999999999993</v>
      </c>
      <c r="AC7" s="57">
        <f>I7</f>
        <v>11</v>
      </c>
      <c r="AD7" s="57">
        <f>J7</f>
        <v>4</v>
      </c>
      <c r="AE7" s="57">
        <f>K7</f>
        <v>11</v>
      </c>
      <c r="AF7" s="57">
        <f>L7</f>
        <v>4</v>
      </c>
      <c r="AG7" s="57">
        <f>M7</f>
        <v>13</v>
      </c>
      <c r="AH7" s="39">
        <f>(6800+2505+145)*1.008</f>
        <v>9525.60000000000036</v>
      </c>
      <c r="AI7" s="44">
        <f>O7</f>
        <v>0</v>
      </c>
      <c r="AJ7" s="44">
        <f>P7+$AR$8</f>
        <v>58</v>
      </c>
      <c r="AK7" s="44">
        <f>Q7</f>
        <v>40</v>
      </c>
      <c r="AL7" s="44">
        <f>R7</f>
        <v>3.5</v>
      </c>
      <c r="AM7" s="44">
        <f>S7</f>
        <v>36</v>
      </c>
      <c r="AN7" s="44">
        <f>T7</f>
        <v>5</v>
      </c>
      <c r="AO7" s="44">
        <f>U7</f>
        <v>14</v>
      </c>
      <c r="AP7" s="361">
        <f>SUM(AI7:AO7)</f>
        <v>156.5</v>
      </c>
      <c r="AR7" s="92" t="s">
        <v>144</v>
      </c>
      <c r="AS7" s="92" t="s">
        <v>494</v>
      </c>
    </row>
    <row r="8" spans="1:45">
      <c r="A8" t="s">
        <v>180</v>
      </c>
      <c r="B8" s="19" t="s">
        <v>203</v>
      </c>
      <c r="C8" s="7"/>
      <c r="D8" s="7" t="s">
        <v>495</v>
      </c>
      <c r="E8" s="7">
        <f>Plantilla!E10</f>
        <v>26</v>
      </c>
      <c r="F8" s="21">
        <f>Plantilla!F10</f>
        <v>10</v>
      </c>
      <c r="G8" s="91">
        <f>Plantilla!X10</f>
        <v>0</v>
      </c>
      <c r="H8" s="91">
        <f>Plantilla!Y10</f>
        <v>14</v>
      </c>
      <c r="I8" s="91">
        <f>Plantilla!Z10</f>
        <v>5</v>
      </c>
      <c r="J8" s="91">
        <f>Plantilla!AA10</f>
        <v>2</v>
      </c>
      <c r="K8" s="91">
        <f>Plantilla!AB10</f>
        <v>12</v>
      </c>
      <c r="L8" s="91">
        <f>Plantilla!AC10</f>
        <v>6</v>
      </c>
      <c r="M8" s="91">
        <f>Plantilla!AD10</f>
        <v>11.5</v>
      </c>
      <c r="N8" s="39">
        <f>Plantilla!V10</f>
        <v>21410</v>
      </c>
      <c r="O8" s="44" t="n">
        <v>0</v>
      </c>
      <c r="P8" s="44" t="n">
        <v>79</v>
      </c>
      <c r="Q8" s="44" t="n">
        <v>9</v>
      </c>
      <c r="R8" s="44" t="n">
        <v>0</v>
      </c>
      <c r="S8" s="44" t="n">
        <v>43</v>
      </c>
      <c r="T8" s="44" t="n">
        <v>12</v>
      </c>
      <c r="U8" s="44" t="n">
        <v>11</v>
      </c>
      <c r="V8" s="361">
        <f>SUM(O8:U8)</f>
        <v>154</v>
      </c>
      <c r="X8" t="s">
        <v>180</v>
      </c>
      <c r="Y8" s="7">
        <f>E8+1</f>
        <v>27</v>
      </c>
      <c r="Z8" s="7">
        <f>F8+(7*$AR$8)-112</f>
        <v>-102</v>
      </c>
      <c r="AA8" s="57">
        <f>G8</f>
        <v>0</v>
      </c>
      <c r="AB8" s="57">
        <f>H8</f>
        <v>14</v>
      </c>
      <c r="AC8" s="57">
        <f>I8</f>
        <v>5</v>
      </c>
      <c r="AD8" s="57">
        <f>J8</f>
        <v>2</v>
      </c>
      <c r="AE8" s="57">
        <f>K8</f>
        <v>12</v>
      </c>
      <c r="AF8" s="57">
        <f>L8</f>
        <v>6</v>
      </c>
      <c r="AG8" s="57">
        <f>M8</f>
        <v>11.5</v>
      </c>
      <c r="AH8" s="39"/>
      <c r="AI8" s="44">
        <f>O8</f>
        <v>0</v>
      </c>
      <c r="AJ8" s="44">
        <f>P8+$AR$8</f>
        <v>79</v>
      </c>
      <c r="AK8" s="44">
        <f>Q8</f>
        <v>9</v>
      </c>
      <c r="AL8" s="44">
        <f>R8</f>
        <v>0</v>
      </c>
      <c r="AM8" s="44">
        <f>S8</f>
        <v>43</v>
      </c>
      <c r="AN8" s="44">
        <f>T8</f>
        <v>12</v>
      </c>
      <c r="AO8" s="44">
        <f>U8</f>
        <v>11</v>
      </c>
      <c r="AP8" s="361">
        <f>SUM(AI8:AO8)</f>
        <v>154</v>
      </c>
      <c r="AQ8" s="92" t="s">
        <v>203</v>
      </c>
      <c r="AR8" s="56" t="n">
        <v>0</v>
      </c>
      <c r="AS8" s="99">
        <f>AR8/16</f>
        <v>0</v>
      </c>
    </row>
    <row r="9" spans="1:45">
      <c r="A9" t="s">
        <v>169</v>
      </c>
      <c r="B9" s="19" t="s">
        <v>203</v>
      </c>
      <c r="C9" s="7" t="s">
        <v>172</v>
      </c>
      <c r="D9" s="7" t="s">
        <v>496</v>
      </c>
      <c r="E9" s="7">
        <f>Plantilla!E11</f>
        <v>25</v>
      </c>
      <c r="F9" s="21">
        <f>Plantilla!F11</f>
        <v>59</v>
      </c>
      <c r="G9" s="91">
        <f>Plantilla!X11</f>
        <v>0</v>
      </c>
      <c r="H9" s="91">
        <f>Plantilla!Y11</f>
        <v>13.25</v>
      </c>
      <c r="I9" s="91">
        <f>Plantilla!Z11</f>
        <v>4</v>
      </c>
      <c r="J9" s="91">
        <f>Plantilla!AA11</f>
        <v>13</v>
      </c>
      <c r="K9" s="91">
        <f>Plantilla!AB11</f>
        <v>7.75</v>
      </c>
      <c r="L9" s="91">
        <f>Plantilla!AC11</f>
        <v>7</v>
      </c>
      <c r="M9" s="91">
        <f>Plantilla!AD11</f>
        <v>13</v>
      </c>
      <c r="N9" s="39">
        <f>Plantilla!V11</f>
        <v>18190</v>
      </c>
      <c r="O9" s="44" t="n">
        <v>0</v>
      </c>
      <c r="P9" s="44" t="n">
        <v>70</v>
      </c>
      <c r="Q9" s="44" t="n">
        <v>6</v>
      </c>
      <c r="R9" s="44" t="n">
        <v>39.5</v>
      </c>
      <c r="S9" s="44" t="n">
        <v>17</v>
      </c>
      <c r="T9" s="44" t="n">
        <v>16</v>
      </c>
      <c r="U9" s="44" t="n">
        <v>14</v>
      </c>
      <c r="V9" s="361">
        <f>SUM(O9:U9)</f>
        <v>162.5</v>
      </c>
      <c r="X9" t="s">
        <v>169</v>
      </c>
      <c r="Y9" s="7">
        <f>E9</f>
        <v>25</v>
      </c>
      <c r="Z9" s="7">
        <f>F9+(7*$AR$8)</f>
        <v>59</v>
      </c>
      <c r="AA9" s="57">
        <f>G9</f>
        <v>0</v>
      </c>
      <c r="AB9" s="57">
        <f>12+10/11</f>
        <v>12.9090909090908994</v>
      </c>
      <c r="AC9" s="57">
        <f>I9</f>
        <v>4</v>
      </c>
      <c r="AD9" s="57" t="n">
        <v>12.5</v>
      </c>
      <c r="AE9" s="57">
        <f>K9</f>
        <v>7.75</v>
      </c>
      <c r="AF9" s="57">
        <f>L9</f>
        <v>7</v>
      </c>
      <c r="AG9" s="57">
        <f>M9</f>
        <v>13</v>
      </c>
      <c r="AH9" s="39">
        <f>(12930+2985+125+125+245)*1.012</f>
        <v>16606.9199999999983</v>
      </c>
      <c r="AI9" s="44">
        <f>O9</f>
        <v>0</v>
      </c>
      <c r="AJ9" s="44">
        <f>P9+$AR$8</f>
        <v>70</v>
      </c>
      <c r="AK9" s="44">
        <f>Q9</f>
        <v>6</v>
      </c>
      <c r="AL9" s="44">
        <f>R9</f>
        <v>39.5</v>
      </c>
      <c r="AM9" s="44">
        <f>S9</f>
        <v>17</v>
      </c>
      <c r="AN9" s="44">
        <f>T9</f>
        <v>16</v>
      </c>
      <c r="AO9" s="44">
        <f>U9</f>
        <v>14</v>
      </c>
      <c r="AP9" s="361">
        <f>SUM(AI9:AO9)</f>
        <v>162.5</v>
      </c>
      <c r="AR9" s="100"/>
      <c r="AS9" s="100"/>
    </row>
    <row r="10" spans="1:45">
      <c r="A10" t="s">
        <v>177</v>
      </c>
      <c r="B10" s="19" t="s">
        <v>203</v>
      </c>
      <c r="C10" s="7" t="s">
        <v>172</v>
      </c>
      <c r="D10" s="7" t="s">
        <v>497</v>
      </c>
      <c r="E10" s="7">
        <f>Plantilla!E13</f>
        <v>25</v>
      </c>
      <c r="F10" s="21">
        <f>Plantilla!F13</f>
        <v>59</v>
      </c>
      <c r="G10" s="91">
        <f>Plantilla!X13</f>
        <v>0</v>
      </c>
      <c r="H10" s="91">
        <f>Plantilla!Y13</f>
        <v>12.0999999999999996</v>
      </c>
      <c r="I10" s="91">
        <f>Plantilla!Z13</f>
        <v>3</v>
      </c>
      <c r="J10" s="91">
        <f>Plantilla!AA13</f>
        <v>12</v>
      </c>
      <c r="K10" s="91">
        <f>Plantilla!AB13</f>
        <v>9</v>
      </c>
      <c r="L10" s="91">
        <f>Plantilla!AC13</f>
        <v>7.25</v>
      </c>
      <c r="M10" s="91">
        <f>Plantilla!AD13</f>
        <v>14</v>
      </c>
      <c r="N10" s="39">
        <f>Plantilla!V13</f>
        <v>10830</v>
      </c>
      <c r="O10" s="44" t="n">
        <v>0</v>
      </c>
      <c r="P10" s="44" t="n">
        <v>57</v>
      </c>
      <c r="Q10" s="44" t="n">
        <v>3</v>
      </c>
      <c r="R10" s="44" t="n">
        <v>32.5</v>
      </c>
      <c r="S10" s="44" t="n">
        <v>23</v>
      </c>
      <c r="T10" s="44" t="n">
        <v>17</v>
      </c>
      <c r="U10" s="44" t="n">
        <v>16</v>
      </c>
      <c r="V10" s="361">
        <f>SUM(O10:U10)</f>
        <v>148.5</v>
      </c>
      <c r="X10" t="s">
        <v>177</v>
      </c>
      <c r="Y10" s="7">
        <f>E10</f>
        <v>25</v>
      </c>
      <c r="Z10" s="7">
        <f>F10+(7*$AR$8)</f>
        <v>59</v>
      </c>
      <c r="AA10" s="57">
        <f>G10</f>
        <v>0</v>
      </c>
      <c r="AB10" s="57" t="n">
        <v>12</v>
      </c>
      <c r="AC10" s="57">
        <f>I10</f>
        <v>3</v>
      </c>
      <c r="AD10" s="57" t="n">
        <v>11.9000000000000004</v>
      </c>
      <c r="AE10" s="57">
        <f>K10</f>
        <v>9</v>
      </c>
      <c r="AF10" s="57">
        <f>L10</f>
        <v>7.25</v>
      </c>
      <c r="AG10" s="57">
        <f>M10</f>
        <v>14</v>
      </c>
      <c r="AH10" s="39">
        <f>(12930+2985+125+125+245)*1.012</f>
        <v>16606.9199999999983</v>
      </c>
      <c r="AI10" s="44">
        <f>O10</f>
        <v>0</v>
      </c>
      <c r="AJ10" s="44">
        <f>P10+$AR$8</f>
        <v>57</v>
      </c>
      <c r="AK10" s="44">
        <f>Q10</f>
        <v>3</v>
      </c>
      <c r="AL10" s="44">
        <f>R10</f>
        <v>32.5</v>
      </c>
      <c r="AM10" s="44">
        <f>S10</f>
        <v>23</v>
      </c>
      <c r="AN10" s="44">
        <f>T10</f>
        <v>17</v>
      </c>
      <c r="AO10" s="44">
        <f>U10</f>
        <v>16</v>
      </c>
      <c r="AP10" s="361">
        <f>SUM(AI10:AO10)</f>
        <v>148.5</v>
      </c>
      <c r="AR10" s="100"/>
      <c r="AS10" s="100"/>
    </row>
    <row r="11" spans="1:42">
      <c r="A11" t="s">
        <v>170</v>
      </c>
      <c r="B11" s="19" t="s">
        <v>498</v>
      </c>
      <c r="C11" s="7" t="s">
        <v>175</v>
      </c>
      <c r="D11" s="7" t="s">
        <v>499</v>
      </c>
      <c r="E11" s="7">
        <f>Plantilla!E16</f>
        <v>25</v>
      </c>
      <c r="F11" s="21">
        <f>Plantilla!F16</f>
        <v>29</v>
      </c>
      <c r="G11" s="91">
        <f>Plantilla!X16</f>
        <v>0</v>
      </c>
      <c r="H11" s="91">
        <f>Plantilla!Y16</f>
        <v>12.3636363636364006</v>
      </c>
      <c r="I11" s="91">
        <f>Plantilla!Z16</f>
        <v>9</v>
      </c>
      <c r="J11" s="91">
        <f>Plantilla!AA16</f>
        <v>4</v>
      </c>
      <c r="K11" s="91">
        <f>Plantilla!AB16</f>
        <v>8.33333333333333037</v>
      </c>
      <c r="L11" s="91">
        <f>Plantilla!AC16</f>
        <v>4</v>
      </c>
      <c r="M11" s="91">
        <f>Plantilla!AD16</f>
        <v>19.5</v>
      </c>
      <c r="N11" s="39">
        <f>Plantilla!V16</f>
        <v>13548</v>
      </c>
      <c r="O11" s="44" t="n">
        <v>0</v>
      </c>
      <c r="P11" s="44" t="n">
        <v>59</v>
      </c>
      <c r="Q11" s="44" t="n">
        <v>26</v>
      </c>
      <c r="R11" s="44" t="n">
        <v>3.5</v>
      </c>
      <c r="S11" s="44" t="n">
        <v>20</v>
      </c>
      <c r="T11" s="44" t="n">
        <v>5</v>
      </c>
      <c r="U11" s="44" t="n">
        <v>35</v>
      </c>
      <c r="V11" s="361">
        <f>SUM(O11:U11)</f>
        <v>148.5</v>
      </c>
      <c r="X11" t="s">
        <v>170</v>
      </c>
      <c r="Y11" s="7">
        <f>E11</f>
        <v>25</v>
      </c>
      <c r="Z11" s="7">
        <f>F11+(7*$AR$8)</f>
        <v>29</v>
      </c>
      <c r="AA11" s="57">
        <f>G11</f>
        <v>0</v>
      </c>
      <c r="AB11" s="57">
        <f>H11+2/10</f>
        <v>12.5636363636363999</v>
      </c>
      <c r="AC11" s="57">
        <f>I11</f>
        <v>9</v>
      </c>
      <c r="AD11" s="57">
        <f>J11</f>
        <v>4</v>
      </c>
      <c r="AE11" s="57">
        <f>K11</f>
        <v>8.33333333333333037</v>
      </c>
      <c r="AF11" s="57">
        <f>L11</f>
        <v>4</v>
      </c>
      <c r="AG11" s="57">
        <f>M11</f>
        <v>19.5</v>
      </c>
      <c r="AH11" s="39">
        <f>N11</f>
        <v>13548</v>
      </c>
      <c r="AI11" s="44">
        <f>O11</f>
        <v>0</v>
      </c>
      <c r="AJ11" s="44">
        <f>P11+$AR$8</f>
        <v>59</v>
      </c>
      <c r="AK11" s="44">
        <f>Q11</f>
        <v>26</v>
      </c>
      <c r="AL11" s="44">
        <f>R11</f>
        <v>3.5</v>
      </c>
      <c r="AM11" s="44">
        <f>S11</f>
        <v>20</v>
      </c>
      <c r="AN11" s="44">
        <f>T11</f>
        <v>5</v>
      </c>
      <c r="AO11" s="44">
        <f>U11</f>
        <v>35</v>
      </c>
      <c r="AP11" s="361">
        <f>SUM(AI11:AO11)</f>
        <v>148.5</v>
      </c>
    </row>
    <row r="12" spans="1:42">
      <c r="A12" t="s">
        <v>500</v>
      </c>
      <c r="B12" s="19" t="s">
        <v>498</v>
      </c>
      <c r="C12" s="7"/>
      <c r="D12" s="7"/>
      <c r="E12" s="7"/>
      <c r="F12" s="7"/>
      <c r="G12" s="91" t="n">
        <v>0</v>
      </c>
      <c r="H12" s="65" t="n">
        <v>2</v>
      </c>
      <c r="I12" s="91" t="n">
        <v>2</v>
      </c>
      <c r="J12" s="65" t="n">
        <v>2</v>
      </c>
      <c r="K12" s="91" t="n">
        <v>2</v>
      </c>
      <c r="L12" s="65" t="n">
        <v>2</v>
      </c>
      <c r="M12" s="91" t="n">
        <v>2</v>
      </c>
      <c r="N12" s="39"/>
      <c r="O12" s="44" t="n">
        <v>0</v>
      </c>
      <c r="P12" s="44" t="n">
        <v>0</v>
      </c>
      <c r="Q12" s="44" t="n">
        <v>0</v>
      </c>
      <c r="R12" s="44" t="n">
        <v>0</v>
      </c>
      <c r="S12" s="44" t="n">
        <v>0</v>
      </c>
      <c r="T12" s="44" t="n">
        <v>0</v>
      </c>
      <c r="U12" s="44" t="n">
        <v>0</v>
      </c>
      <c r="V12" s="361">
        <f>SUM(O12:U12)</f>
        <v>0</v>
      </c>
      <c r="X12" t="s">
        <v>500</v>
      </c>
      <c r="Y12" s="7"/>
      <c r="Z12" s="7"/>
      <c r="AA12" s="57">
        <f>G12</f>
        <v>0</v>
      </c>
      <c r="AB12" s="57">
        <f>H12</f>
        <v>2</v>
      </c>
      <c r="AC12" s="57">
        <f>I12</f>
        <v>2</v>
      </c>
      <c r="AD12" s="57">
        <f>J12</f>
        <v>2</v>
      </c>
      <c r="AE12" s="57">
        <f>K12</f>
        <v>2</v>
      </c>
      <c r="AF12" s="57">
        <f>L12</f>
        <v>2</v>
      </c>
      <c r="AG12" s="57">
        <f>M12</f>
        <v>2</v>
      </c>
      <c r="AH12" s="39"/>
      <c r="AI12" s="44">
        <f>O12</f>
        <v>0</v>
      </c>
      <c r="AJ12" s="44" t="n">
        <v>0</v>
      </c>
      <c r="AK12" s="44">
        <f>Q12</f>
        <v>0</v>
      </c>
      <c r="AL12" s="44">
        <f>R12</f>
        <v>0</v>
      </c>
      <c r="AM12" s="44">
        <f>S12</f>
        <v>0</v>
      </c>
      <c r="AN12" s="44">
        <f>T12</f>
        <v>0</v>
      </c>
      <c r="AO12" s="44">
        <f>U12</f>
        <v>0</v>
      </c>
      <c r="AP12" s="361">
        <f>SUM(AI12:AO12)</f>
        <v>0</v>
      </c>
    </row>
    <row r="13" spans="1:42">
      <c r="A13" t="s">
        <v>178</v>
      </c>
      <c r="B13" s="19" t="s">
        <v>501</v>
      </c>
      <c r="C13" s="7" t="s">
        <v>175</v>
      </c>
      <c r="D13" s="7" t="s">
        <v>502</v>
      </c>
      <c r="E13" s="7">
        <f>Plantilla!E14</f>
        <v>25</v>
      </c>
      <c r="F13" s="21">
        <f>Plantilla!F14</f>
        <v>55</v>
      </c>
      <c r="G13" s="91">
        <f>Plantilla!X14</f>
        <v>0</v>
      </c>
      <c r="H13" s="91">
        <f>Plantilla!Y14</f>
        <v>11.3333333333333002</v>
      </c>
      <c r="I13" s="91">
        <f>Plantilla!Z14</f>
        <v>5.70000000000000018</v>
      </c>
      <c r="J13" s="91">
        <f>Plantilla!AA14</f>
        <v>14.125</v>
      </c>
      <c r="K13" s="91">
        <f>Plantilla!AB14</f>
        <v>9.5</v>
      </c>
      <c r="L13" s="91">
        <f>Plantilla!AC14</f>
        <v>7.5</v>
      </c>
      <c r="M13" s="91">
        <f>Plantilla!AD14</f>
        <v>14</v>
      </c>
      <c r="N13" s="39">
        <f>Plantilla!V14</f>
        <v>16030</v>
      </c>
      <c r="O13" s="44" t="n">
        <v>0</v>
      </c>
      <c r="P13" s="44" t="n">
        <v>49</v>
      </c>
      <c r="Q13" s="44" t="n">
        <v>10.5</v>
      </c>
      <c r="R13" s="44" t="n">
        <v>47.5</v>
      </c>
      <c r="S13" s="44" t="n">
        <v>26</v>
      </c>
      <c r="T13" s="44" t="n">
        <v>18</v>
      </c>
      <c r="U13" s="44" t="n">
        <v>16</v>
      </c>
      <c r="V13" s="361">
        <f>SUM(O13:U13)</f>
        <v>167</v>
      </c>
      <c r="X13" t="s">
        <v>178</v>
      </c>
      <c r="Y13" s="7">
        <f>E13</f>
        <v>25</v>
      </c>
      <c r="Z13" s="7">
        <f>F13+(7*$AR$8)</f>
        <v>55</v>
      </c>
      <c r="AA13" s="57">
        <f>G13</f>
        <v>0</v>
      </c>
      <c r="AB13" s="57">
        <f>10+6/9</f>
        <v>10.6666666666666998</v>
      </c>
      <c r="AC13" s="57">
        <f>I13</f>
        <v>5.70000000000000018</v>
      </c>
      <c r="AD13" s="57" t="n">
        <v>14</v>
      </c>
      <c r="AE13" s="57">
        <f>K13</f>
        <v>9.5</v>
      </c>
      <c r="AF13" s="57">
        <f>L13</f>
        <v>7.5</v>
      </c>
      <c r="AG13" s="57">
        <f>M13</f>
        <v>14</v>
      </c>
      <c r="AH13" s="39">
        <f>(11610+300+145+150+1200)*1.016</f>
        <v>13619.4799999999996</v>
      </c>
      <c r="AI13" s="44">
        <f>O13</f>
        <v>0</v>
      </c>
      <c r="AJ13" s="44">
        <f>P13+$AR$8</f>
        <v>49</v>
      </c>
      <c r="AK13" s="44">
        <f>Q13</f>
        <v>10.5</v>
      </c>
      <c r="AL13" s="44">
        <f>R13</f>
        <v>47.5</v>
      </c>
      <c r="AM13" s="44">
        <f>S13</f>
        <v>26</v>
      </c>
      <c r="AN13" s="44">
        <f>T13</f>
        <v>18</v>
      </c>
      <c r="AO13" s="44">
        <f>U13</f>
        <v>16</v>
      </c>
      <c r="AP13" s="361">
        <f>SUM(AI13:AO13)</f>
        <v>167</v>
      </c>
    </row>
    <row r="14" spans="1:42">
      <c r="A14" t="s">
        <v>503</v>
      </c>
      <c r="B14" s="19" t="s">
        <v>501</v>
      </c>
      <c r="C14" s="7" t="s">
        <v>175</v>
      </c>
      <c r="D14" s="7" t="s">
        <v>504</v>
      </c>
      <c r="E14" s="7">
        <f>Plantilla!E12</f>
        <v>25</v>
      </c>
      <c r="F14" s="21">
        <f>Plantilla!F12</f>
        <v>20</v>
      </c>
      <c r="G14" s="91">
        <f>Plantilla!X12</f>
        <v>0</v>
      </c>
      <c r="H14" s="91">
        <f>Plantilla!Y12</f>
        <v>12.5999999999999996</v>
      </c>
      <c r="I14" s="91">
        <f>Plantilla!Z12</f>
        <v>3</v>
      </c>
      <c r="J14" s="91">
        <f>Plantilla!AA12</f>
        <v>13</v>
      </c>
      <c r="K14" s="91">
        <f>Plantilla!AB12</f>
        <v>9.66666666666666963</v>
      </c>
      <c r="L14" s="91">
        <f>Plantilla!AC12</f>
        <v>7</v>
      </c>
      <c r="M14" s="91">
        <f>Plantilla!AD12</f>
        <v>14</v>
      </c>
      <c r="N14" s="39">
        <f>Plantilla!V12</f>
        <v>15490</v>
      </c>
      <c r="O14" s="44" t="n">
        <v>0</v>
      </c>
      <c r="P14" s="44" t="n">
        <v>62</v>
      </c>
      <c r="Q14" s="44" t="n">
        <v>3</v>
      </c>
      <c r="R14" s="44" t="n">
        <v>39.5</v>
      </c>
      <c r="S14" s="44" t="n">
        <v>27</v>
      </c>
      <c r="T14" s="44" t="n">
        <v>16</v>
      </c>
      <c r="U14" s="44" t="n">
        <v>16</v>
      </c>
      <c r="V14" s="361">
        <f>SUM(O14:U14)</f>
        <v>163.5</v>
      </c>
      <c r="X14" t="s">
        <v>503</v>
      </c>
      <c r="Y14" s="7">
        <f>E14+1</f>
        <v>26</v>
      </c>
      <c r="Z14" s="7">
        <f>F14+(7*$AR$8)-112</f>
        <v>-92</v>
      </c>
      <c r="AA14" s="57">
        <f>G14</f>
        <v>0</v>
      </c>
      <c r="AB14" s="57">
        <f>12+2/11</f>
        <v>12.1818181818181994</v>
      </c>
      <c r="AC14" s="57">
        <f>I14</f>
        <v>3</v>
      </c>
      <c r="AD14" s="57">
        <f>12+5/6</f>
        <v>12.8333333333333002</v>
      </c>
      <c r="AE14" s="57">
        <f>K14</f>
        <v>9.66666666666666963</v>
      </c>
      <c r="AF14" s="57">
        <f>L14</f>
        <v>7</v>
      </c>
      <c r="AG14" s="57">
        <f>M14</f>
        <v>14</v>
      </c>
      <c r="AH14" s="39">
        <f>(7000+165+125+245+3505)*1.012</f>
        <v>11172.4799999999996</v>
      </c>
      <c r="AI14" s="44">
        <f>O14</f>
        <v>0</v>
      </c>
      <c r="AJ14" s="44">
        <f>P14+$AR$8</f>
        <v>62</v>
      </c>
      <c r="AK14" s="44">
        <f>Q14</f>
        <v>3</v>
      </c>
      <c r="AL14" s="44">
        <f>R14</f>
        <v>39.5</v>
      </c>
      <c r="AM14" s="44">
        <f>S14</f>
        <v>27</v>
      </c>
      <c r="AN14" s="44">
        <f>T14</f>
        <v>16</v>
      </c>
      <c r="AO14" s="44">
        <f>U14</f>
        <v>16</v>
      </c>
      <c r="AP14" s="361">
        <f>SUM(AI14:AO14)</f>
        <v>163.5</v>
      </c>
    </row>
    <row r="15" spans="1:42">
      <c r="A15" t="s">
        <v>166</v>
      </c>
      <c r="B15" s="19" t="s">
        <v>501</v>
      </c>
      <c r="C15" s="7" t="s">
        <v>172</v>
      </c>
      <c r="D15" s="7" t="s">
        <v>505</v>
      </c>
      <c r="E15" s="7">
        <f>Plantilla!E15</f>
        <v>25</v>
      </c>
      <c r="F15" s="21">
        <f>Plantilla!F15</f>
        <v>55</v>
      </c>
      <c r="G15" s="91">
        <f>Plantilla!X15</f>
        <v>0</v>
      </c>
      <c r="H15" s="91">
        <f>Plantilla!Y15</f>
        <v>11.5999999999999996</v>
      </c>
      <c r="I15" s="91">
        <f>Plantilla!Z15</f>
        <v>5</v>
      </c>
      <c r="J15" s="91">
        <f>Plantilla!AA15</f>
        <v>13.3328571428570992</v>
      </c>
      <c r="K15" s="91">
        <f>Plantilla!AB15</f>
        <v>8</v>
      </c>
      <c r="L15" s="91">
        <f>Plantilla!AC15</f>
        <v>7.8016666666666703</v>
      </c>
      <c r="M15" s="91">
        <f>Plantilla!AD15</f>
        <v>13</v>
      </c>
      <c r="N15" s="39">
        <f>Plantilla!V15</f>
        <v>11810</v>
      </c>
      <c r="O15" s="44" t="n">
        <v>0</v>
      </c>
      <c r="P15" s="44" t="n">
        <v>51</v>
      </c>
      <c r="Q15" s="44" t="n">
        <v>9</v>
      </c>
      <c r="R15" s="44" t="n">
        <v>41</v>
      </c>
      <c r="S15" s="44" t="n">
        <v>18</v>
      </c>
      <c r="T15" s="44" t="n">
        <v>19</v>
      </c>
      <c r="U15" s="44" t="n">
        <v>14</v>
      </c>
      <c r="V15" s="361">
        <f>SUM(O15:U15)</f>
        <v>152</v>
      </c>
      <c r="X15" t="s">
        <v>166</v>
      </c>
      <c r="Y15" s="7">
        <f>E15</f>
        <v>25</v>
      </c>
      <c r="Z15" s="7">
        <f>F15+(7*$AR$8)</f>
        <v>55</v>
      </c>
      <c r="AA15" s="57">
        <f>G15</f>
        <v>0</v>
      </c>
      <c r="AB15" s="57">
        <f>11+1/10</f>
        <v>11.0999999999999996</v>
      </c>
      <c r="AC15" s="57">
        <f>I15</f>
        <v>5</v>
      </c>
      <c r="AD15" s="57">
        <f>13+2/6</f>
        <v>13.3333333333333002</v>
      </c>
      <c r="AE15" s="57">
        <f>K15</f>
        <v>8</v>
      </c>
      <c r="AF15" s="57">
        <f>L15</f>
        <v>7.8016666666666703</v>
      </c>
      <c r="AG15" s="57">
        <f>M15</f>
        <v>13</v>
      </c>
      <c r="AH15" s="39">
        <f>(9000+135+135+350+3900)*1.012</f>
        <v>13682.2399999999998</v>
      </c>
      <c r="AI15" s="44">
        <f>O15</f>
        <v>0</v>
      </c>
      <c r="AJ15" s="44">
        <f>P15+$AR$8</f>
        <v>51</v>
      </c>
      <c r="AK15" s="44">
        <f>Q15</f>
        <v>9</v>
      </c>
      <c r="AL15" s="44">
        <f>R15</f>
        <v>41</v>
      </c>
      <c r="AM15" s="44">
        <f>S15</f>
        <v>18</v>
      </c>
      <c r="AN15" s="44">
        <f>T15</f>
        <v>19</v>
      </c>
      <c r="AO15" s="44">
        <f>U15</f>
        <v>14</v>
      </c>
      <c r="AP15" s="361">
        <f>SUM(AI15:AO15)</f>
        <v>152</v>
      </c>
    </row>
    <row r="16" spans="14:34">
      <c r="N16" s="79">
        <f>SUM(N18:N30)</f>
        <v>207709.179999999993</v>
      </c>
      <c r="AH16" s="79">
        <f>SUM(AH18:AH30)</f>
        <v>236304.654999999999</v>
      </c>
    </row>
    <row r="17" spans="1:42">
      <c r="A17" s="14" t="s">
        <v>476</v>
      </c>
      <c r="B17" s="14" t="s">
        <v>116</v>
      </c>
      <c r="C17" s="14" t="s">
        <v>477</v>
      </c>
      <c r="D17" s="14" t="str">
        <f>D2</f>
        <v>Nombre</v>
      </c>
      <c r="E17" s="14" t="str">
        <f>E2</f>
        <v>Año</v>
      </c>
      <c r="F17" s="14" t="str">
        <f>F2</f>
        <v>Dia</v>
      </c>
      <c r="G17" s="14" t="s">
        <v>138</v>
      </c>
      <c r="H17" s="14" t="s">
        <v>139</v>
      </c>
      <c r="I17" s="14" t="s">
        <v>140</v>
      </c>
      <c r="J17" s="14" t="s">
        <v>141</v>
      </c>
      <c r="K17" s="14" t="s">
        <v>142</v>
      </c>
      <c r="L17" s="14" t="s">
        <v>143</v>
      </c>
      <c r="M17" s="14" t="s">
        <v>121</v>
      </c>
      <c r="N17" s="14" t="s">
        <v>480</v>
      </c>
      <c r="O17" s="14" t="s">
        <v>481</v>
      </c>
      <c r="P17" s="14" t="s">
        <v>482</v>
      </c>
      <c r="Q17" s="14" t="s">
        <v>483</v>
      </c>
      <c r="R17" s="14" t="s">
        <v>484</v>
      </c>
      <c r="S17" s="14" t="s">
        <v>485</v>
      </c>
      <c r="T17" s="14" t="s">
        <v>486</v>
      </c>
      <c r="U17" s="14" t="s">
        <v>487</v>
      </c>
      <c r="V17" s="14" t="s">
        <v>488</v>
      </c>
      <c r="X17" s="14" t="s">
        <v>476</v>
      </c>
      <c r="Y17" s="14" t="str">
        <f>Y2</f>
        <v>Año</v>
      </c>
      <c r="Z17" s="14" t="str">
        <f>Z2</f>
        <v>Dia</v>
      </c>
      <c r="AA17" s="14" t="s">
        <v>138</v>
      </c>
      <c r="AB17" s="14" t="s">
        <v>139</v>
      </c>
      <c r="AC17" s="14" t="s">
        <v>140</v>
      </c>
      <c r="AD17" s="14" t="s">
        <v>141</v>
      </c>
      <c r="AE17" s="14" t="s">
        <v>142</v>
      </c>
      <c r="AF17" s="14" t="s">
        <v>143</v>
      </c>
      <c r="AG17" s="14" t="s">
        <v>121</v>
      </c>
      <c r="AH17" s="14" t="s">
        <v>480</v>
      </c>
      <c r="AI17" s="14" t="s">
        <v>481</v>
      </c>
      <c r="AJ17" s="14" t="s">
        <v>482</v>
      </c>
      <c r="AK17" s="14" t="s">
        <v>483</v>
      </c>
      <c r="AL17" s="14" t="s">
        <v>484</v>
      </c>
      <c r="AM17" s="14" t="s">
        <v>485</v>
      </c>
      <c r="AN17" s="14" t="s">
        <v>486</v>
      </c>
      <c r="AO17" s="14" t="s">
        <v>487</v>
      </c>
      <c r="AP17" s="14" t="s">
        <v>488</v>
      </c>
    </row>
    <row r="18" spans="1:42">
      <c r="A18" t="s">
        <v>160</v>
      </c>
      <c r="B18" s="19" t="s">
        <v>161</v>
      </c>
      <c r="C18" s="7"/>
      <c r="D18" s="7" t="str">
        <f>D3</f>
        <v>C. Fonteboa</v>
      </c>
      <c r="E18" s="7">
        <f>Y3</f>
        <v>25</v>
      </c>
      <c r="F18" s="7">
        <f>Z3</f>
        <v>66</v>
      </c>
      <c r="G18" s="57">
        <f>AA3</f>
        <v>15</v>
      </c>
      <c r="H18" s="57">
        <f>AB3</f>
        <v>11.5999999999999996</v>
      </c>
      <c r="I18" s="57">
        <f>AC3</f>
        <v>0</v>
      </c>
      <c r="J18" s="57">
        <f>AD3</f>
        <v>0</v>
      </c>
      <c r="K18" s="57">
        <f>AE3</f>
        <v>0</v>
      </c>
      <c r="L18" s="57">
        <f>AF3</f>
        <v>1</v>
      </c>
      <c r="M18" s="57">
        <f>AG3</f>
        <v>14</v>
      </c>
      <c r="N18" s="39">
        <f>AH3</f>
        <v>26782.5600000000013</v>
      </c>
      <c r="O18" s="44">
        <f>AI3</f>
        <v>51.5</v>
      </c>
      <c r="P18" s="44">
        <f>AJ3</f>
        <v>58</v>
      </c>
      <c r="Q18" s="44">
        <f>AK3</f>
        <v>0</v>
      </c>
      <c r="R18" s="44">
        <f>AL3</f>
        <v>0</v>
      </c>
      <c r="S18" s="44">
        <f>AM3</f>
        <v>0</v>
      </c>
      <c r="T18" s="44">
        <f>AN3</f>
        <v>0</v>
      </c>
      <c r="U18" s="44">
        <f>AO3</f>
        <v>16</v>
      </c>
      <c r="V18" s="361">
        <f>SUM(O18:U18)</f>
        <v>125.5</v>
      </c>
      <c r="X18" t="s">
        <v>160</v>
      </c>
      <c r="Y18" s="7">
        <f>E18+2</f>
        <v>27</v>
      </c>
      <c r="Z18" s="7">
        <f>F18+(($AR$22+$AR$23)*7)-112-112</f>
        <v>45</v>
      </c>
      <c r="AA18" s="57">
        <f>G18</f>
        <v>15</v>
      </c>
      <c r="AB18" s="57">
        <f>H18</f>
        <v>11.5999999999999996</v>
      </c>
      <c r="AC18" s="57">
        <f>I18</f>
        <v>0</v>
      </c>
      <c r="AD18" s="57">
        <f>J18</f>
        <v>0</v>
      </c>
      <c r="AE18" s="57">
        <f>K18</f>
        <v>0</v>
      </c>
      <c r="AF18" s="57">
        <f>L18</f>
        <v>1</v>
      </c>
      <c r="AG18" s="57" t="n">
        <v>13.5</v>
      </c>
      <c r="AH18" s="39">
        <f>(24270+2300)*1.038</f>
        <v>27579.6599999999999</v>
      </c>
      <c r="AI18" s="44">
        <f>O18</f>
        <v>51.5</v>
      </c>
      <c r="AJ18" s="44">
        <f>P18</f>
        <v>58</v>
      </c>
      <c r="AK18" s="44">
        <f>Q18</f>
        <v>0</v>
      </c>
      <c r="AL18" s="44">
        <f>R18</f>
        <v>0</v>
      </c>
      <c r="AM18" s="44">
        <f>S18</f>
        <v>0</v>
      </c>
      <c r="AN18" s="44">
        <f>T18</f>
        <v>0</v>
      </c>
      <c r="AO18" s="44">
        <f>U18+$AR$23</f>
        <v>31</v>
      </c>
      <c r="AP18" s="361">
        <f>SUM(AI18:AO18)</f>
        <v>140.5</v>
      </c>
    </row>
    <row r="19" spans="1:42">
      <c r="A19" t="s">
        <v>163</v>
      </c>
      <c r="B19" s="19" t="s">
        <v>203</v>
      </c>
      <c r="C19" s="7"/>
      <c r="D19" s="7" t="str">
        <f>D4</f>
        <v>M. Fernandez</v>
      </c>
      <c r="E19" s="7">
        <f>Y4</f>
        <v>25</v>
      </c>
      <c r="F19" s="7">
        <f>Z4</f>
        <v>63</v>
      </c>
      <c r="G19" s="57">
        <f>AA4</f>
        <v>0</v>
      </c>
      <c r="H19" s="57">
        <f>AB4</f>
        <v>15.1666666666666998</v>
      </c>
      <c r="I19" s="57">
        <f>AC4</f>
        <v>5</v>
      </c>
      <c r="J19" s="57">
        <f>AD4</f>
        <v>5.20000000000000018</v>
      </c>
      <c r="K19" s="57">
        <f>AE4</f>
        <v>8</v>
      </c>
      <c r="L19" s="57">
        <f>AF4</f>
        <v>2</v>
      </c>
      <c r="M19" s="57">
        <f>AG4</f>
        <v>13</v>
      </c>
      <c r="N19" s="39">
        <f>AH4</f>
        <v>28513.5999999999985</v>
      </c>
      <c r="O19" s="44">
        <f>AI4</f>
        <v>0</v>
      </c>
      <c r="P19" s="44">
        <f>AJ4</f>
        <v>102.040000000000006</v>
      </c>
      <c r="Q19" s="44">
        <f>AK4</f>
        <v>9</v>
      </c>
      <c r="R19" s="44">
        <f>AL4</f>
        <v>9</v>
      </c>
      <c r="S19" s="44">
        <f>AM4</f>
        <v>18</v>
      </c>
      <c r="T19" s="44">
        <f>AN4</f>
        <v>0</v>
      </c>
      <c r="U19" s="44">
        <f>AO4</f>
        <v>14</v>
      </c>
      <c r="V19" s="361">
        <f>SUM(O19:U19)</f>
        <v>152.039999999999992</v>
      </c>
      <c r="X19" t="s">
        <v>163</v>
      </c>
      <c r="Y19" s="7">
        <f>E19+2</f>
        <v>27</v>
      </c>
      <c r="Z19" s="7">
        <f>F19+(($AR$22+$AR$23)*7)-112-112</f>
        <v>42</v>
      </c>
      <c r="AA19" s="57">
        <f>G19</f>
        <v>0</v>
      </c>
      <c r="AB19" s="57">
        <f>H19</f>
        <v>15.1666666666666998</v>
      </c>
      <c r="AC19" s="57">
        <f>I19</f>
        <v>5</v>
      </c>
      <c r="AD19" s="57">
        <f>J19</f>
        <v>5.20000000000000018</v>
      </c>
      <c r="AE19" s="57">
        <f>8+3/5</f>
        <v>8.59999999999999964</v>
      </c>
      <c r="AF19" s="57">
        <f>L19</f>
        <v>2</v>
      </c>
      <c r="AG19" s="57" t="n">
        <v>13.5</v>
      </c>
      <c r="AH19" s="39">
        <f>(28000+135+140+135)*1.038</f>
        <v>29489.5800000000017</v>
      </c>
      <c r="AI19" s="44">
        <f>O19</f>
        <v>0</v>
      </c>
      <c r="AJ19" s="44">
        <f>P19</f>
        <v>102.040000000000006</v>
      </c>
      <c r="AK19" s="44">
        <f>Q19</f>
        <v>9</v>
      </c>
      <c r="AL19" s="44">
        <f>R19</f>
        <v>9</v>
      </c>
      <c r="AM19" s="44">
        <f>S19+$AR$22</f>
        <v>32</v>
      </c>
      <c r="AN19" s="44">
        <f>T19</f>
        <v>0</v>
      </c>
      <c r="AO19" s="44">
        <f>U19+$AR$23</f>
        <v>29</v>
      </c>
      <c r="AP19" s="361">
        <f>SUM(AI19:AO19)</f>
        <v>181.039999999999992</v>
      </c>
    </row>
    <row r="20" spans="1:43">
      <c r="A20" t="s">
        <v>173</v>
      </c>
      <c r="B20" s="19" t="s">
        <v>203</v>
      </c>
      <c r="C20" s="7"/>
      <c r="D20" s="7" t="str">
        <f>D5</f>
        <v>B. Abandero</v>
      </c>
      <c r="E20" s="7">
        <f>Y5</f>
        <v>25</v>
      </c>
      <c r="F20" s="7">
        <f>Z5</f>
        <v>94</v>
      </c>
      <c r="G20" s="57">
        <f>AA5</f>
        <v>0</v>
      </c>
      <c r="H20" s="57">
        <f>AB5</f>
        <v>13.4166666666666998</v>
      </c>
      <c r="I20" s="57">
        <f>AC5</f>
        <v>3</v>
      </c>
      <c r="J20" s="57">
        <f>AD5</f>
        <v>7.08333333333333037</v>
      </c>
      <c r="K20" s="57">
        <f>AE5</f>
        <v>11.4285714285714004</v>
      </c>
      <c r="L20" s="57">
        <f>AF5</f>
        <v>3</v>
      </c>
      <c r="M20" s="57">
        <f>AG5</f>
        <v>13</v>
      </c>
      <c r="N20" s="39">
        <f>AH5</f>
        <v>13492.0799999999999</v>
      </c>
      <c r="O20" s="44">
        <f>AI5</f>
        <v>0</v>
      </c>
      <c r="P20" s="44">
        <f>AJ5</f>
        <v>79</v>
      </c>
      <c r="Q20" s="44">
        <f>AK5</f>
        <v>3</v>
      </c>
      <c r="R20" s="44">
        <f>AL5</f>
        <v>13.5</v>
      </c>
      <c r="S20" s="44">
        <f>AM5</f>
        <v>39</v>
      </c>
      <c r="T20" s="44">
        <f>AN5</f>
        <v>2</v>
      </c>
      <c r="U20" s="44">
        <f>AO5</f>
        <v>14</v>
      </c>
      <c r="V20" s="361">
        <f>SUM(O20:U20)</f>
        <v>150.5</v>
      </c>
      <c r="X20" t="s">
        <v>173</v>
      </c>
      <c r="Y20" s="7">
        <f>E20+2</f>
        <v>27</v>
      </c>
      <c r="Z20" s="7">
        <f>F20+(($AR$22+$AR$23)*7)-112-112</f>
        <v>73</v>
      </c>
      <c r="AA20" s="57">
        <f>G20</f>
        <v>0</v>
      </c>
      <c r="AB20" s="57">
        <f>H20</f>
        <v>13.4166666666666998</v>
      </c>
      <c r="AC20" s="57">
        <f>I20</f>
        <v>3</v>
      </c>
      <c r="AD20" s="57">
        <f>J20</f>
        <v>7.08333333333333037</v>
      </c>
      <c r="AE20" s="57" t="n">
        <v>12</v>
      </c>
      <c r="AF20" s="57">
        <f>L20</f>
        <v>3</v>
      </c>
      <c r="AG20" s="57" t="n">
        <v>13.5</v>
      </c>
      <c r="AH20" s="39">
        <f>(195+13000+515)*1.038</f>
        <v>14230.9799999999996</v>
      </c>
      <c r="AI20" s="44">
        <f>O20</f>
        <v>0</v>
      </c>
      <c r="AJ20" s="44">
        <f>P20</f>
        <v>79</v>
      </c>
      <c r="AK20" s="44">
        <f>Q20</f>
        <v>3</v>
      </c>
      <c r="AL20" s="44">
        <f>R20</f>
        <v>13.5</v>
      </c>
      <c r="AM20" s="44">
        <f>S20+$AR$22</f>
        <v>53</v>
      </c>
      <c r="AN20" s="44">
        <f>T20</f>
        <v>2</v>
      </c>
      <c r="AO20" s="44">
        <f>U20+$AR$23</f>
        <v>29</v>
      </c>
      <c r="AP20" s="361">
        <f>SUM(AI20:AO20)</f>
        <v>179.5</v>
      </c>
      <c r="AQ20" s="92"/>
    </row>
    <row r="21" spans="1:45">
      <c r="A21" t="s">
        <v>167</v>
      </c>
      <c r="B21" s="19" t="s">
        <v>203</v>
      </c>
      <c r="C21" s="7"/>
      <c r="D21" s="7" t="str">
        <f>D6</f>
        <v>I. R. Figueroa</v>
      </c>
      <c r="E21" s="7">
        <f>Y6</f>
        <v>25</v>
      </c>
      <c r="F21" s="7">
        <f>Z6</f>
        <v>44</v>
      </c>
      <c r="G21" s="57">
        <f>AA6</f>
        <v>0</v>
      </c>
      <c r="H21" s="57">
        <f>AB6</f>
        <v>15.1666666666666998</v>
      </c>
      <c r="I21" s="57">
        <f>AC6</f>
        <v>5</v>
      </c>
      <c r="J21" s="57">
        <f>AD6</f>
        <v>7.75</v>
      </c>
      <c r="K21" s="57">
        <f>AE6</f>
        <v>8.5</v>
      </c>
      <c r="L21" s="57">
        <f>AF6</f>
        <v>1</v>
      </c>
      <c r="M21" s="57">
        <f>AG6</f>
        <v>12</v>
      </c>
      <c r="N21" s="39">
        <f>AH6</f>
        <v>28513.5999999999985</v>
      </c>
      <c r="O21" s="44">
        <f>AI6</f>
        <v>0</v>
      </c>
      <c r="P21" s="44">
        <f>AJ6</f>
        <v>100.579999999999998</v>
      </c>
      <c r="Q21" s="44">
        <f>AK6</f>
        <v>9</v>
      </c>
      <c r="R21" s="44">
        <f>AL6</f>
        <v>13.5</v>
      </c>
      <c r="S21" s="44">
        <f>AM6</f>
        <v>21</v>
      </c>
      <c r="T21" s="44">
        <f>AN6</f>
        <v>0</v>
      </c>
      <c r="U21" s="44">
        <f>AO6</f>
        <v>12</v>
      </c>
      <c r="V21" s="361">
        <f>SUM(O21:U21)</f>
        <v>156.080000000000013</v>
      </c>
      <c r="X21" t="s">
        <v>167</v>
      </c>
      <c r="Y21" s="7">
        <f>E21+2</f>
        <v>27</v>
      </c>
      <c r="Z21" s="7">
        <f>F21+(($AR$22+$AR$23)*7)-112-112</f>
        <v>23</v>
      </c>
      <c r="AA21" s="57">
        <f>G21</f>
        <v>0</v>
      </c>
      <c r="AB21" s="57">
        <f>H21</f>
        <v>15.1666666666666998</v>
      </c>
      <c r="AC21" s="57">
        <f>I21</f>
        <v>5</v>
      </c>
      <c r="AD21" s="57">
        <f>J21</f>
        <v>7.75</v>
      </c>
      <c r="AE21" s="57">
        <f>8+3/5</f>
        <v>8.59999999999999964</v>
      </c>
      <c r="AF21" s="57">
        <f>L21</f>
        <v>1</v>
      </c>
      <c r="AG21" s="57" t="n">
        <v>13.5</v>
      </c>
      <c r="AH21" s="39">
        <f>(28000+135+145+135)*1.038</f>
        <v>29494.7700000000004</v>
      </c>
      <c r="AI21" s="44">
        <f>O21</f>
        <v>0</v>
      </c>
      <c r="AJ21" s="44">
        <f>P21</f>
        <v>100.579999999999998</v>
      </c>
      <c r="AK21" s="44">
        <f>Q21</f>
        <v>9</v>
      </c>
      <c r="AL21" s="44">
        <f>R21</f>
        <v>13.5</v>
      </c>
      <c r="AM21" s="44">
        <f>S21+$AR$22</f>
        <v>35</v>
      </c>
      <c r="AN21" s="44">
        <f>T21</f>
        <v>0</v>
      </c>
      <c r="AO21" s="44">
        <f>U21+$AR$23</f>
        <v>27</v>
      </c>
      <c r="AP21" s="361">
        <f>SUM(AI21:AO21)</f>
        <v>185.080000000000013</v>
      </c>
      <c r="AQ21" s="92"/>
      <c r="AR21" s="92" t="s">
        <v>144</v>
      </c>
      <c r="AS21" s="92" t="s">
        <v>494</v>
      </c>
    </row>
    <row r="22" spans="1:45">
      <c r="A22" t="s">
        <v>176</v>
      </c>
      <c r="B22" s="19" t="s">
        <v>203</v>
      </c>
      <c r="C22" s="7"/>
      <c r="D22" s="7" t="str">
        <f>D7</f>
        <v>G. Pedrajas</v>
      </c>
      <c r="E22" s="7">
        <f>Y7</f>
        <v>25</v>
      </c>
      <c r="F22" s="7">
        <f>Z7</f>
        <v>79</v>
      </c>
      <c r="G22" s="57">
        <f>AA7</f>
        <v>0</v>
      </c>
      <c r="H22" s="57">
        <f>AB7</f>
        <v>11.6999999999999993</v>
      </c>
      <c r="I22" s="57">
        <f>AC7</f>
        <v>11</v>
      </c>
      <c r="J22" s="57">
        <f>AD7</f>
        <v>4</v>
      </c>
      <c r="K22" s="57">
        <f>AE7</f>
        <v>11</v>
      </c>
      <c r="L22" s="57">
        <f>AF7</f>
        <v>4</v>
      </c>
      <c r="M22" s="57">
        <f>AG7</f>
        <v>13</v>
      </c>
      <c r="N22" s="39">
        <f>AH7</f>
        <v>9525.60000000000036</v>
      </c>
      <c r="O22" s="44">
        <f>AI7</f>
        <v>0</v>
      </c>
      <c r="P22" s="44">
        <f>AJ7</f>
        <v>58</v>
      </c>
      <c r="Q22" s="44">
        <f>AK7</f>
        <v>40</v>
      </c>
      <c r="R22" s="44">
        <f>AL7</f>
        <v>3.5</v>
      </c>
      <c r="S22" s="44">
        <f>AM7</f>
        <v>36</v>
      </c>
      <c r="T22" s="44">
        <f>AN7</f>
        <v>5</v>
      </c>
      <c r="U22" s="44">
        <f>AO7</f>
        <v>14</v>
      </c>
      <c r="V22" s="361">
        <f>SUM(O22:U22)</f>
        <v>156.5</v>
      </c>
      <c r="X22" t="s">
        <v>176</v>
      </c>
      <c r="Y22" s="7">
        <f>E22+2</f>
        <v>27</v>
      </c>
      <c r="Z22" s="7">
        <f>F22+(($AR$22+$AR$23)*7)-112-112</f>
        <v>58</v>
      </c>
      <c r="AA22" s="57">
        <f>G22</f>
        <v>0</v>
      </c>
      <c r="AB22" s="57">
        <f>H22</f>
        <v>11.6999999999999993</v>
      </c>
      <c r="AC22" s="57">
        <f>I22</f>
        <v>11</v>
      </c>
      <c r="AD22" s="57">
        <f>J22</f>
        <v>4</v>
      </c>
      <c r="AE22" s="57">
        <f>11+1/7</f>
        <v>11.1428571428570997</v>
      </c>
      <c r="AF22" s="57">
        <f>L22</f>
        <v>4</v>
      </c>
      <c r="AG22" s="57" t="n">
        <v>13.5</v>
      </c>
      <c r="AH22" s="39">
        <f>(6800+2505+305)*1.038</f>
        <v>9975.18000000000029</v>
      </c>
      <c r="AI22" s="44">
        <f>O22</f>
        <v>0</v>
      </c>
      <c r="AJ22" s="44">
        <f>P22</f>
        <v>58</v>
      </c>
      <c r="AK22" s="44">
        <f>Q22</f>
        <v>40</v>
      </c>
      <c r="AL22" s="44">
        <f>R22</f>
        <v>3.5</v>
      </c>
      <c r="AM22" s="44">
        <f>S22+$AR$22</f>
        <v>50</v>
      </c>
      <c r="AN22" s="44">
        <f>T22</f>
        <v>5</v>
      </c>
      <c r="AO22" s="44">
        <f>U22+$AR$23</f>
        <v>29</v>
      </c>
      <c r="AP22" s="361">
        <f>SUM(AI22:AO22)</f>
        <v>185.5</v>
      </c>
      <c r="AQ22" s="92" t="s">
        <v>506</v>
      </c>
      <c r="AR22" s="56" t="n">
        <v>14</v>
      </c>
      <c r="AS22" s="99">
        <f>AR22/16</f>
        <v>0.875</v>
      </c>
    </row>
    <row r="23" spans="1:45">
      <c r="A23" t="s">
        <v>180</v>
      </c>
      <c r="B23" s="19" t="s">
        <v>203</v>
      </c>
      <c r="C23" s="7"/>
      <c r="D23" s="7" t="s">
        <v>495</v>
      </c>
      <c r="E23" s="7">
        <f>Y8</f>
        <v>27</v>
      </c>
      <c r="F23" s="7">
        <f>Z8</f>
        <v>-102</v>
      </c>
      <c r="G23" s="57">
        <f>AA8</f>
        <v>0</v>
      </c>
      <c r="H23" s="57">
        <f>AB8</f>
        <v>14</v>
      </c>
      <c r="I23" s="57">
        <f>AC8</f>
        <v>5</v>
      </c>
      <c r="J23" s="57">
        <f>AD8</f>
        <v>2</v>
      </c>
      <c r="K23" s="57">
        <f>AE8</f>
        <v>12</v>
      </c>
      <c r="L23" s="57">
        <f>AF8</f>
        <v>6</v>
      </c>
      <c r="M23" s="57">
        <f>AG8</f>
        <v>11.5</v>
      </c>
      <c r="N23" s="39">
        <f>AH8</f>
        <v>0</v>
      </c>
      <c r="O23" s="44">
        <f>AI8</f>
        <v>0</v>
      </c>
      <c r="P23" s="44">
        <f>AJ8</f>
        <v>79</v>
      </c>
      <c r="Q23" s="44">
        <f>AK8</f>
        <v>9</v>
      </c>
      <c r="R23" s="44">
        <f>AL8</f>
        <v>0</v>
      </c>
      <c r="S23" s="44">
        <f>AM8</f>
        <v>43</v>
      </c>
      <c r="T23" s="44">
        <f>AN8</f>
        <v>12</v>
      </c>
      <c r="U23" s="44">
        <f>AO8</f>
        <v>11</v>
      </c>
      <c r="V23" s="361">
        <f>SUM(O23:U23)</f>
        <v>154</v>
      </c>
      <c r="X23" t="s">
        <v>180</v>
      </c>
      <c r="Y23" s="7">
        <f>E23+1</f>
        <v>28</v>
      </c>
      <c r="Z23" s="7">
        <f>F23+(($AR$22+$AR$23)*7)-112</f>
        <v>-11</v>
      </c>
      <c r="AA23" s="57">
        <f>G23</f>
        <v>0</v>
      </c>
      <c r="AB23" s="57">
        <f>H23</f>
        <v>14</v>
      </c>
      <c r="AC23" s="57">
        <f>I23</f>
        <v>5</v>
      </c>
      <c r="AD23" s="57">
        <f>J23</f>
        <v>2</v>
      </c>
      <c r="AE23" s="57">
        <f>10+3/7</f>
        <v>10.4285714285714004</v>
      </c>
      <c r="AF23" s="57">
        <f>L23</f>
        <v>6</v>
      </c>
      <c r="AG23" s="57" t="n">
        <v>13.5</v>
      </c>
      <c r="AH23" s="39">
        <f>(18370+445+200)*1.038</f>
        <v>19737.5699999999997</v>
      </c>
      <c r="AI23" s="44">
        <f>O23</f>
        <v>0</v>
      </c>
      <c r="AJ23" s="44">
        <f>P23</f>
        <v>79</v>
      </c>
      <c r="AK23" s="44">
        <f>Q23</f>
        <v>9</v>
      </c>
      <c r="AL23" s="44">
        <f>R23</f>
        <v>0</v>
      </c>
      <c r="AM23" s="44">
        <f>S23+$AR$22</f>
        <v>57</v>
      </c>
      <c r="AN23" s="44">
        <f>T23</f>
        <v>12</v>
      </c>
      <c r="AO23" s="44">
        <f>U23+$AR$23</f>
        <v>26</v>
      </c>
      <c r="AP23" s="361">
        <f>SUM(AI23:AO23)</f>
        <v>183</v>
      </c>
      <c r="AQ23" s="92" t="s">
        <v>208</v>
      </c>
      <c r="AR23" s="56" t="n">
        <v>15</v>
      </c>
      <c r="AS23" s="99">
        <f>AR23/16</f>
        <v>0.9375</v>
      </c>
    </row>
    <row r="24" spans="1:43">
      <c r="A24" t="s">
        <v>169</v>
      </c>
      <c r="B24" s="19" t="s">
        <v>203</v>
      </c>
      <c r="C24" s="7" t="s">
        <v>172</v>
      </c>
      <c r="D24" s="7" t="s">
        <v>496</v>
      </c>
      <c r="E24" s="7">
        <f>Y9</f>
        <v>25</v>
      </c>
      <c r="F24" s="7">
        <f>Z9</f>
        <v>59</v>
      </c>
      <c r="G24" s="57">
        <f>AA9</f>
        <v>0</v>
      </c>
      <c r="H24" s="57">
        <f>AB9</f>
        <v>12.9090909090908994</v>
      </c>
      <c r="I24" s="57">
        <f>AC9</f>
        <v>4</v>
      </c>
      <c r="J24" s="57">
        <f>AD9</f>
        <v>12.5</v>
      </c>
      <c r="K24" s="57">
        <f>AE9</f>
        <v>7.75</v>
      </c>
      <c r="L24" s="57">
        <f>AF9</f>
        <v>7</v>
      </c>
      <c r="M24" s="57">
        <f>AG9</f>
        <v>13</v>
      </c>
      <c r="N24" s="39">
        <f>AH9</f>
        <v>16606.9199999999983</v>
      </c>
      <c r="O24" s="44">
        <f>AI9</f>
        <v>0</v>
      </c>
      <c r="P24" s="44">
        <f>AJ9</f>
        <v>70</v>
      </c>
      <c r="Q24" s="44">
        <f>AK9</f>
        <v>6</v>
      </c>
      <c r="R24" s="44">
        <f>AL9</f>
        <v>39.5</v>
      </c>
      <c r="S24" s="44">
        <f>AM9</f>
        <v>17</v>
      </c>
      <c r="T24" s="44">
        <f>AN9</f>
        <v>16</v>
      </c>
      <c r="U24" s="44">
        <f>AO9</f>
        <v>14</v>
      </c>
      <c r="V24" s="361">
        <f>SUM(O24:U24)</f>
        <v>162.5</v>
      </c>
      <c r="X24" t="s">
        <v>169</v>
      </c>
      <c r="Y24" s="7">
        <f>E24+2</f>
        <v>27</v>
      </c>
      <c r="Z24" s="7">
        <f>F24+(($AR$22+$AR$23)*7)-112-112</f>
        <v>38</v>
      </c>
      <c r="AA24" s="57">
        <f>G24</f>
        <v>0</v>
      </c>
      <c r="AB24" s="57">
        <f>H24</f>
        <v>12.9090909090908994</v>
      </c>
      <c r="AC24" s="57">
        <f>I24</f>
        <v>4</v>
      </c>
      <c r="AD24" s="57">
        <f>J24</f>
        <v>12.5</v>
      </c>
      <c r="AE24" s="57">
        <f>8+1/5</f>
        <v>8.19999999999999929</v>
      </c>
      <c r="AF24" s="57">
        <f>L24</f>
        <v>7</v>
      </c>
      <c r="AG24" s="57" t="n">
        <v>14</v>
      </c>
      <c r="AH24" s="39">
        <f>(12930+2985+125+145+245)*1.04</f>
        <v>17087.2000000000007</v>
      </c>
      <c r="AI24" s="44">
        <f>O24</f>
        <v>0</v>
      </c>
      <c r="AJ24" s="44">
        <f>P24</f>
        <v>70</v>
      </c>
      <c r="AK24" s="44">
        <f>Q24</f>
        <v>6</v>
      </c>
      <c r="AL24" s="44">
        <f>R24</f>
        <v>39.5</v>
      </c>
      <c r="AM24" s="44">
        <f>S24+$AR$22</f>
        <v>31</v>
      </c>
      <c r="AN24" s="44">
        <f>T24</f>
        <v>16</v>
      </c>
      <c r="AO24" s="44">
        <f>U24+$AR$23</f>
        <v>29</v>
      </c>
      <c r="AP24" s="361">
        <f>SUM(AI24:AO24)</f>
        <v>191.5</v>
      </c>
      <c r="AQ24" s="92"/>
    </row>
    <row r="25" spans="1:43">
      <c r="A25" t="s">
        <v>177</v>
      </c>
      <c r="B25" s="19" t="s">
        <v>203</v>
      </c>
      <c r="C25" s="7" t="s">
        <v>172</v>
      </c>
      <c r="D25" s="7" t="s">
        <v>497</v>
      </c>
      <c r="E25" s="7">
        <f>Y10</f>
        <v>25</v>
      </c>
      <c r="F25" s="7">
        <f>Z10</f>
        <v>59</v>
      </c>
      <c r="G25" s="57">
        <f>AA10</f>
        <v>0</v>
      </c>
      <c r="H25" s="57">
        <f>AB10</f>
        <v>12</v>
      </c>
      <c r="I25" s="57">
        <f>AC10</f>
        <v>3</v>
      </c>
      <c r="J25" s="57">
        <f>AD10</f>
        <v>11.9000000000000004</v>
      </c>
      <c r="K25" s="57">
        <f>AE10</f>
        <v>9</v>
      </c>
      <c r="L25" s="57">
        <f>AF10</f>
        <v>7.25</v>
      </c>
      <c r="M25" s="57">
        <f>AG10</f>
        <v>14</v>
      </c>
      <c r="N25" s="39">
        <f>AH10</f>
        <v>16606.9199999999983</v>
      </c>
      <c r="O25" s="44">
        <f>AI10</f>
        <v>0</v>
      </c>
      <c r="P25" s="44">
        <f>AJ10</f>
        <v>57</v>
      </c>
      <c r="Q25" s="44">
        <f>AK10</f>
        <v>3</v>
      </c>
      <c r="R25" s="44">
        <f>AL10</f>
        <v>32.5</v>
      </c>
      <c r="S25" s="44">
        <f>AM10</f>
        <v>23</v>
      </c>
      <c r="T25" s="44">
        <f>AN10</f>
        <v>17</v>
      </c>
      <c r="U25" s="44">
        <f>AO10</f>
        <v>16</v>
      </c>
      <c r="V25" s="361">
        <f>SUM(O25:U25)</f>
        <v>148.5</v>
      </c>
      <c r="X25" t="s">
        <v>177</v>
      </c>
      <c r="Y25" s="7">
        <f>E25+2</f>
        <v>27</v>
      </c>
      <c r="Z25" s="7">
        <f>F25+(($AR$22+$AR$23)*7)-112-112</f>
        <v>38</v>
      </c>
      <c r="AA25" s="57">
        <f>G25</f>
        <v>0</v>
      </c>
      <c r="AB25" s="57">
        <f>H25</f>
        <v>12</v>
      </c>
      <c r="AC25" s="57">
        <f>I25</f>
        <v>3</v>
      </c>
      <c r="AD25" s="57">
        <f>J25</f>
        <v>11.9000000000000004</v>
      </c>
      <c r="AE25" s="57">
        <f>9+1/7</f>
        <v>9.14285714285714057</v>
      </c>
      <c r="AF25" s="57">
        <f>L25</f>
        <v>7.25</v>
      </c>
      <c r="AG25" s="57" t="n">
        <v>14</v>
      </c>
      <c r="AH25" s="39">
        <f>(12930+2985+180+125+245)*1.04</f>
        <v>17123.5999999999985</v>
      </c>
      <c r="AI25" s="44">
        <f>O25</f>
        <v>0</v>
      </c>
      <c r="AJ25" s="44">
        <f>P25</f>
        <v>57</v>
      </c>
      <c r="AK25" s="44">
        <f>Q25</f>
        <v>3</v>
      </c>
      <c r="AL25" s="44">
        <f>R25</f>
        <v>32.5</v>
      </c>
      <c r="AM25" s="44">
        <f>S25+$AR$22</f>
        <v>37</v>
      </c>
      <c r="AN25" s="44">
        <f>T25</f>
        <v>17</v>
      </c>
      <c r="AO25" s="44">
        <f>U25+$AR$23</f>
        <v>31</v>
      </c>
      <c r="AP25" s="361">
        <f>SUM(AI25:AO25)</f>
        <v>177.5</v>
      </c>
      <c r="AQ25" s="92"/>
    </row>
    <row r="26" spans="1:42">
      <c r="A26" t="s">
        <v>170</v>
      </c>
      <c r="B26" s="19" t="s">
        <v>498</v>
      </c>
      <c r="C26" s="7" t="s">
        <v>175</v>
      </c>
      <c r="D26" s="7" t="str">
        <f>D11</f>
        <v>J. Gräbitz</v>
      </c>
      <c r="E26" s="7">
        <f>Y11</f>
        <v>25</v>
      </c>
      <c r="F26" s="7">
        <f>Z11</f>
        <v>29</v>
      </c>
      <c r="G26" s="57">
        <f>AA11</f>
        <v>0</v>
      </c>
      <c r="H26" s="57">
        <f>AB11</f>
        <v>12.5636363636363999</v>
      </c>
      <c r="I26" s="57">
        <f>AC11</f>
        <v>9</v>
      </c>
      <c r="J26" s="57">
        <f>AD11</f>
        <v>4</v>
      </c>
      <c r="K26" s="57">
        <f>AE11</f>
        <v>8.33333333333333037</v>
      </c>
      <c r="L26" s="57">
        <f>AF11</f>
        <v>4</v>
      </c>
      <c r="M26" s="57">
        <f>AG11</f>
        <v>19.5</v>
      </c>
      <c r="N26" s="39">
        <f>AH11</f>
        <v>13548</v>
      </c>
      <c r="O26" s="44">
        <f>AI11</f>
        <v>0</v>
      </c>
      <c r="P26" s="44">
        <f>AJ11</f>
        <v>59</v>
      </c>
      <c r="Q26" s="44">
        <f>AK11</f>
        <v>26</v>
      </c>
      <c r="R26" s="44">
        <f>AL11</f>
        <v>3.5</v>
      </c>
      <c r="S26" s="44">
        <f>AM11</f>
        <v>20</v>
      </c>
      <c r="T26" s="44">
        <f>AN11</f>
        <v>5</v>
      </c>
      <c r="U26" s="44">
        <f>AO11</f>
        <v>35</v>
      </c>
      <c r="V26" s="361">
        <f>SUM(O26:U26)</f>
        <v>148.5</v>
      </c>
      <c r="X26" t="s">
        <v>170</v>
      </c>
      <c r="Y26" s="7">
        <f>E26+2</f>
        <v>27</v>
      </c>
      <c r="Z26" s="7">
        <f>F26+(($AR$22+$AR$23)*7)-112-112</f>
        <v>8</v>
      </c>
      <c r="AA26" s="57">
        <f>G26</f>
        <v>0</v>
      </c>
      <c r="AB26" s="57">
        <f>H26</f>
        <v>12.5636363636363999</v>
      </c>
      <c r="AC26" s="57">
        <f>I26</f>
        <v>9</v>
      </c>
      <c r="AD26" s="57">
        <f>J26</f>
        <v>4</v>
      </c>
      <c r="AE26" s="57">
        <f>9+1/6</f>
        <v>9.16666666666666963</v>
      </c>
      <c r="AF26" s="57">
        <f>L26</f>
        <v>4</v>
      </c>
      <c r="AG26" s="57">
        <f>20</f>
        <v>20</v>
      </c>
      <c r="AH26" s="39">
        <f>(14490+225+200+125+165)*1.049</f>
        <v>15950.0450000000001</v>
      </c>
      <c r="AI26" s="44">
        <f>O26</f>
        <v>0</v>
      </c>
      <c r="AJ26" s="44">
        <f>P26</f>
        <v>59</v>
      </c>
      <c r="AK26" s="44">
        <f>Q26</f>
        <v>26</v>
      </c>
      <c r="AL26" s="44">
        <f>R26</f>
        <v>3.5</v>
      </c>
      <c r="AM26" s="44">
        <f>S26+$AR$22</f>
        <v>34</v>
      </c>
      <c r="AN26" s="44">
        <f>T26</f>
        <v>5</v>
      </c>
      <c r="AO26" s="44">
        <f>U26+AR23</f>
        <v>50</v>
      </c>
      <c r="AP26" s="361">
        <f>SUM(AI26:AO26)</f>
        <v>177.5</v>
      </c>
    </row>
    <row r="27" spans="1:42">
      <c r="A27" t="s">
        <v>500</v>
      </c>
      <c r="B27" s="19" t="s">
        <v>498</v>
      </c>
      <c r="C27" s="7" t="s">
        <v>507</v>
      </c>
      <c r="D27" s="7" t="s">
        <v>508</v>
      </c>
      <c r="E27" s="7" t="n">
        <v>23</v>
      </c>
      <c r="F27" s="7" t="n">
        <v>50</v>
      </c>
      <c r="G27" s="57">
        <f>AA12</f>
        <v>0</v>
      </c>
      <c r="H27" s="57" t="n">
        <v>13</v>
      </c>
      <c r="I27" s="57" t="n">
        <v>9</v>
      </c>
      <c r="J27" s="57" t="n">
        <v>3</v>
      </c>
      <c r="K27" s="57" t="n">
        <v>6</v>
      </c>
      <c r="L27" s="57" t="n">
        <v>5</v>
      </c>
      <c r="M27" s="57" t="n">
        <v>14</v>
      </c>
      <c r="N27" s="39">
        <f>(14490+225+185+125+165)*1.03</f>
        <v>15645.7000000000007</v>
      </c>
      <c r="O27" s="44">
        <f>AI12</f>
        <v>0</v>
      </c>
      <c r="P27" s="44" t="n">
        <v>67</v>
      </c>
      <c r="Q27" s="44" t="n">
        <v>26</v>
      </c>
      <c r="R27" s="44" t="n">
        <v>1.5</v>
      </c>
      <c r="S27" s="44" t="n">
        <v>10</v>
      </c>
      <c r="T27" s="44" t="n">
        <v>5.5</v>
      </c>
      <c r="U27" s="44" t="n">
        <v>16</v>
      </c>
      <c r="V27" s="361">
        <f>SUM(O27:U27)</f>
        <v>126</v>
      </c>
      <c r="X27" t="s">
        <v>500</v>
      </c>
      <c r="Y27" s="7">
        <f>E27+2</f>
        <v>25</v>
      </c>
      <c r="Z27" s="7">
        <f>F27+(($AR$22+$AR$23)*7)-112-112</f>
        <v>29</v>
      </c>
      <c r="AA27" s="57">
        <f>G27</f>
        <v>0</v>
      </c>
      <c r="AB27" s="57">
        <f>H27</f>
        <v>13</v>
      </c>
      <c r="AC27" s="57">
        <f>I27</f>
        <v>9</v>
      </c>
      <c r="AD27" s="57">
        <f>J27</f>
        <v>3</v>
      </c>
      <c r="AE27" s="57">
        <f>9+5/6</f>
        <v>9.83333333333333925</v>
      </c>
      <c r="AF27" s="57">
        <f>L27</f>
        <v>5</v>
      </c>
      <c r="AG27" s="57" t="n">
        <v>19</v>
      </c>
      <c r="AH27" s="39">
        <f>(14490+225+200+125+165)*1.049</f>
        <v>15950.0450000000001</v>
      </c>
      <c r="AI27" s="44">
        <f>O27</f>
        <v>0</v>
      </c>
      <c r="AJ27" s="44">
        <f>P27</f>
        <v>67</v>
      </c>
      <c r="AK27" s="44">
        <f>Q27</f>
        <v>26</v>
      </c>
      <c r="AL27" s="44">
        <f>R27</f>
        <v>1.5</v>
      </c>
      <c r="AM27" s="44">
        <f>S27+$AR$22</f>
        <v>24</v>
      </c>
      <c r="AN27" s="44">
        <f>T27</f>
        <v>5.5</v>
      </c>
      <c r="AO27" s="44" t="n">
        <v>31</v>
      </c>
      <c r="AP27" s="361">
        <f>SUM(AI27:AO27)</f>
        <v>155</v>
      </c>
    </row>
    <row r="28" spans="1:42">
      <c r="A28" t="s">
        <v>178</v>
      </c>
      <c r="B28" s="19" t="s">
        <v>501</v>
      </c>
      <c r="C28" s="7" t="s">
        <v>175</v>
      </c>
      <c r="D28" s="7" t="s">
        <v>502</v>
      </c>
      <c r="E28" s="7">
        <f>Y13</f>
        <v>25</v>
      </c>
      <c r="F28" s="7">
        <f>Z13</f>
        <v>55</v>
      </c>
      <c r="G28" s="57">
        <f>AA13</f>
        <v>0</v>
      </c>
      <c r="H28" s="57">
        <f>AB13</f>
        <v>10.6666666666666998</v>
      </c>
      <c r="I28" s="57">
        <f>AC13</f>
        <v>5.70000000000000018</v>
      </c>
      <c r="J28" s="57">
        <f>AD13</f>
        <v>14</v>
      </c>
      <c r="K28" s="57">
        <f>AE13</f>
        <v>9.5</v>
      </c>
      <c r="L28" s="57">
        <f>AF13</f>
        <v>7.5</v>
      </c>
      <c r="M28" s="57">
        <f>AG13</f>
        <v>14</v>
      </c>
      <c r="N28" s="39">
        <f>AH13</f>
        <v>13619.4799999999996</v>
      </c>
      <c r="O28" s="44">
        <f>AI13</f>
        <v>0</v>
      </c>
      <c r="P28" s="44">
        <f>AJ13</f>
        <v>49</v>
      </c>
      <c r="Q28" s="44">
        <f>AK13</f>
        <v>10.5</v>
      </c>
      <c r="R28" s="44">
        <f>AL13</f>
        <v>47.5</v>
      </c>
      <c r="S28" s="44">
        <f>AM13</f>
        <v>26</v>
      </c>
      <c r="T28" s="44">
        <f>AN13</f>
        <v>18</v>
      </c>
      <c r="U28" s="44">
        <f>AO13</f>
        <v>16</v>
      </c>
      <c r="V28" s="361">
        <f>SUM(O28:U28)</f>
        <v>167</v>
      </c>
      <c r="X28" t="s">
        <v>178</v>
      </c>
      <c r="Y28" s="7">
        <f>E28+2</f>
        <v>27</v>
      </c>
      <c r="Z28" s="7">
        <f>F28+(($AR$22+$AR$23)*7)-112-112</f>
        <v>34</v>
      </c>
      <c r="AA28" s="57">
        <f>G28</f>
        <v>0</v>
      </c>
      <c r="AB28" s="57">
        <f>H28</f>
        <v>10.6666666666666998</v>
      </c>
      <c r="AC28" s="57">
        <f>I28</f>
        <v>5.70000000000000018</v>
      </c>
      <c r="AD28" s="57">
        <f>J28</f>
        <v>14</v>
      </c>
      <c r="AE28" s="57">
        <f>9+1/7</f>
        <v>9.14285714285714057</v>
      </c>
      <c r="AF28" s="57">
        <f>L28</f>
        <v>7.5</v>
      </c>
      <c r="AG28" s="57" t="n">
        <v>15</v>
      </c>
      <c r="AH28" s="39">
        <f>(11610+300+185+150+1200)*1.045</f>
        <v>14050.0249999999996</v>
      </c>
      <c r="AI28" s="44">
        <f>O28</f>
        <v>0</v>
      </c>
      <c r="AJ28" s="44">
        <f>P28</f>
        <v>49</v>
      </c>
      <c r="AK28" s="44">
        <f>Q28</f>
        <v>10.5</v>
      </c>
      <c r="AL28" s="44">
        <f>R28</f>
        <v>47.5</v>
      </c>
      <c r="AM28" s="44">
        <f>S28+$AR$22</f>
        <v>40</v>
      </c>
      <c r="AN28" s="44">
        <f>T28</f>
        <v>18</v>
      </c>
      <c r="AO28" s="44">
        <f>U28+$AR$23</f>
        <v>31</v>
      </c>
      <c r="AP28" s="361">
        <f>SUM(AI28:AO28)</f>
        <v>196</v>
      </c>
    </row>
    <row r="29" spans="1:42">
      <c r="A29" t="s">
        <v>503</v>
      </c>
      <c r="B29" s="19" t="s">
        <v>501</v>
      </c>
      <c r="C29" s="7" t="s">
        <v>175</v>
      </c>
      <c r="D29" s="7" t="s">
        <v>504</v>
      </c>
      <c r="E29" s="7">
        <f>Y14</f>
        <v>26</v>
      </c>
      <c r="F29" s="7">
        <f>Z14</f>
        <v>-92</v>
      </c>
      <c r="G29" s="57">
        <f>AA14</f>
        <v>0</v>
      </c>
      <c r="H29" s="57">
        <f>AB14</f>
        <v>12.1818181818181994</v>
      </c>
      <c r="I29" s="57">
        <f>AC14</f>
        <v>3</v>
      </c>
      <c r="J29" s="57">
        <f>AD14</f>
        <v>12.8333333333333002</v>
      </c>
      <c r="K29" s="57">
        <f>AE14</f>
        <v>9.66666666666666963</v>
      </c>
      <c r="L29" s="57">
        <f>AF14</f>
        <v>7</v>
      </c>
      <c r="M29" s="57">
        <f>AG14</f>
        <v>14</v>
      </c>
      <c r="N29" s="39">
        <f>AH14</f>
        <v>11172.4799999999996</v>
      </c>
      <c r="O29" s="44">
        <f>AI14</f>
        <v>0</v>
      </c>
      <c r="P29" s="44">
        <f>AJ14</f>
        <v>62</v>
      </c>
      <c r="Q29" s="44">
        <f>AK14</f>
        <v>3</v>
      </c>
      <c r="R29" s="44">
        <f>AL14</f>
        <v>39.5</v>
      </c>
      <c r="S29" s="44">
        <f>AM14</f>
        <v>27</v>
      </c>
      <c r="T29" s="44">
        <f>AN14</f>
        <v>16</v>
      </c>
      <c r="U29" s="44">
        <f>AO14</f>
        <v>16</v>
      </c>
      <c r="V29" s="361">
        <f>SUM(O29:U29)</f>
        <v>163.5</v>
      </c>
      <c r="X29" t="s">
        <v>503</v>
      </c>
      <c r="Y29" s="7">
        <f>E29+1</f>
        <v>27</v>
      </c>
      <c r="Z29" s="7">
        <f>F29+(($AR$22+$AR$23)*7)-112</f>
        <v>-1</v>
      </c>
      <c r="AA29" s="57">
        <f>G29</f>
        <v>0</v>
      </c>
      <c r="AB29" s="57">
        <f>H29</f>
        <v>12.1818181818181994</v>
      </c>
      <c r="AC29" s="57">
        <f>I29</f>
        <v>3</v>
      </c>
      <c r="AD29" s="57">
        <f>J29</f>
        <v>12.8333333333333002</v>
      </c>
      <c r="AE29" s="57">
        <f>9+5/6</f>
        <v>9.83333333333333925</v>
      </c>
      <c r="AF29" s="57">
        <f>L29</f>
        <v>7</v>
      </c>
      <c r="AG29" s="57" t="n">
        <v>14</v>
      </c>
      <c r="AH29" s="39">
        <f>(7000+165+165+245+3505)*1.04</f>
        <v>11523.2000000000007</v>
      </c>
      <c r="AI29" s="44">
        <f>O29</f>
        <v>0</v>
      </c>
      <c r="AJ29" s="44">
        <f>P29</f>
        <v>62</v>
      </c>
      <c r="AK29" s="44">
        <f>Q29</f>
        <v>3</v>
      </c>
      <c r="AL29" s="44">
        <f>R29</f>
        <v>39.5</v>
      </c>
      <c r="AM29" s="44">
        <f>S29+$AR$22</f>
        <v>41</v>
      </c>
      <c r="AN29" s="44">
        <f>T29</f>
        <v>16</v>
      </c>
      <c r="AO29" s="44">
        <f>U29+$AR$23</f>
        <v>31</v>
      </c>
      <c r="AP29" s="361">
        <f>SUM(AI29:AO29)</f>
        <v>192.5</v>
      </c>
    </row>
    <row r="30" spans="1:42">
      <c r="A30" t="s">
        <v>166</v>
      </c>
      <c r="B30" s="19" t="s">
        <v>501</v>
      </c>
      <c r="C30" s="7" t="s">
        <v>172</v>
      </c>
      <c r="D30" s="7" t="s">
        <v>505</v>
      </c>
      <c r="E30" s="7">
        <f>Y15</f>
        <v>25</v>
      </c>
      <c r="F30" s="7">
        <f>Z15</f>
        <v>55</v>
      </c>
      <c r="G30" s="57">
        <f>AA15</f>
        <v>0</v>
      </c>
      <c r="H30" s="57">
        <f>AB15</f>
        <v>11.0999999999999996</v>
      </c>
      <c r="I30" s="57">
        <f>AC15</f>
        <v>5</v>
      </c>
      <c r="J30" s="57">
        <f>AD15</f>
        <v>13.3333333333333002</v>
      </c>
      <c r="K30" s="57">
        <f>AE15</f>
        <v>8</v>
      </c>
      <c r="L30" s="57">
        <f>AF15</f>
        <v>7.8016666666666703</v>
      </c>
      <c r="M30" s="57">
        <f>AG15</f>
        <v>13</v>
      </c>
      <c r="N30" s="39">
        <f>AH15</f>
        <v>13682.2399999999998</v>
      </c>
      <c r="O30" s="44">
        <f>AI15</f>
        <v>0</v>
      </c>
      <c r="P30" s="44">
        <f>AJ15</f>
        <v>51</v>
      </c>
      <c r="Q30" s="44">
        <f>AK15</f>
        <v>9</v>
      </c>
      <c r="R30" s="44">
        <f>AL15</f>
        <v>41</v>
      </c>
      <c r="S30" s="44">
        <f>AM15</f>
        <v>18</v>
      </c>
      <c r="T30" s="44">
        <f>AN15</f>
        <v>19</v>
      </c>
      <c r="U30" s="44">
        <f>AO15</f>
        <v>14</v>
      </c>
      <c r="V30" s="361">
        <f>SUM(O30:U30)</f>
        <v>152</v>
      </c>
      <c r="X30" t="s">
        <v>166</v>
      </c>
      <c r="Y30" s="7">
        <f>E30+2</f>
        <v>27</v>
      </c>
      <c r="Z30" s="7">
        <f>F30+(($AR$22+$AR$23)*7)-112-112</f>
        <v>34</v>
      </c>
      <c r="AA30" s="57">
        <f>G30</f>
        <v>0</v>
      </c>
      <c r="AB30" s="57">
        <f>H30</f>
        <v>11.0999999999999996</v>
      </c>
      <c r="AC30" s="57">
        <f>I30</f>
        <v>5</v>
      </c>
      <c r="AD30" s="57">
        <f>J30</f>
        <v>13.3333333333333002</v>
      </c>
      <c r="AE30" s="57">
        <f>8+3/5</f>
        <v>8.59999999999999964</v>
      </c>
      <c r="AF30" s="57">
        <f>L30</f>
        <v>7.8016666666666703</v>
      </c>
      <c r="AG30" s="57" t="n">
        <v>14</v>
      </c>
      <c r="AH30" s="39">
        <f>(9000+135+185+350+3900)*1.04</f>
        <v>14112.7999999999993</v>
      </c>
      <c r="AI30" s="44">
        <f>O30</f>
        <v>0</v>
      </c>
      <c r="AJ30" s="44">
        <f>P30</f>
        <v>51</v>
      </c>
      <c r="AK30" s="44">
        <f>Q30</f>
        <v>9</v>
      </c>
      <c r="AL30" s="44">
        <f>R30</f>
        <v>41</v>
      </c>
      <c r="AM30" s="44">
        <f>S30+$AR$22</f>
        <v>32</v>
      </c>
      <c r="AN30" s="44">
        <f>T30</f>
        <v>19</v>
      </c>
      <c r="AO30" s="44">
        <f>U30+$AR$23</f>
        <v>29</v>
      </c>
      <c r="AP30" s="361">
        <f>SUM(AI30:AO30)</f>
        <v>181</v>
      </c>
    </row>
  </sheetData>
  <conditionalFormatting sqref="AH18:AH3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{66AE253A-7965-F0EE-9B40-9B42CEAAD134}</x14:id>
        </ext>
      </extLst>
    </cfRule>
  </conditionalFormatting>
  <conditionalFormatting sqref="AA18:AG30">
    <cfRule type="colorScale" priority="2">
      <colorScale>
        <cfvo type="min"/>
        <cfvo type="max"/>
        <color rgb="FFFFEF9C"/>
        <color rgb="FF63BE7B"/>
      </colorScale>
    </cfRule>
  </conditionalFormatting>
  <conditionalFormatting sqref="AP18:AP30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{60496833-86C1-D8E5-B2C0-096ACBAE4803}</x14:id>
        </ext>
      </extLst>
    </cfRule>
  </conditionalFormatting>
  <conditionalFormatting sqref="AI18:AO30">
    <cfRule type="colorScale" priority="4">
      <colorScale>
        <cfvo type="min"/>
        <cfvo type="max"/>
        <color rgb="FFFCFCFF"/>
        <color rgb="FFF8696B"/>
      </colorScale>
    </cfRule>
  </conditionalFormatting>
  <conditionalFormatting sqref="V18:V30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{513C7C97-6D2F-A1B2-DE17-182AC63A5B03}</x14:id>
        </ext>
      </extLst>
    </cfRule>
  </conditionalFormatting>
  <conditionalFormatting sqref="N18:N30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{7976D13B-FA49-9F56-8DFB-0F5FE966A212}</x14:id>
        </ext>
      </extLst>
    </cfRule>
  </conditionalFormatting>
  <conditionalFormatting sqref="G5:M8">
    <cfRule type="colorScale" priority="7">
      <colorScale>
        <cfvo type="min"/>
        <cfvo type="max"/>
        <color rgb="FFFFEF9C"/>
        <color rgb="FF63BE7B"/>
      </colorScale>
    </cfRule>
  </conditionalFormatting>
  <conditionalFormatting sqref="G3:M4 G9:M15">
    <cfRule type="colorScale" priority="8">
      <colorScale>
        <cfvo type="min"/>
        <cfvo type="max"/>
        <color rgb="FFFFEF9C"/>
        <color rgb="FF63BE7B"/>
      </colorScale>
    </cfRule>
  </conditionalFormatting>
  <conditionalFormatting sqref="N3:N15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{547CB159-E41A-CB2E-A062-A068ADDBA20A}</x14:id>
        </ext>
      </extLst>
    </cfRule>
  </conditionalFormatting>
  <conditionalFormatting sqref="O3:U15">
    <cfRule type="colorScale" priority="10">
      <colorScale>
        <cfvo type="min"/>
        <cfvo type="max"/>
        <color rgb="FFFCFCFF"/>
        <color rgb="FFF8696B"/>
      </colorScale>
    </cfRule>
  </conditionalFormatting>
  <conditionalFormatting sqref="V3:V15">
    <cfRule type="dataBar" priority="1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{609389DC-DEC0-F56F-787F-9201CB6A2403}</x14:id>
        </ext>
      </extLst>
    </cfRule>
  </conditionalFormatting>
  <conditionalFormatting sqref="AA3:AG15">
    <cfRule type="colorScale" priority="12">
      <colorScale>
        <cfvo type="min"/>
        <cfvo type="max"/>
        <color rgb="FFFFEF9C"/>
        <color rgb="FF63BE7B"/>
      </colorScale>
    </cfRule>
  </conditionalFormatting>
  <conditionalFormatting sqref="AH3:AH15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{3A7E90BB-A4B2-E431-A981-2F6C4EE5DB2A}</x14:id>
        </ext>
      </extLst>
    </cfRule>
  </conditionalFormatting>
  <conditionalFormatting sqref="AI3:AO15">
    <cfRule type="colorScale" priority="14">
      <colorScale>
        <cfvo type="min"/>
        <cfvo type="max"/>
        <color rgb="FFFCFCFF"/>
        <color rgb="FFF8696B"/>
      </colorScale>
    </cfRule>
  </conditionalFormatting>
  <conditionalFormatting sqref="AP3:AP15">
    <cfRule type="dataBar" priority="1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{73378EFF-E9DD-6C0F-E467-7E768FAA8236}</x14:id>
        </ext>
      </extLst>
    </cfRule>
  </conditionalFormatting>
  <conditionalFormatting sqref="G18:M30">
    <cfRule type="colorScale" priority="16">
      <colorScale>
        <cfvo type="min"/>
        <cfvo type="max"/>
        <color rgb="FFFFEF9C"/>
        <color rgb="FF63BE7B"/>
      </colorScale>
    </cfRule>
  </conditionalFormatting>
  <conditionalFormatting sqref="O18:U30">
    <cfRule type="colorScale" priority="17">
      <colorScale>
        <cfvo type="min"/>
        <cfvo type="max"/>
        <color rgb="FFFCFCFF"/>
        <color rgb="FFF8696B"/>
      </colorScale>
    </cfRule>
  </conditionalFormatting>
  <printOptions>
    <extLst>
      <ext uri="smNativeData">
        <pm:pageFlags xmlns:pm="smNativeData" id="1591683921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91683921" l="56" r="56" t="56" b="56" borderId="0" fillId="0" vertical="0"/>
        <pm:footer xmlns:pm="smNativeData" id="1591683921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6AE253A-7965-F0EE-9B40-9B42CEAAD13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AH18:AH30</xm:sqref>
        </x14:conditionalFormatting>
        <x14:conditionalFormatting xmlns:xm="http://schemas.microsoft.com/office/excel/2006/main">
          <x14:cfRule type="dataBar" id="{60496833-86C1-D8E5-B2C0-096ACBAE480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AP18:AP30</xm:sqref>
        </x14:conditionalFormatting>
        <x14:conditionalFormatting xmlns:xm="http://schemas.microsoft.com/office/excel/2006/main">
          <x14:cfRule type="dataBar" id="{513C7C97-6D2F-A1B2-DE17-182AC63A5B0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V18:V30</xm:sqref>
        </x14:conditionalFormatting>
        <x14:conditionalFormatting xmlns:xm="http://schemas.microsoft.com/office/excel/2006/main">
          <x14:cfRule type="dataBar" id="{7976D13B-FA49-9F56-8DFB-0F5FE966A21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N18:N30</xm:sqref>
        </x14:conditionalFormatting>
        <x14:conditionalFormatting xmlns:xm="http://schemas.microsoft.com/office/excel/2006/main">
          <x14:cfRule type="dataBar" id="{547CB159-E41A-CB2E-A062-A068ADDBA20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N3:N15</xm:sqref>
        </x14:conditionalFormatting>
        <x14:conditionalFormatting xmlns:xm="http://schemas.microsoft.com/office/excel/2006/main">
          <x14:cfRule type="dataBar" id="{609389DC-DEC0-F56F-787F-9201CB6A240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V3:V15</xm:sqref>
        </x14:conditionalFormatting>
        <x14:conditionalFormatting xmlns:xm="http://schemas.microsoft.com/office/excel/2006/main">
          <x14:cfRule type="dataBar" id="{3A7E90BB-A4B2-E431-A981-2F6C4EE5DB2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AH3:AH15</xm:sqref>
        </x14:conditionalFormatting>
        <x14:conditionalFormatting xmlns:xm="http://schemas.microsoft.com/office/excel/2006/main">
          <x14:cfRule type="dataBar" id="{73378EFF-E9DD-6C0F-E467-7E768FAA823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AP3:AP15</xm:sqref>
        </x14:conditionalFormatting>
      </x14:conditionalFormattings>
    </ext>
    <ext uri="smNativeData">
      <pm:sheetPrefs xmlns:pm="smNativeData" day="1591683921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ABF8F"/>
  </sheetPr>
  <dimension ref="A1:AL120"/>
  <sheetViews>
    <sheetView view="normal" zoomScale="80" workbookViewId="0">
      <pane xSplit="13" ySplit="1" topLeftCell="N2" activePane="bottomRight" state="frozen"/>
      <selection pane="bottomRight" activeCell="M11" sqref="M11"/>
    </sheetView>
  </sheetViews>
  <sheetFormatPr baseColWidth="10" defaultColWidth="10.669643" defaultRowHeight="15.40"/>
  <cols>
    <col min="1" max="1" width="15.428571" customWidth="1"/>
    <col min="2" max="2" width="9.714286" customWidth="1"/>
    <col min="3" max="3" width="6.428571" customWidth="1"/>
    <col min="4" max="4" width="16.285714" customWidth="1"/>
    <col min="5" max="5" width="18.000000" customWidth="1"/>
    <col min="6" max="6" width="7.285714" customWidth="1"/>
    <col min="7" max="7" width="17.000000" customWidth="1"/>
    <col min="8" max="8" width="18.000000" customWidth="1"/>
    <col min="9" max="9" width="6.571429" customWidth="1"/>
    <col min="10" max="10" width="5.000000" customWidth="1"/>
    <col min="11" max="11" width="23.000000" customWidth="1"/>
    <col min="12" max="12" width="17.428571" customWidth="1"/>
    <col min="13" max="30" width="18.000000" customWidth="1"/>
  </cols>
  <sheetData>
    <row r="1" spans="1:29">
      <c r="A1" s="241"/>
      <c r="B1" s="241"/>
      <c r="C1" s="241"/>
      <c r="D1" s="432" t="s">
        <v>509</v>
      </c>
      <c r="E1" s="433"/>
      <c r="F1" s="433"/>
      <c r="G1" s="433"/>
      <c r="H1" s="433"/>
      <c r="I1" s="434"/>
      <c r="K1" s="241"/>
      <c r="L1" s="241"/>
      <c r="M1" s="241"/>
      <c r="N1" s="242" t="n">
        <v>43757</v>
      </c>
      <c r="O1" s="242">
        <f>N1+7</f>
        <v>43764</v>
      </c>
      <c r="P1" s="242">
        <f>O1+7</f>
        <v>43771</v>
      </c>
      <c r="Q1" s="242">
        <f>P1+7</f>
        <v>43778</v>
      </c>
      <c r="R1" s="242">
        <f>Q1+7</f>
        <v>43785</v>
      </c>
      <c r="S1" s="242">
        <f>R1+7</f>
        <v>43792</v>
      </c>
      <c r="T1" s="242">
        <f>S1+7</f>
        <v>43799</v>
      </c>
      <c r="U1" s="242">
        <f>T1+7</f>
        <v>43806</v>
      </c>
      <c r="V1" s="242">
        <f>U1+7</f>
        <v>43813</v>
      </c>
      <c r="W1" s="242">
        <f>V1+7</f>
        <v>43820</v>
      </c>
      <c r="X1" s="242">
        <f>W1+7</f>
        <v>43827</v>
      </c>
      <c r="Y1" s="242">
        <f>X1+7</f>
        <v>43834</v>
      </c>
      <c r="Z1" s="242">
        <f>Y1+7</f>
        <v>43841</v>
      </c>
      <c r="AA1" s="242">
        <f>Z1+7</f>
        <v>43848</v>
      </c>
      <c r="AB1" s="242">
        <f>AA1+7</f>
        <v>43855</v>
      </c>
      <c r="AC1" s="242">
        <f>AB1+7</f>
        <v>43862</v>
      </c>
    </row>
    <row r="2" spans="1:29">
      <c r="A2" s="45"/>
      <c r="B2" s="45"/>
      <c r="C2" s="45"/>
      <c r="D2" s="435" t="s">
        <v>510</v>
      </c>
      <c r="E2" s="436"/>
      <c r="F2" s="437"/>
      <c r="G2" s="437"/>
      <c r="H2" s="437"/>
      <c r="I2" s="438"/>
      <c r="K2" s="45"/>
      <c r="L2" s="45"/>
      <c r="M2" s="45" t="s">
        <v>511</v>
      </c>
      <c r="N2" s="411" t="s">
        <v>512</v>
      </c>
      <c r="O2" s="244" t="s">
        <v>513</v>
      </c>
      <c r="P2" s="244" t="s">
        <v>514</v>
      </c>
      <c r="Q2" s="244" t="s">
        <v>515</v>
      </c>
      <c r="R2" s="244" t="s">
        <v>516</v>
      </c>
      <c r="S2" s="244" t="s">
        <v>517</v>
      </c>
      <c r="T2" s="244" t="s">
        <v>518</v>
      </c>
      <c r="U2" s="244" t="s">
        <v>519</v>
      </c>
      <c r="V2" s="244" t="s">
        <v>520</v>
      </c>
      <c r="W2" s="244" t="s">
        <v>521</v>
      </c>
      <c r="X2" s="244" t="s">
        <v>522</v>
      </c>
      <c r="Y2" s="244" t="s">
        <v>523</v>
      </c>
      <c r="Z2" s="244" t="s">
        <v>524</v>
      </c>
      <c r="AA2" s="244" t="s">
        <v>525</v>
      </c>
      <c r="AB2" s="244" t="s">
        <v>526</v>
      </c>
      <c r="AC2" s="244" t="s">
        <v>527</v>
      </c>
    </row>
    <row r="3" spans="1:29">
      <c r="A3" s="43"/>
      <c r="B3" s="43"/>
      <c r="C3" s="43"/>
      <c r="D3" s="439" t="s">
        <v>528</v>
      </c>
      <c r="E3" s="440"/>
      <c r="F3" s="245"/>
      <c r="G3" s="441" t="s">
        <v>529</v>
      </c>
      <c r="H3" s="442"/>
      <c r="I3" s="246"/>
      <c r="K3" s="43"/>
      <c r="L3" s="92"/>
      <c r="M3" s="92" t="s">
        <v>530</v>
      </c>
      <c r="N3" s="412" t="n">
        <v>2101</v>
      </c>
      <c r="O3" s="248">
        <f>N3+N11/30</f>
        <v>2105</v>
      </c>
      <c r="P3" s="248">
        <f>O3+O11/30</f>
        <v>2113</v>
      </c>
      <c r="Q3" s="248">
        <f>P3+P11/30</f>
        <v>2123</v>
      </c>
      <c r="R3" s="248">
        <f>Q3+Q11/30</f>
        <v>2133</v>
      </c>
      <c r="S3" s="248">
        <f>R3+R11/30</f>
        <v>2142</v>
      </c>
      <c r="T3" s="248">
        <f>S3+S11/30</f>
        <v>2152</v>
      </c>
      <c r="U3" s="248">
        <f>T3+T11/30</f>
        <v>2160</v>
      </c>
      <c r="V3" s="248">
        <f>U3+U11/30</f>
        <v>2168</v>
      </c>
      <c r="W3" s="248">
        <f>V3+V11/30</f>
        <v>2176</v>
      </c>
      <c r="X3" s="248">
        <f>W3+W11/30</f>
        <v>2184</v>
      </c>
      <c r="Y3" s="248">
        <f>X3+X11/30</f>
        <v>2192</v>
      </c>
      <c r="Z3" s="248">
        <f>Y3+Y11/30</f>
        <v>2200</v>
      </c>
      <c r="AA3" s="248">
        <f>Z3+Z11/30</f>
        <v>2206</v>
      </c>
      <c r="AB3" s="248">
        <f>AA3+AA11/30</f>
        <v>2212</v>
      </c>
      <c r="AC3" s="248">
        <f>AB3+AB11/30</f>
        <v>2220</v>
      </c>
    </row>
    <row r="4" spans="1:29">
      <c r="A4" s="43"/>
      <c r="B4" s="43"/>
      <c r="C4" s="43"/>
      <c r="D4" s="249"/>
      <c r="E4" s="250"/>
      <c r="F4" s="251"/>
      <c r="G4" s="252"/>
      <c r="H4" s="251"/>
      <c r="I4" s="253"/>
      <c r="K4" s="254" t="s">
        <v>531</v>
      </c>
      <c r="L4" s="254"/>
      <c r="M4" s="255">
        <f>AD43-AD52</f>
        <v>11299694</v>
      </c>
      <c r="N4" s="419">
        <f>M4</f>
        <v>11299694</v>
      </c>
      <c r="O4" s="256">
        <f>N4-N13+N23</f>
        <v>10799694</v>
      </c>
      <c r="P4" s="256">
        <f>O4-O13+O23</f>
        <v>10299694</v>
      </c>
      <c r="Q4" s="256">
        <f>P4-P13+P23</f>
        <v>9799694</v>
      </c>
      <c r="R4" s="256">
        <f>Q4-Q13+Q23</f>
        <v>9299694</v>
      </c>
      <c r="S4" s="256">
        <f>R4-R13+R23</f>
        <v>8799694</v>
      </c>
      <c r="T4" s="256">
        <f>S4-S13+S23</f>
        <v>8299694</v>
      </c>
      <c r="U4" s="256">
        <f>T4-T13+T23</f>
        <v>7799694</v>
      </c>
      <c r="V4" s="256">
        <f>U4-U13+U23</f>
        <v>7299694</v>
      </c>
      <c r="W4" s="256">
        <f>V4-V13+V23</f>
        <v>6799694</v>
      </c>
      <c r="X4" s="256">
        <f>W4-W13+W23</f>
        <v>6299694</v>
      </c>
      <c r="Y4" s="256">
        <f>X4-X13+X23</f>
        <v>5799694</v>
      </c>
      <c r="Z4" s="256">
        <f>Y4-Y13+Y23</f>
        <v>5299694</v>
      </c>
      <c r="AA4" s="256">
        <f>Z4-Z13+Z23</f>
        <v>4799694</v>
      </c>
      <c r="AB4" s="256">
        <f>AA4-AA13+AA23</f>
        <v>4299694</v>
      </c>
      <c r="AC4" s="256">
        <f>AB4-AB13+AB23</f>
        <v>3799694</v>
      </c>
    </row>
    <row r="5" spans="1:29">
      <c r="A5" s="257"/>
      <c r="B5" s="257"/>
      <c r="C5" s="257"/>
      <c r="D5" s="249" t="s">
        <v>532</v>
      </c>
      <c r="E5" s="258">
        <f>SUM(E6:E8)</f>
        <v>6219750</v>
      </c>
      <c r="F5" s="259">
        <f>E5/E35</f>
        <v>0.0861900860316460005</v>
      </c>
      <c r="G5" s="249" t="s">
        <v>533</v>
      </c>
      <c r="H5" s="260">
        <f>H6+H7</f>
        <v>66666908</v>
      </c>
      <c r="I5" s="261">
        <f>H5/$H$74</f>
        <v>0.807643885578436027</v>
      </c>
      <c r="K5" s="262" t="s">
        <v>534</v>
      </c>
      <c r="L5" s="262"/>
      <c r="M5" s="263">
        <f>AD65</f>
        <v>10158019</v>
      </c>
      <c r="N5" s="419">
        <f>M5</f>
        <v>10158019</v>
      </c>
      <c r="O5" s="264">
        <f>N26</f>
        <v>10411148</v>
      </c>
      <c r="P5" s="264">
        <f>O26</f>
        <v>10724597.3843882997</v>
      </c>
      <c r="Q5" s="264">
        <f>P26</f>
        <v>11515350.6038045008</v>
      </c>
      <c r="R5" s="264">
        <f>Q26</f>
        <v>12026821.3066578992</v>
      </c>
      <c r="S5" s="264">
        <f>R26</f>
        <v>12648046.2951787002</v>
      </c>
      <c r="T5" s="264">
        <f>S26</f>
        <v>13310605.2456542999</v>
      </c>
      <c r="U5" s="264">
        <f>T26</f>
        <v>13605817.4978681002</v>
      </c>
      <c r="V5" s="264">
        <f>U26</f>
        <v>14273655.8160052001</v>
      </c>
      <c r="W5" s="264">
        <f>V26</f>
        <v>14543485.1780910995</v>
      </c>
      <c r="X5" s="264">
        <f>W26</f>
        <v>15201984.5841259006</v>
      </c>
      <c r="Y5" s="264">
        <f>X26</f>
        <v>15479739.0341094993</v>
      </c>
      <c r="Z5" s="264">
        <f>Y26</f>
        <v>15748516.5280418992</v>
      </c>
      <c r="AA5" s="264">
        <f>Z26</f>
        <v>16429515.0659232009</v>
      </c>
      <c r="AB5" s="264">
        <f>AA26</f>
        <v>17148047.6697277017</v>
      </c>
      <c r="AC5" s="264">
        <f>AB26</f>
        <v>17439369.3174811006</v>
      </c>
    </row>
    <row r="6" spans="1:29">
      <c r="A6" s="265" t="str">
        <f>L6</f>
        <v>Taquillas</v>
      </c>
      <c r="B6" s="266">
        <f>M6/$M$53</f>
        <v>0.200245185413906013</v>
      </c>
      <c r="D6" s="267" t="s">
        <v>535</v>
      </c>
      <c r="E6" s="268">
        <f>2231620+305380</f>
        <v>2537000</v>
      </c>
      <c r="F6" s="60">
        <f>E6/E35</f>
        <v>0.0351564368764479962</v>
      </c>
      <c r="G6" s="269" t="s">
        <v>536</v>
      </c>
      <c r="H6" s="270" t="n">
        <v>300000</v>
      </c>
      <c r="I6" s="271">
        <f>H6/$H$74</f>
        <v>0.00363438432863200056</v>
      </c>
      <c r="K6" s="272" t="s">
        <v>537</v>
      </c>
      <c r="L6" s="272" t="s">
        <v>537</v>
      </c>
      <c r="M6" s="273">
        <f>SUM(N6:AC6)</f>
        <v>3474771</v>
      </c>
      <c r="N6" s="413" t="n">
        <v>7904</v>
      </c>
      <c r="O6" s="274" t="n">
        <v>74243</v>
      </c>
      <c r="P6" s="274" t="n">
        <v>543126</v>
      </c>
      <c r="Q6" s="274" t="n">
        <v>259003</v>
      </c>
      <c r="R6" s="274">
        <f>29598+336329</f>
        <v>365927</v>
      </c>
      <c r="S6" s="274">
        <f>36229+369218</f>
        <v>405447</v>
      </c>
      <c r="T6" s="274" t="n">
        <v>37304</v>
      </c>
      <c r="U6" s="274">
        <f>400709+8561</f>
        <v>409270</v>
      </c>
      <c r="V6" s="274" t="n">
        <v>10821</v>
      </c>
      <c r="W6" s="274" t="n">
        <v>399051</v>
      </c>
      <c r="X6" s="274" t="n">
        <v>17866</v>
      </c>
      <c r="Y6" s="274" t="n">
        <v>8449</v>
      </c>
      <c r="Z6" s="274" t="n">
        <v>420290</v>
      </c>
      <c r="AA6" s="274" t="n">
        <v>457164</v>
      </c>
      <c r="AB6" s="274" t="n">
        <v>29453</v>
      </c>
      <c r="AC6" s="274" t="n">
        <v>29453</v>
      </c>
    </row>
    <row r="7" spans="1:29">
      <c r="A7" s="265" t="str">
        <f>L7</f>
        <v>Patrocinadores</v>
      </c>
      <c r="B7" s="266">
        <f>M7/$M$53</f>
        <v>0.110812959433615998</v>
      </c>
      <c r="D7" s="267" t="s">
        <v>403</v>
      </c>
      <c r="E7" s="268">
        <f>102000+300+2105000+1475000+450</f>
        <v>3682750</v>
      </c>
      <c r="F7" s="60">
        <f>E7/E35</f>
        <v>0.0510336491551980043</v>
      </c>
      <c r="G7" s="269" t="s">
        <v>538</v>
      </c>
      <c r="H7" s="270">
        <f>63754290+151930+937650+1523038</f>
        <v>66366908</v>
      </c>
      <c r="I7" s="271">
        <f>H7/$H$74</f>
        <v>0.804009501249803904</v>
      </c>
      <c r="K7" s="272" t="s">
        <v>539</v>
      </c>
      <c r="L7" s="272" t="s">
        <v>539</v>
      </c>
      <c r="M7" s="273">
        <f>SUM(N7:AC7)</f>
        <v>1922890.96523449989</v>
      </c>
      <c r="N7" s="414" t="n">
        <v>90655</v>
      </c>
      <c r="O7" s="275" t="n">
        <v>104516.384388324033</v>
      </c>
      <c r="P7" s="275" t="n">
        <v>112877.219416202002</v>
      </c>
      <c r="Q7" s="275" t="n">
        <v>117717.702853394541</v>
      </c>
      <c r="R7" s="275" t="n">
        <v>120577.988520826475</v>
      </c>
      <c r="S7" s="275" t="n">
        <v>122361.950475565725</v>
      </c>
      <c r="T7" s="275" t="n">
        <v>123218.252213840562</v>
      </c>
      <c r="U7" s="275" t="n">
        <v>123878.318137094073</v>
      </c>
      <c r="V7" s="275" t="n">
        <v>124318.362085929766</v>
      </c>
      <c r="W7" s="275" t="n">
        <v>124758.406034765445</v>
      </c>
      <c r="X7" s="275" t="n">
        <v>125198.449983601124</v>
      </c>
      <c r="Y7" s="275" t="n">
        <v>125638.493932436802</v>
      </c>
      <c r="Z7" s="275" t="n">
        <v>126078.537881272481</v>
      </c>
      <c r="AA7" s="275" t="n">
        <v>126738.603804526007</v>
      </c>
      <c r="AB7" s="275" t="n">
        <v>127178.647753361685</v>
      </c>
      <c r="AC7" s="275">
        <f>AB7</f>
        <v>127178.647753362005</v>
      </c>
    </row>
    <row r="8" spans="1:32">
      <c r="A8" s="265" t="str">
        <f>L8</f>
        <v>Ventas</v>
      </c>
      <c r="B8" s="266">
        <f>M8/$M$53</f>
        <v>0</v>
      </c>
      <c r="D8" s="276" t="s">
        <v>540</v>
      </c>
      <c r="E8" s="277" t="n">
        <v>0</v>
      </c>
      <c r="F8" s="60">
        <f>E8/E35</f>
        <v>0</v>
      </c>
      <c r="G8" s="278"/>
      <c r="H8" s="279"/>
      <c r="I8" s="261"/>
      <c r="K8" s="272" t="s">
        <v>541</v>
      </c>
      <c r="L8" s="272" t="s">
        <v>542</v>
      </c>
      <c r="M8" s="273">
        <f>SUM(N8:AC8)</f>
        <v>0</v>
      </c>
      <c r="N8" s="413" t="n">
        <v>0</v>
      </c>
      <c r="O8" s="274" t="n">
        <v>0</v>
      </c>
      <c r="P8" s="274" t="n">
        <v>0</v>
      </c>
      <c r="Q8" s="274" t="n">
        <v>0</v>
      </c>
      <c r="R8" s="274" t="n">
        <v>0</v>
      </c>
      <c r="S8" s="274" t="n">
        <v>0</v>
      </c>
      <c r="T8" s="274" t="n">
        <v>0</v>
      </c>
      <c r="U8" s="274" t="n">
        <v>0</v>
      </c>
      <c r="V8" s="274" t="n">
        <v>0</v>
      </c>
      <c r="W8" s="274" t="n">
        <v>0</v>
      </c>
      <c r="X8" s="274" t="n">
        <v>0</v>
      </c>
      <c r="Y8" s="274" t="n">
        <v>0</v>
      </c>
      <c r="Z8" s="274" t="n">
        <v>0</v>
      </c>
      <c r="AA8" s="274" t="n">
        <v>0</v>
      </c>
      <c r="AB8" s="274" t="n">
        <v>0</v>
      </c>
      <c r="AC8" s="274" t="n">
        <v>0</v>
      </c>
      <c r="AE8" s="279"/>
      <c r="AF8" s="279"/>
    </row>
    <row r="9" spans="1:29">
      <c r="A9" s="265" t="str">
        <f>L9</f>
        <v>VentasCantera</v>
      </c>
      <c r="B9" s="266">
        <f>M9/$M$53</f>
        <v>0</v>
      </c>
      <c r="D9" s="280"/>
      <c r="E9" s="250"/>
      <c r="F9" s="259"/>
      <c r="G9" s="278"/>
      <c r="H9" s="279"/>
      <c r="I9" s="261"/>
      <c r="K9" s="272"/>
      <c r="L9" s="272" t="s">
        <v>543</v>
      </c>
      <c r="M9" s="273">
        <f>SUM(N9:AC9)</f>
        <v>0</v>
      </c>
      <c r="N9" s="413" t="n">
        <v>0</v>
      </c>
      <c r="O9" s="274" t="n">
        <v>0</v>
      </c>
      <c r="P9" s="274" t="n">
        <v>0</v>
      </c>
      <c r="Q9" s="274" t="n">
        <v>0</v>
      </c>
      <c r="R9" s="274" t="n">
        <v>0</v>
      </c>
      <c r="S9" s="274" t="n">
        <v>0</v>
      </c>
      <c r="T9" s="274" t="n">
        <v>0</v>
      </c>
      <c r="U9" s="274" t="n">
        <v>0</v>
      </c>
      <c r="V9" s="274" t="n">
        <v>0</v>
      </c>
      <c r="W9" s="274" t="n">
        <v>0</v>
      </c>
      <c r="X9" s="274" t="n">
        <v>0</v>
      </c>
      <c r="Y9" s="274" t="n">
        <v>0</v>
      </c>
      <c r="Z9" s="274" t="n">
        <v>0</v>
      </c>
      <c r="AA9" s="274" t="n">
        <v>0</v>
      </c>
      <c r="AB9" s="274" t="n">
        <v>0</v>
      </c>
      <c r="AC9" s="274" t="n">
        <v>0</v>
      </c>
    </row>
    <row r="10" spans="1:29">
      <c r="A10" s="265" t="str">
        <f>L10</f>
        <v>Comisiones</v>
      </c>
      <c r="B10" s="266">
        <f>M10/$M$53</f>
        <v>0.00184410596647800027</v>
      </c>
      <c r="D10" s="249" t="s">
        <v>544</v>
      </c>
      <c r="E10" s="258">
        <f>E11+E12+E13</f>
        <v>3299694</v>
      </c>
      <c r="F10" s="259">
        <f>E10/E35</f>
        <v>0.045725456768858006</v>
      </c>
      <c r="G10" s="249" t="s">
        <v>545</v>
      </c>
      <c r="H10" s="260">
        <f>SUM(H11:H16)</f>
        <v>-364536.034765499993</v>
      </c>
      <c r="I10" s="261">
        <f>H10/$H$74</f>
        <v>-0.00441621350657799994</v>
      </c>
      <c r="K10" s="272" t="s">
        <v>546</v>
      </c>
      <c r="L10" s="272" t="s">
        <v>546</v>
      </c>
      <c r="M10" s="273">
        <f>SUM(N10:AC10)</f>
        <v>32000</v>
      </c>
      <c r="N10" s="414" t="n">
        <v>2000</v>
      </c>
      <c r="O10" s="275">
        <f>N10</f>
        <v>2000</v>
      </c>
      <c r="P10" s="275">
        <f>O10</f>
        <v>2000</v>
      </c>
      <c r="Q10" s="275">
        <f>P10</f>
        <v>2000</v>
      </c>
      <c r="R10" s="275">
        <f>Q10</f>
        <v>2000</v>
      </c>
      <c r="S10" s="275">
        <f>R10</f>
        <v>2000</v>
      </c>
      <c r="T10" s="275">
        <f>S10</f>
        <v>2000</v>
      </c>
      <c r="U10" s="275">
        <f>T10</f>
        <v>2000</v>
      </c>
      <c r="V10" s="275">
        <f>U10</f>
        <v>2000</v>
      </c>
      <c r="W10" s="275">
        <f>V10</f>
        <v>2000</v>
      </c>
      <c r="X10" s="275">
        <f>W10</f>
        <v>2000</v>
      </c>
      <c r="Y10" s="275">
        <f>X10</f>
        <v>2000</v>
      </c>
      <c r="Z10" s="275">
        <f>Y10</f>
        <v>2000</v>
      </c>
      <c r="AA10" s="275">
        <f>Z10</f>
        <v>2000</v>
      </c>
      <c r="AB10" s="275">
        <f>AA10</f>
        <v>2000</v>
      </c>
      <c r="AC10" s="275">
        <f>AB10</f>
        <v>2000</v>
      </c>
    </row>
    <row r="11" spans="1:29">
      <c r="A11" s="265" t="str">
        <f>L11</f>
        <v>Nuevos Socios</v>
      </c>
      <c r="B11" s="266">
        <f>M11/$M$53</f>
        <v>0.00383816079935499985</v>
      </c>
      <c r="D11" s="281" t="s">
        <v>547</v>
      </c>
      <c r="E11" s="282">
        <f>N4</f>
        <v>11299694</v>
      </c>
      <c r="F11" s="60">
        <f>E11/E35</f>
        <v>0.156585328669363015</v>
      </c>
      <c r="G11" s="283" t="s">
        <v>548</v>
      </c>
      <c r="H11" s="284" t="n">
        <v>0</v>
      </c>
      <c r="I11" s="271">
        <f>H11/$H$74</f>
        <v>0</v>
      </c>
      <c r="K11" s="443" t="s">
        <v>549</v>
      </c>
      <c r="L11" s="272" t="s">
        <v>550</v>
      </c>
      <c r="M11" s="273">
        <f>SUM(N11:AC11)</f>
        <v>66602</v>
      </c>
      <c r="N11" s="414" t="n">
        <v>120</v>
      </c>
      <c r="O11" s="275" t="n">
        <v>240</v>
      </c>
      <c r="P11" s="275" t="n">
        <v>300</v>
      </c>
      <c r="Q11" s="275" t="n">
        <v>300</v>
      </c>
      <c r="R11" s="275" t="n">
        <v>270</v>
      </c>
      <c r="S11" s="275" t="n">
        <v>300</v>
      </c>
      <c r="T11" s="275" t="n">
        <v>240</v>
      </c>
      <c r="U11" s="275" t="n">
        <v>240</v>
      </c>
      <c r="V11" s="275" t="n">
        <v>240</v>
      </c>
      <c r="W11" s="275" t="n">
        <v>240</v>
      </c>
      <c r="X11" s="275">
        <f>W11</f>
        <v>240</v>
      </c>
      <c r="Y11" s="275">
        <f>X11</f>
        <v>240</v>
      </c>
      <c r="Z11" s="275" t="n">
        <v>180</v>
      </c>
      <c r="AA11" s="275" t="n">
        <v>180</v>
      </c>
      <c r="AB11" s="275" t="n">
        <v>240</v>
      </c>
      <c r="AC11" s="275">
        <f>57032+5730+150+120</f>
        <v>63032</v>
      </c>
    </row>
    <row r="12" spans="1:29">
      <c r="A12" s="265" t="str">
        <f>L12</f>
        <v>Premios</v>
      </c>
      <c r="B12" s="266">
        <f>M12/$M$53</f>
        <v>0</v>
      </c>
      <c r="D12" s="281" t="str">
        <f>L13</f>
        <v>Ing Reservas</v>
      </c>
      <c r="E12" s="349">
        <f>M13*-1</f>
        <v>-8000000</v>
      </c>
      <c r="F12" s="60">
        <f>E12/E35</f>
        <v>-0.110859871900504992</v>
      </c>
      <c r="G12" s="283" t="s">
        <v>551</v>
      </c>
      <c r="H12" s="284" t="n">
        <v>0</v>
      </c>
      <c r="I12" s="271">
        <f>H12/$H$74</f>
        <v>0</v>
      </c>
      <c r="K12" s="444"/>
      <c r="L12" s="272" t="s">
        <v>552</v>
      </c>
      <c r="M12" s="273">
        <f>SUM(N12:AC12)</f>
        <v>0</v>
      </c>
      <c r="N12" s="414" t="n">
        <v>0</v>
      </c>
      <c r="O12" s="275" t="n">
        <v>0</v>
      </c>
      <c r="P12" s="275" t="n">
        <v>0</v>
      </c>
      <c r="Q12" s="275" t="n">
        <v>0</v>
      </c>
      <c r="R12" s="275" t="n">
        <v>0</v>
      </c>
      <c r="S12" s="275" t="n">
        <v>0</v>
      </c>
      <c r="T12" s="275" t="n">
        <v>0</v>
      </c>
      <c r="U12" s="275" t="n">
        <v>0</v>
      </c>
      <c r="V12" s="275" t="n">
        <v>0</v>
      </c>
      <c r="W12" s="275" t="n">
        <v>0</v>
      </c>
      <c r="X12" s="275" t="n">
        <v>0</v>
      </c>
      <c r="Y12" s="275" t="n">
        <v>0</v>
      </c>
      <c r="Z12" s="275" t="n">
        <v>0</v>
      </c>
      <c r="AA12" s="275" t="n">
        <v>0</v>
      </c>
      <c r="AB12" s="275" t="n">
        <v>0</v>
      </c>
      <c r="AC12" s="275" t="n">
        <v>0</v>
      </c>
    </row>
    <row r="13" spans="1:37">
      <c r="A13" s="265" t="str">
        <f>L13</f>
        <v>Ing Reservas</v>
      </c>
      <c r="B13" s="266">
        <f>M13/$M$53</f>
        <v>0.461026491619518008</v>
      </c>
      <c r="C13" s="285"/>
      <c r="D13" s="281" t="str">
        <f>L23</f>
        <v>Pago Reservas</v>
      </c>
      <c r="E13" s="282">
        <f>M23</f>
        <v>0</v>
      </c>
      <c r="F13" s="60">
        <f>E13/E35</f>
        <v>0</v>
      </c>
      <c r="G13" s="283" t="s">
        <v>553</v>
      </c>
      <c r="H13" s="284" t="n">
        <v>0</v>
      </c>
      <c r="I13" s="271">
        <f>H13/$H$74</f>
        <v>0</v>
      </c>
      <c r="J13" s="286"/>
      <c r="K13" s="445"/>
      <c r="L13" s="272" t="s">
        <v>554</v>
      </c>
      <c r="M13" s="273">
        <f>SUM(N13:AC13)</f>
        <v>8000000</v>
      </c>
      <c r="N13" s="414" t="n">
        <v>500000</v>
      </c>
      <c r="O13" s="275">
        <f>N13</f>
        <v>500000</v>
      </c>
      <c r="P13" s="275">
        <f>O13</f>
        <v>500000</v>
      </c>
      <c r="Q13" s="275">
        <f>P13</f>
        <v>500000</v>
      </c>
      <c r="R13" s="275">
        <f>Q13</f>
        <v>500000</v>
      </c>
      <c r="S13" s="275">
        <f>R13</f>
        <v>500000</v>
      </c>
      <c r="T13" s="275">
        <f>S13</f>
        <v>500000</v>
      </c>
      <c r="U13" s="275">
        <f>T13</f>
        <v>500000</v>
      </c>
      <c r="V13" s="275">
        <f>U13</f>
        <v>500000</v>
      </c>
      <c r="W13" s="275">
        <f>V13</f>
        <v>500000</v>
      </c>
      <c r="X13" s="275">
        <f>W13</f>
        <v>500000</v>
      </c>
      <c r="Y13" s="275">
        <f>X13</f>
        <v>500000</v>
      </c>
      <c r="Z13" s="275">
        <f>Y13</f>
        <v>500000</v>
      </c>
      <c r="AA13" s="275">
        <f>Z13</f>
        <v>500000</v>
      </c>
      <c r="AB13" s="275">
        <f>AA13</f>
        <v>500000</v>
      </c>
      <c r="AC13" s="275">
        <f>AB13</f>
        <v>500000</v>
      </c>
      <c r="AD13" s="286"/>
      <c r="AE13" s="286"/>
      <c r="AF13" s="286"/>
      <c r="AG13" s="286"/>
      <c r="AH13" s="286"/>
      <c r="AI13" s="286"/>
      <c r="AJ13" s="286"/>
      <c r="AK13" s="286"/>
    </row>
    <row r="14" spans="1:29">
      <c r="A14" s="285"/>
      <c r="B14" s="287">
        <f>SUM(B6:B13)</f>
        <v>0.77776690323287303</v>
      </c>
      <c r="D14" s="280"/>
      <c r="E14" s="288"/>
      <c r="G14" s="283" t="s">
        <v>555</v>
      </c>
      <c r="H14" s="284" t="n">
        <v>0</v>
      </c>
      <c r="I14" s="271">
        <f>H14/$H$74</f>
        <v>0</v>
      </c>
      <c r="K14" s="289" t="s">
        <v>556</v>
      </c>
      <c r="L14" s="290"/>
      <c r="M14" s="291">
        <f>SUM(N14:AC14)</f>
        <v>13496263.9652344994</v>
      </c>
      <c r="N14" s="415">
        <f>SUM(N6:N13)</f>
        <v>600679</v>
      </c>
      <c r="O14" s="292">
        <f>SUM(O6:O13)</f>
        <v>680999.38438832399</v>
      </c>
      <c r="P14" s="292">
        <f>SUM(P6:P13)</f>
        <v>1158303.21941619995</v>
      </c>
      <c r="Q14" s="292">
        <f>SUM(Q6:Q13)</f>
        <v>879020.702853395022</v>
      </c>
      <c r="R14" s="292">
        <f>SUM(R6:R13)</f>
        <v>988774.988520827028</v>
      </c>
      <c r="S14" s="292">
        <f>SUM(S6:S13)</f>
        <v>1030108.95047557005</v>
      </c>
      <c r="T14" s="292">
        <f>SUM(T6:T13)</f>
        <v>662762.252213840955</v>
      </c>
      <c r="U14" s="292">
        <f>SUM(U6:U13)</f>
        <v>1035388.31813708995</v>
      </c>
      <c r="V14" s="292">
        <f>SUM(V6:V13)</f>
        <v>637379.362085929955</v>
      </c>
      <c r="W14" s="292">
        <f>SUM(W6:W13)</f>
        <v>1026049.40603476996</v>
      </c>
      <c r="X14" s="292">
        <f>SUM(X6:X13)</f>
        <v>645304.449983600993</v>
      </c>
      <c r="Y14" s="292">
        <f>SUM(Y6:Y13)</f>
        <v>636327.493932437035</v>
      </c>
      <c r="Z14" s="292">
        <f>SUM(Z6:Z13)</f>
        <v>1048548.53788127005</v>
      </c>
      <c r="AA14" s="292">
        <f>SUM(AA6:AA13)</f>
        <v>1086082.60380453011</v>
      </c>
      <c r="AB14" s="292">
        <f>SUM(AB6:AB13)</f>
        <v>658871.647753361962</v>
      </c>
      <c r="AC14" s="292">
        <f>SUM(AC6:AC13)</f>
        <v>721663.647753361962</v>
      </c>
    </row>
    <row r="15" spans="1:29">
      <c r="A15" s="426">
        <f>M14</f>
        <v>13496263.9652344994</v>
      </c>
      <c r="B15" s="426"/>
      <c r="D15" s="249" t="s">
        <v>557</v>
      </c>
      <c r="E15" s="258">
        <f>SUM(E16:E19)</f>
        <v>38989445</v>
      </c>
      <c r="F15" s="259">
        <f>E15/E35</f>
        <v>0.540295609771471952</v>
      </c>
      <c r="G15" s="283" t="s">
        <v>558</v>
      </c>
      <c r="H15" s="284" t="n">
        <v>0</v>
      </c>
      <c r="I15" s="271">
        <f>H15/$H$74</f>
        <v>0</v>
      </c>
      <c r="K15" s="293" t="s">
        <v>395</v>
      </c>
      <c r="L15" s="294" t="str">
        <f>K15</f>
        <v>Sueldos</v>
      </c>
      <c r="M15" s="295">
        <f>SUM(N15:AC15)</f>
        <v>3934400</v>
      </c>
      <c r="N15" s="416">
        <f>AD54</f>
        <v>227150</v>
      </c>
      <c r="O15" s="296">
        <f>N15+20000</f>
        <v>247150</v>
      </c>
      <c r="P15" s="296">
        <f>O15</f>
        <v>247150</v>
      </c>
      <c r="Q15" s="296">
        <f>P15</f>
        <v>247150</v>
      </c>
      <c r="R15" s="296">
        <f>Q15</f>
        <v>247150</v>
      </c>
      <c r="S15" s="296">
        <f>R15</f>
        <v>247150</v>
      </c>
      <c r="T15" s="296">
        <f>S15</f>
        <v>247150</v>
      </c>
      <c r="U15" s="296">
        <f>T15</f>
        <v>247150</v>
      </c>
      <c r="V15" s="296">
        <f>U15</f>
        <v>247150</v>
      </c>
      <c r="W15" s="296">
        <f>V15</f>
        <v>247150</v>
      </c>
      <c r="X15" s="296">
        <f>W15</f>
        <v>247150</v>
      </c>
      <c r="Y15" s="296">
        <f>X15</f>
        <v>247150</v>
      </c>
      <c r="Z15" s="296">
        <f>Y15</f>
        <v>247150</v>
      </c>
      <c r="AA15" s="296">
        <f>Z15</f>
        <v>247150</v>
      </c>
      <c r="AB15" s="296">
        <f>AA15</f>
        <v>247150</v>
      </c>
      <c r="AC15" s="296">
        <f>AB15</f>
        <v>247150</v>
      </c>
    </row>
    <row r="16" spans="4:29">
      <c r="D16" s="281" t="s">
        <v>559</v>
      </c>
      <c r="E16" s="282">
        <f>E55</f>
        <v>0</v>
      </c>
      <c r="F16" s="60">
        <f>E16/E35</f>
        <v>0</v>
      </c>
      <c r="G16" s="297" t="s">
        <v>560</v>
      </c>
      <c r="H16" s="298">
        <f>E29-H26</f>
        <v>-364536.034765499993</v>
      </c>
      <c r="I16" s="271">
        <f>H16/$H$74</f>
        <v>-0.00441621350657799994</v>
      </c>
      <c r="K16" s="293" t="s">
        <v>561</v>
      </c>
      <c r="L16" s="294" t="str">
        <f>K16</f>
        <v>Mantenimiento </v>
      </c>
      <c r="M16" s="295">
        <f>SUM(N16:AC16)</f>
        <v>465920</v>
      </c>
      <c r="N16" s="416" t="n">
        <v>29120</v>
      </c>
      <c r="O16" s="296">
        <f>N16</f>
        <v>29120</v>
      </c>
      <c r="P16" s="296">
        <f>O16</f>
        <v>29120</v>
      </c>
      <c r="Q16" s="296">
        <f>P16</f>
        <v>29120</v>
      </c>
      <c r="R16" s="296">
        <f>Q16</f>
        <v>29120</v>
      </c>
      <c r="S16" s="296">
        <f>R16</f>
        <v>29120</v>
      </c>
      <c r="T16" s="296">
        <f>S16</f>
        <v>29120</v>
      </c>
      <c r="U16" s="296">
        <f>T16</f>
        <v>29120</v>
      </c>
      <c r="V16" s="296">
        <f>U16</f>
        <v>29120</v>
      </c>
      <c r="W16" s="296">
        <f>V16</f>
        <v>29120</v>
      </c>
      <c r="X16" s="296">
        <f>W16</f>
        <v>29120</v>
      </c>
      <c r="Y16" s="296">
        <f>X16</f>
        <v>29120</v>
      </c>
      <c r="Z16" s="296">
        <f>Y16</f>
        <v>29120</v>
      </c>
      <c r="AA16" s="296">
        <f>Z16</f>
        <v>29120</v>
      </c>
      <c r="AB16" s="296">
        <f>AA16</f>
        <v>29120</v>
      </c>
      <c r="AC16" s="296">
        <f>AB16</f>
        <v>29120</v>
      </c>
    </row>
    <row r="17" spans="4:29" ht="20.25" customHeight="1">
      <c r="D17" s="281" t="s">
        <v>557</v>
      </c>
      <c r="E17" s="282">
        <f>14003+1100+450+378420+6200+2100000+19100+99021+350+895000+8000+1838000+8434+5000+1570248+4162000+13170</f>
        <v>11118496</v>
      </c>
      <c r="F17" s="60">
        <f>E17/E35</f>
        <v>0.154074380285783992</v>
      </c>
      <c r="G17" s="280"/>
      <c r="H17" s="279"/>
      <c r="I17" s="299"/>
      <c r="K17" s="293" t="s">
        <v>562</v>
      </c>
      <c r="L17" s="294" t="s">
        <v>535</v>
      </c>
      <c r="M17" s="295">
        <f>SUM(N17:AC17)</f>
        <v>0</v>
      </c>
      <c r="N17" s="416" t="n">
        <v>0</v>
      </c>
      <c r="O17" s="296" t="n">
        <v>0</v>
      </c>
      <c r="P17" s="296" t="n">
        <v>0</v>
      </c>
      <c r="Q17" s="296" t="n">
        <v>0</v>
      </c>
      <c r="R17" s="296" t="n">
        <v>0</v>
      </c>
      <c r="S17" s="296" t="n">
        <v>0</v>
      </c>
      <c r="T17" s="296" t="n">
        <v>0</v>
      </c>
      <c r="U17" s="296" t="n">
        <v>0</v>
      </c>
      <c r="V17" s="296" t="n">
        <v>0</v>
      </c>
      <c r="W17" s="296" t="n">
        <v>0</v>
      </c>
      <c r="X17" s="296" t="n">
        <v>0</v>
      </c>
      <c r="Y17" s="296" t="n">
        <v>0</v>
      </c>
      <c r="Z17" s="296" t="n">
        <v>0</v>
      </c>
      <c r="AA17" s="296" t="n">
        <v>0</v>
      </c>
      <c r="AB17" s="296" t="n">
        <v>0</v>
      </c>
      <c r="AC17" s="296" t="n">
        <v>0</v>
      </c>
    </row>
    <row r="18" spans="4:29">
      <c r="D18" s="281" t="s">
        <v>563</v>
      </c>
      <c r="E18" s="282">
        <f>7000000+19000+600000+4000+496109+4000+1530000+5500+3450000+10000+2500000+5000+3600000+15000+3869000+5000+245000+2000+4500000+11340</f>
        <v>27870949</v>
      </c>
      <c r="F18" s="60">
        <f>E18/E35</f>
        <v>0.386221229485687978</v>
      </c>
      <c r="G18" s="249" t="s">
        <v>564</v>
      </c>
      <c r="H18" s="300">
        <f>H19</f>
        <v>0</v>
      </c>
      <c r="I18" s="261">
        <f>H18/$H$74</f>
        <v>0</v>
      </c>
      <c r="K18" s="293" t="s">
        <v>565</v>
      </c>
      <c r="L18" s="294" t="str">
        <f>K18</f>
        <v>Empleados</v>
      </c>
      <c r="M18" s="295">
        <f>SUM(N18:AC18)</f>
        <v>1044480</v>
      </c>
      <c r="N18" s="416" t="n">
        <v>65280</v>
      </c>
      <c r="O18" s="296">
        <f>N18</f>
        <v>65280</v>
      </c>
      <c r="P18" s="296">
        <f>O18</f>
        <v>65280</v>
      </c>
      <c r="Q18" s="296">
        <f>P18</f>
        <v>65280</v>
      </c>
      <c r="R18" s="296">
        <f>Q18</f>
        <v>65280</v>
      </c>
      <c r="S18" s="296">
        <f>R18</f>
        <v>65280</v>
      </c>
      <c r="T18" s="296">
        <f>S18</f>
        <v>65280</v>
      </c>
      <c r="U18" s="296">
        <f>T18</f>
        <v>65280</v>
      </c>
      <c r="V18" s="296">
        <f>U18</f>
        <v>65280</v>
      </c>
      <c r="W18" s="296">
        <f>V18</f>
        <v>65280</v>
      </c>
      <c r="X18" s="296">
        <f>W18</f>
        <v>65280</v>
      </c>
      <c r="Y18" s="296">
        <f>X18</f>
        <v>65280</v>
      </c>
      <c r="Z18" s="296">
        <f>Y18</f>
        <v>65280</v>
      </c>
      <c r="AA18" s="296">
        <f>Z18</f>
        <v>65280</v>
      </c>
      <c r="AB18" s="296">
        <f>AA18</f>
        <v>65280</v>
      </c>
      <c r="AC18" s="296">
        <f>AB18</f>
        <v>65280</v>
      </c>
    </row>
    <row r="19" spans="4:29">
      <c r="D19" s="281" t="s">
        <v>566</v>
      </c>
      <c r="E19" s="282" t="n">
        <v>0</v>
      </c>
      <c r="F19" s="60">
        <f>E19/E35</f>
        <v>0</v>
      </c>
      <c r="G19" s="301" t="s">
        <v>567</v>
      </c>
      <c r="H19" s="302">
        <f>M20</f>
        <v>0</v>
      </c>
      <c r="I19" s="271">
        <f>H19/$H$74</f>
        <v>0</v>
      </c>
      <c r="K19" s="293" t="s">
        <v>568</v>
      </c>
      <c r="L19" s="294" t="str">
        <f>K19</f>
        <v>Juveniles</v>
      </c>
      <c r="M19" s="295">
        <f>SUM(N19:AC19)</f>
        <v>320000</v>
      </c>
      <c r="N19" s="416" t="n">
        <v>20000</v>
      </c>
      <c r="O19" s="296">
        <f>N19</f>
        <v>20000</v>
      </c>
      <c r="P19" s="296">
        <f>O19</f>
        <v>20000</v>
      </c>
      <c r="Q19" s="296">
        <f>P19</f>
        <v>20000</v>
      </c>
      <c r="R19" s="296">
        <f>Q19</f>
        <v>20000</v>
      </c>
      <c r="S19" s="296">
        <f>R19</f>
        <v>20000</v>
      </c>
      <c r="T19" s="296">
        <f>S19</f>
        <v>20000</v>
      </c>
      <c r="U19" s="296">
        <f>T19</f>
        <v>20000</v>
      </c>
      <c r="V19" s="296">
        <f>U19</f>
        <v>20000</v>
      </c>
      <c r="W19" s="296">
        <f>V19</f>
        <v>20000</v>
      </c>
      <c r="X19" s="296">
        <f>W19</f>
        <v>20000</v>
      </c>
      <c r="Y19" s="296">
        <f>X19</f>
        <v>20000</v>
      </c>
      <c r="Z19" s="296">
        <f>Y19</f>
        <v>20000</v>
      </c>
      <c r="AA19" s="296">
        <f>Z19</f>
        <v>20000</v>
      </c>
      <c r="AB19" s="296">
        <f>AA19</f>
        <v>20000</v>
      </c>
      <c r="AC19" s="296">
        <f>AB19</f>
        <v>20000</v>
      </c>
    </row>
    <row r="20" spans="4:29" ht="20.25" customHeight="1">
      <c r="D20" s="280"/>
      <c r="E20" s="288"/>
      <c r="G20" s="278"/>
      <c r="H20" s="279"/>
      <c r="I20" s="271"/>
      <c r="K20" s="293" t="s">
        <v>569</v>
      </c>
      <c r="L20" s="294" t="s">
        <v>567</v>
      </c>
      <c r="M20" s="295">
        <f>SUM(N20:AC20)</f>
        <v>0</v>
      </c>
      <c r="N20" s="416" t="n">
        <v>0</v>
      </c>
      <c r="O20" s="296" t="n">
        <v>0</v>
      </c>
      <c r="P20" s="296">
        <f>O20</f>
        <v>0</v>
      </c>
      <c r="Q20" s="296">
        <f>P20</f>
        <v>0</v>
      </c>
      <c r="R20" s="296">
        <f>Q20</f>
        <v>0</v>
      </c>
      <c r="S20" s="296">
        <f>R20</f>
        <v>0</v>
      </c>
      <c r="T20" s="296">
        <f>S20</f>
        <v>0</v>
      </c>
      <c r="U20" s="296" t="n">
        <v>0</v>
      </c>
      <c r="V20" s="296" t="n">
        <v>0</v>
      </c>
      <c r="W20" s="296" t="n">
        <v>0</v>
      </c>
      <c r="X20" s="296" t="n">
        <v>0</v>
      </c>
      <c r="Y20" s="296">
        <f>X20</f>
        <v>0</v>
      </c>
      <c r="Z20" s="296">
        <f>Y20</f>
        <v>0</v>
      </c>
      <c r="AA20" s="296" t="n">
        <v>0</v>
      </c>
      <c r="AB20" s="296" t="n">
        <v>0</v>
      </c>
      <c r="AC20" s="296" t="n">
        <v>0</v>
      </c>
    </row>
    <row r="21" spans="4:29">
      <c r="D21" s="249" t="s">
        <v>542</v>
      </c>
      <c r="E21" s="303">
        <f>E22</f>
        <v>0</v>
      </c>
      <c r="F21" s="259">
        <f>E21/E35</f>
        <v>0</v>
      </c>
      <c r="G21" s="278"/>
      <c r="H21" s="279"/>
      <c r="I21" s="271"/>
      <c r="K21" s="427" t="s">
        <v>549</v>
      </c>
      <c r="L21" s="294" t="s">
        <v>403</v>
      </c>
      <c r="M21" s="295">
        <f>SUM(N21:AC21)</f>
        <v>0</v>
      </c>
      <c r="N21" s="416" t="n">
        <v>0</v>
      </c>
      <c r="O21" s="296">
        <f>N21</f>
        <v>0</v>
      </c>
      <c r="P21" s="296">
        <f>O21</f>
        <v>0</v>
      </c>
      <c r="Q21" s="296">
        <f>P21</f>
        <v>0</v>
      </c>
      <c r="R21" s="296">
        <f>Q21</f>
        <v>0</v>
      </c>
      <c r="S21" s="296">
        <f>R21</f>
        <v>0</v>
      </c>
      <c r="T21" s="296">
        <f>S21</f>
        <v>0</v>
      </c>
      <c r="U21" s="296">
        <f>T21</f>
        <v>0</v>
      </c>
      <c r="V21" s="296">
        <f>U21</f>
        <v>0</v>
      </c>
      <c r="W21" s="296">
        <f>V21</f>
        <v>0</v>
      </c>
      <c r="X21" s="296">
        <f>W21</f>
        <v>0</v>
      </c>
      <c r="Y21" s="296">
        <f>X21</f>
        <v>0</v>
      </c>
      <c r="Z21" s="296">
        <f>Y21</f>
        <v>0</v>
      </c>
      <c r="AA21" s="296" t="n">
        <v>0</v>
      </c>
      <c r="AB21" s="296">
        <f>AA21</f>
        <v>0</v>
      </c>
      <c r="AC21" s="296">
        <f>AB21</f>
        <v>0</v>
      </c>
    </row>
    <row r="22" spans="4:29">
      <c r="D22" s="281" t="s">
        <v>542</v>
      </c>
      <c r="E22" s="282">
        <f>M8+M9</f>
        <v>0</v>
      </c>
      <c r="F22" s="60">
        <f>E22/E35</f>
        <v>0</v>
      </c>
      <c r="G22" s="249" t="s">
        <v>570</v>
      </c>
      <c r="H22" s="260">
        <f>SUM(H23:H24)</f>
        <v>0</v>
      </c>
      <c r="I22" s="261">
        <f>H22/$H$74</f>
        <v>0</v>
      </c>
      <c r="K22" s="428"/>
      <c r="L22" s="294" t="s">
        <v>571</v>
      </c>
      <c r="M22" s="295">
        <f>SUM(N22:AC22)</f>
        <v>96000</v>
      </c>
      <c r="N22" s="416" t="n">
        <v>6000</v>
      </c>
      <c r="O22" s="296">
        <f>N22</f>
        <v>6000</v>
      </c>
      <c r="P22" s="296">
        <f>O22</f>
        <v>6000</v>
      </c>
      <c r="Q22" s="296">
        <f>P22</f>
        <v>6000</v>
      </c>
      <c r="R22" s="296">
        <f>Q22</f>
        <v>6000</v>
      </c>
      <c r="S22" s="296">
        <f>R22</f>
        <v>6000</v>
      </c>
      <c r="T22" s="296">
        <f>S22</f>
        <v>6000</v>
      </c>
      <c r="U22" s="296">
        <f>T22</f>
        <v>6000</v>
      </c>
      <c r="V22" s="296">
        <f>U22</f>
        <v>6000</v>
      </c>
      <c r="W22" s="296">
        <f>V22</f>
        <v>6000</v>
      </c>
      <c r="X22" s="296">
        <f>W22</f>
        <v>6000</v>
      </c>
      <c r="Y22" s="296">
        <f>X22</f>
        <v>6000</v>
      </c>
      <c r="Z22" s="296">
        <f>Y22</f>
        <v>6000</v>
      </c>
      <c r="AA22" s="296">
        <f>Z22</f>
        <v>6000</v>
      </c>
      <c r="AB22" s="296">
        <f>AA22</f>
        <v>6000</v>
      </c>
      <c r="AC22" s="296">
        <f>AB22</f>
        <v>6000</v>
      </c>
    </row>
    <row r="23" spans="3:29">
      <c r="C23" s="304"/>
      <c r="D23" s="280"/>
      <c r="E23" s="288"/>
      <c r="G23" s="301" t="s">
        <v>535</v>
      </c>
      <c r="H23" s="305">
        <f>M17</f>
        <v>0</v>
      </c>
      <c r="I23" s="271">
        <f>H23/$H$74</f>
        <v>0</v>
      </c>
      <c r="K23" s="429"/>
      <c r="L23" s="294" t="s">
        <v>572</v>
      </c>
      <c r="M23" s="295">
        <f>SUM(N23:AC23)</f>
        <v>0</v>
      </c>
      <c r="N23" s="416" t="n">
        <v>0</v>
      </c>
      <c r="O23" s="296">
        <f>N23</f>
        <v>0</v>
      </c>
      <c r="P23" s="296">
        <f>O23</f>
        <v>0</v>
      </c>
      <c r="Q23" s="296">
        <f>P23</f>
        <v>0</v>
      </c>
      <c r="R23" s="296">
        <f>Q23</f>
        <v>0</v>
      </c>
      <c r="S23" s="296">
        <f>R23</f>
        <v>0</v>
      </c>
      <c r="T23" s="296">
        <f>S23</f>
        <v>0</v>
      </c>
      <c r="U23" s="296">
        <f>T23</f>
        <v>0</v>
      </c>
      <c r="V23" s="296">
        <f>U23</f>
        <v>0</v>
      </c>
      <c r="W23" s="296">
        <f>V23</f>
        <v>0</v>
      </c>
      <c r="X23" s="296">
        <f>W23</f>
        <v>0</v>
      </c>
      <c r="Y23" s="296">
        <f>X23</f>
        <v>0</v>
      </c>
      <c r="Z23" s="296">
        <f>Y23</f>
        <v>0</v>
      </c>
      <c r="AA23" s="296" t="n">
        <v>0</v>
      </c>
      <c r="AB23" s="296">
        <f>AA23</f>
        <v>0</v>
      </c>
      <c r="AC23" s="296">
        <f>AB23</f>
        <v>0</v>
      </c>
    </row>
    <row r="24" spans="1:29">
      <c r="A24" s="306" t="str">
        <f>L15</f>
        <v>Sueldos</v>
      </c>
      <c r="B24" s="307">
        <f>M15/$M$64</f>
        <v>0.247789050802423994</v>
      </c>
      <c r="C24" s="257"/>
      <c r="D24" s="249" t="s">
        <v>573</v>
      </c>
      <c r="E24" s="258">
        <f>E25+E26-E27</f>
        <v>18158019</v>
      </c>
      <c r="F24" s="259">
        <f>E24/E35</f>
        <v>0.251624457538366997</v>
      </c>
      <c r="G24" s="301" t="s">
        <v>403</v>
      </c>
      <c r="H24" s="305">
        <f>M21</f>
        <v>0</v>
      </c>
      <c r="I24" s="271">
        <f>H24/$H$74</f>
        <v>0</v>
      </c>
      <c r="K24" s="293" t="s">
        <v>574</v>
      </c>
      <c r="L24" s="294" t="str">
        <f>K24</f>
        <v>Intereses</v>
      </c>
      <c r="M24" s="295">
        <f>SUM(N24:AC24)</f>
        <v>0</v>
      </c>
      <c r="N24" s="416" t="n">
        <v>0</v>
      </c>
      <c r="O24" s="296">
        <f>N24</f>
        <v>0</v>
      </c>
      <c r="P24" s="296">
        <f>O24</f>
        <v>0</v>
      </c>
      <c r="Q24" s="296">
        <f>P24</f>
        <v>0</v>
      </c>
      <c r="R24" s="296">
        <f>Q24</f>
        <v>0</v>
      </c>
      <c r="S24" s="296">
        <f>R24</f>
        <v>0</v>
      </c>
      <c r="T24" s="296">
        <f>S24</f>
        <v>0</v>
      </c>
      <c r="U24" s="296">
        <f>T24</f>
        <v>0</v>
      </c>
      <c r="V24" s="296">
        <f>U24</f>
        <v>0</v>
      </c>
      <c r="W24" s="296">
        <f>V24</f>
        <v>0</v>
      </c>
      <c r="X24" s="296">
        <f>W24</f>
        <v>0</v>
      </c>
      <c r="Y24" s="296">
        <f>X24</f>
        <v>0</v>
      </c>
      <c r="Z24" s="296">
        <f>Y24</f>
        <v>0</v>
      </c>
      <c r="AA24" s="296" t="n">
        <v>0</v>
      </c>
      <c r="AB24" s="296">
        <f>AA24</f>
        <v>0</v>
      </c>
      <c r="AC24" s="296">
        <f>AB24</f>
        <v>0</v>
      </c>
    </row>
    <row r="25" spans="1:29">
      <c r="A25" s="306" t="str">
        <f>L16</f>
        <v>Mantenimiento </v>
      </c>
      <c r="B25" s="307">
        <f>M16/$M$64</f>
        <v>0.029343705406127004</v>
      </c>
      <c r="C25" s="241"/>
      <c r="D25" s="283" t="s">
        <v>575</v>
      </c>
      <c r="E25" s="308">
        <f>N5</f>
        <v>10158019</v>
      </c>
      <c r="F25" s="60">
        <f>E25/E35</f>
        <v>0.140764585637862005</v>
      </c>
      <c r="G25" s="278"/>
      <c r="H25" s="279"/>
      <c r="I25" s="271"/>
      <c r="K25" s="309" t="s">
        <v>576</v>
      </c>
      <c r="L25" s="310"/>
      <c r="M25" s="311">
        <f>SUM(N25:AC25)</f>
        <v>5860800</v>
      </c>
      <c r="N25" s="417">
        <f>SUM(N15:N24)</f>
        <v>347550</v>
      </c>
      <c r="O25" s="312">
        <f>SUM(O15:O24)</f>
        <v>367550</v>
      </c>
      <c r="P25" s="312">
        <f>SUM(P15:P24)</f>
        <v>367550</v>
      </c>
      <c r="Q25" s="312">
        <f>SUM(Q15:Q24)</f>
        <v>367550</v>
      </c>
      <c r="R25" s="312">
        <f>SUM(R15:R24)</f>
        <v>367550</v>
      </c>
      <c r="S25" s="312">
        <f>SUM(S15:S24)</f>
        <v>367550</v>
      </c>
      <c r="T25" s="312">
        <f>SUM(T15:T24)</f>
        <v>367550</v>
      </c>
      <c r="U25" s="312">
        <f>SUM(U15:U24)</f>
        <v>367550</v>
      </c>
      <c r="V25" s="312">
        <f>SUM(V15:V24)</f>
        <v>367550</v>
      </c>
      <c r="W25" s="312">
        <f>SUM(W15:W24)</f>
        <v>367550</v>
      </c>
      <c r="X25" s="312">
        <f>SUM(X15:X24)</f>
        <v>367550</v>
      </c>
      <c r="Y25" s="312">
        <f>SUM(Y15:Y24)</f>
        <v>367550</v>
      </c>
      <c r="Z25" s="312">
        <f>SUM(Z15:Z24)</f>
        <v>367550</v>
      </c>
      <c r="AA25" s="312">
        <f>SUM(AA15:AA24)</f>
        <v>367550</v>
      </c>
      <c r="AB25" s="312">
        <f>SUM(AB15:AB24)</f>
        <v>367550</v>
      </c>
      <c r="AC25" s="312">
        <f>SUM(AC15:AC24)</f>
        <v>367550</v>
      </c>
    </row>
    <row r="26" spans="1:29">
      <c r="A26" s="306" t="str">
        <f>L17</f>
        <v>Estadio</v>
      </c>
      <c r="B26" s="307">
        <f>M17/$M$64</f>
        <v>0</v>
      </c>
      <c r="C26" s="43"/>
      <c r="D26" s="283" t="str">
        <f>D12</f>
        <v>Ing Reservas</v>
      </c>
      <c r="E26" s="353">
        <f>M13</f>
        <v>8000000</v>
      </c>
      <c r="F26" s="60">
        <f>E26/E35</f>
        <v>0.110859871900504992</v>
      </c>
      <c r="G26" s="249" t="s">
        <v>577</v>
      </c>
      <c r="H26" s="260">
        <f>SUM(H27:H32)</f>
        <v>5860800</v>
      </c>
      <c r="I26" s="261">
        <f>H26/$H$74</f>
        <v>0.0710013322441490047</v>
      </c>
      <c r="K26" s="313" t="s">
        <v>578</v>
      </c>
      <c r="L26" s="313"/>
      <c r="M26" s="264">
        <f>M5+M14-M25</f>
        <v>17793482.9652344994</v>
      </c>
      <c r="N26" s="419">
        <f>N5+N14-N25</f>
        <v>10411148</v>
      </c>
      <c r="O26" s="264">
        <f>O5+O14-O25</f>
        <v>10724597.3843882997</v>
      </c>
      <c r="P26" s="264">
        <f>P5+P14-P25</f>
        <v>11515350.6038045008</v>
      </c>
      <c r="Q26" s="264">
        <f>Q5+Q14-Q25</f>
        <v>12026821.3066578992</v>
      </c>
      <c r="R26" s="264">
        <f>R5+R14-R25</f>
        <v>12648046.2951787002</v>
      </c>
      <c r="S26" s="264">
        <f>S5+S14-S25</f>
        <v>13310605.2456542999</v>
      </c>
      <c r="T26" s="264">
        <f>T5+T14-T25</f>
        <v>13605817.4978681002</v>
      </c>
      <c r="U26" s="264">
        <f>U5+U14-U25</f>
        <v>14273655.8160052001</v>
      </c>
      <c r="V26" s="264">
        <f>V5+V14-V25</f>
        <v>14543485.1780910995</v>
      </c>
      <c r="W26" s="264">
        <f>W5+W14-W25</f>
        <v>15201984.5841259006</v>
      </c>
      <c r="X26" s="264">
        <f>X5+X14-X25</f>
        <v>15479739.0341094993</v>
      </c>
      <c r="Y26" s="264">
        <f>Y5+Y14-Y25</f>
        <v>15748516.5280418992</v>
      </c>
      <c r="Z26" s="264">
        <f>Z5+Z14-Z25</f>
        <v>16429515.0659232009</v>
      </c>
      <c r="AA26" s="264">
        <f>AA5+AA14-AA25</f>
        <v>17148047.6697277017</v>
      </c>
      <c r="AB26" s="264">
        <f>AB5+AB14-AB25</f>
        <v>17439369.3174811006</v>
      </c>
      <c r="AC26" s="264">
        <f>AC5+AC14-AC25</f>
        <v>17793482.9652344994</v>
      </c>
    </row>
    <row r="27" spans="1:29">
      <c r="A27" s="306" t="str">
        <f>L18</f>
        <v>Empleados</v>
      </c>
      <c r="B27" s="307">
        <f>M18/$M$64</f>
        <v>0.0657814934379110028</v>
      </c>
      <c r="C27" s="45"/>
      <c r="D27" s="283" t="str">
        <f>D13</f>
        <v>Pago Reservas</v>
      </c>
      <c r="E27" s="308">
        <f>M23*-1</f>
        <v>0</v>
      </c>
      <c r="F27" s="60">
        <f>E27/E35</f>
        <v>0</v>
      </c>
      <c r="G27" s="301" t="s">
        <v>579</v>
      </c>
      <c r="H27" s="305">
        <f>M15</f>
        <v>3934400</v>
      </c>
      <c r="I27" s="271">
        <f>H27/$H$74</f>
        <v>0.0476637390085620005</v>
      </c>
      <c r="K27" s="314"/>
      <c r="L27" s="314"/>
      <c r="M27" s="314"/>
      <c r="N27" s="418">
        <f>N1+7</f>
        <v>43764</v>
      </c>
      <c r="O27" s="315">
        <f>N27+7</f>
        <v>43771</v>
      </c>
      <c r="P27" s="315">
        <f>O27+7</f>
        <v>43778</v>
      </c>
      <c r="Q27" s="315">
        <f>P27+7</f>
        <v>43785</v>
      </c>
      <c r="R27" s="315">
        <f>Q27+7</f>
        <v>43792</v>
      </c>
      <c r="S27" s="315">
        <f>R27+7</f>
        <v>43799</v>
      </c>
      <c r="T27" s="315">
        <f>S27+7</f>
        <v>43806</v>
      </c>
      <c r="U27" s="315">
        <f>T27+7</f>
        <v>43813</v>
      </c>
      <c r="V27" s="315">
        <f>U27+7</f>
        <v>43820</v>
      </c>
      <c r="W27" s="315">
        <f>V27+7</f>
        <v>43827</v>
      </c>
      <c r="X27" s="315">
        <f>W27+7</f>
        <v>43834</v>
      </c>
      <c r="Y27" s="315">
        <f>X27+7</f>
        <v>43841</v>
      </c>
      <c r="Z27" s="315">
        <f>Y27+7</f>
        <v>43848</v>
      </c>
      <c r="AA27" s="315">
        <f>Z27+7</f>
        <v>43855</v>
      </c>
      <c r="AB27" s="315">
        <f>AA27+7</f>
        <v>43862</v>
      </c>
      <c r="AC27" s="315">
        <f>AB27+7</f>
        <v>43869</v>
      </c>
    </row>
    <row r="28" spans="1:29">
      <c r="A28" s="306" t="str">
        <f>L19</f>
        <v>Juveniles</v>
      </c>
      <c r="B28" s="307">
        <f>M19/$M$64</f>
        <v>0.0201536438228890002</v>
      </c>
      <c r="C28" s="43"/>
      <c r="D28" s="278"/>
      <c r="E28" s="316"/>
      <c r="F28" s="60"/>
      <c r="G28" s="301" t="s">
        <v>561</v>
      </c>
      <c r="H28" s="305">
        <f>M16</f>
        <v>465920</v>
      </c>
      <c r="I28" s="271">
        <f>H28/$H$74</f>
        <v>0.00564444115465399943</v>
      </c>
      <c r="K28" s="317"/>
      <c r="L28" s="317"/>
      <c r="M28" s="317"/>
      <c r="N28" s="317"/>
      <c r="O28" s="259"/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  <c r="AA28" s="259"/>
      <c r="AB28" s="259"/>
      <c r="AC28" s="259"/>
    </row>
    <row r="29" spans="1:29">
      <c r="A29" s="306" t="str">
        <f>L20</f>
        <v>Compra</v>
      </c>
      <c r="B29" s="307">
        <f>M20/$M$64</f>
        <v>0</v>
      </c>
      <c r="D29" s="249" t="s">
        <v>580</v>
      </c>
      <c r="E29" s="258">
        <f>SUM(E30:E34)</f>
        <v>5496263.96523450036</v>
      </c>
      <c r="F29" s="259">
        <f>E29/E35</f>
        <v>0.0761643898896570004</v>
      </c>
      <c r="G29" s="301" t="s">
        <v>565</v>
      </c>
      <c r="H29" s="305">
        <f>M18</f>
        <v>1044480</v>
      </c>
      <c r="I29" s="271">
        <f>H29/$H$74</f>
        <v>0.0126534724785639985</v>
      </c>
      <c r="K29" s="318"/>
      <c r="L29" s="318"/>
      <c r="M29" s="319" t="s">
        <v>557</v>
      </c>
      <c r="N29" s="320" t="n">
        <v>18</v>
      </c>
      <c r="O29" s="320" t="n">
        <v>18</v>
      </c>
      <c r="P29" s="320" t="n">
        <v>18</v>
      </c>
      <c r="Q29" s="320" t="n">
        <v>18</v>
      </c>
      <c r="R29" s="320" t="n">
        <v>18</v>
      </c>
      <c r="S29" s="320" t="n">
        <v>18</v>
      </c>
      <c r="T29" s="320"/>
      <c r="U29" s="320"/>
      <c r="V29" s="320" t="n">
        <v>17</v>
      </c>
      <c r="W29" s="320" t="n">
        <v>17</v>
      </c>
      <c r="X29" s="320" t="n">
        <v>19</v>
      </c>
      <c r="Y29" s="320" t="n">
        <v>19</v>
      </c>
      <c r="Z29" s="320"/>
      <c r="AA29" s="320" t="n">
        <v>20</v>
      </c>
      <c r="AB29" s="320" t="n">
        <v>22</v>
      </c>
      <c r="AC29" s="320" t="n">
        <v>21</v>
      </c>
    </row>
    <row r="30" spans="1:29">
      <c r="A30" s="306" t="str">
        <f>L21</f>
        <v>Entrenador</v>
      </c>
      <c r="B30" s="307">
        <f>M21/$M$64</f>
        <v>0</v>
      </c>
      <c r="D30" s="283" t="s">
        <v>530</v>
      </c>
      <c r="E30" s="308">
        <f>M11</f>
        <v>66602</v>
      </c>
      <c r="F30" s="60">
        <f>E30/E35</f>
        <v>0.000922936148540000012</v>
      </c>
      <c r="G30" s="301" t="s">
        <v>568</v>
      </c>
      <c r="H30" s="305">
        <f>M19</f>
        <v>320000</v>
      </c>
      <c r="I30" s="271">
        <f>H30/$H$74</f>
        <v>0.00387667661720699996</v>
      </c>
      <c r="K30" s="43"/>
      <c r="L30" s="430" t="s">
        <v>581</v>
      </c>
      <c r="M30" s="321" t="s">
        <v>134</v>
      </c>
      <c r="N30" s="320" t="n">
        <v>950340</v>
      </c>
      <c r="O30" s="320" t="n">
        <v>949900</v>
      </c>
      <c r="P30" s="320" t="n">
        <v>1007530</v>
      </c>
      <c r="Q30" s="320" t="n">
        <v>1065770</v>
      </c>
      <c r="R30" s="320" t="n">
        <v>1065800</v>
      </c>
      <c r="S30" s="320" t="n">
        <v>1092850</v>
      </c>
      <c r="T30" s="320"/>
      <c r="U30" s="320"/>
      <c r="V30" s="320" t="n">
        <v>1154480</v>
      </c>
      <c r="W30" s="320" t="n">
        <v>1166260</v>
      </c>
      <c r="X30" s="320" t="n">
        <v>1290910</v>
      </c>
      <c r="Y30" s="320" t="n">
        <v>1318910</v>
      </c>
      <c r="Z30" s="320"/>
      <c r="AA30" s="320" t="n">
        <v>1335700</v>
      </c>
      <c r="AB30" s="320" t="n">
        <v>1391860</v>
      </c>
      <c r="AC30" s="320" t="n">
        <v>1417100</v>
      </c>
    </row>
    <row r="31" spans="1:29">
      <c r="A31" s="306" t="str">
        <f>L22</f>
        <v>Viajes+Venta</v>
      </c>
      <c r="B31" s="307">
        <f>M22/$M$64</f>
        <v>0.00604609314686699939</v>
      </c>
      <c r="D31" s="283" t="s">
        <v>552</v>
      </c>
      <c r="E31" s="308">
        <f>M12</f>
        <v>0</v>
      </c>
      <c r="F31" s="60">
        <f>E31/E35</f>
        <v>0</v>
      </c>
      <c r="G31" s="301" t="s">
        <v>571</v>
      </c>
      <c r="H31" s="305">
        <f>M22</f>
        <v>96000</v>
      </c>
      <c r="I31" s="271">
        <f>H31/$H$74</f>
        <v>0.00116300298516200007</v>
      </c>
      <c r="K31" s="43"/>
      <c r="L31" s="430"/>
      <c r="M31" s="321" t="s">
        <v>480</v>
      </c>
      <c r="N31" s="320" t="n">
        <v>162436</v>
      </c>
      <c r="O31" s="320" t="n">
        <v>162436</v>
      </c>
      <c r="P31" s="320" t="n">
        <v>162436</v>
      </c>
      <c r="Q31" s="320" t="n">
        <v>162436</v>
      </c>
      <c r="R31" s="320" t="n">
        <v>162436</v>
      </c>
      <c r="S31" s="320" t="n">
        <v>168396</v>
      </c>
      <c r="T31" s="320"/>
      <c r="U31" s="320"/>
      <c r="V31" s="320" t="n">
        <v>175918</v>
      </c>
      <c r="W31" s="320" t="n">
        <v>187048</v>
      </c>
      <c r="X31" s="320" t="n">
        <v>208526</v>
      </c>
      <c r="Y31" s="320" t="n">
        <v>208526</v>
      </c>
      <c r="Z31" s="320"/>
      <c r="AA31" s="320" t="n">
        <v>215974</v>
      </c>
      <c r="AB31" s="320" t="n">
        <v>225484</v>
      </c>
      <c r="AC31" s="320" t="n">
        <v>226850</v>
      </c>
    </row>
    <row r="32" spans="1:29">
      <c r="A32" s="306" t="str">
        <f>L24</f>
        <v>Intereses</v>
      </c>
      <c r="B32" s="307">
        <f>M24/$M$64</f>
        <v>0</v>
      </c>
      <c r="D32" s="283" t="s">
        <v>537</v>
      </c>
      <c r="E32" s="308">
        <f>M6</f>
        <v>3474771</v>
      </c>
      <c r="F32" s="60">
        <f>E32/E35</f>
        <v>0.0481515834929489994</v>
      </c>
      <c r="G32" s="301" t="s">
        <v>574</v>
      </c>
      <c r="H32" s="305">
        <f>M24</f>
        <v>0</v>
      </c>
      <c r="I32" s="271">
        <f>H32/$H$74</f>
        <v>0</v>
      </c>
      <c r="K32" s="43"/>
      <c r="L32" s="430"/>
      <c r="M32" s="321" t="s">
        <v>396</v>
      </c>
      <c r="N32" s="320" t="n">
        <v>867000</v>
      </c>
      <c r="O32" s="320" t="n">
        <v>866870</v>
      </c>
      <c r="P32" s="320" t="n">
        <v>921130</v>
      </c>
      <c r="Q32" s="320" t="n">
        <v>981580</v>
      </c>
      <c r="R32" s="320" t="n">
        <v>981420</v>
      </c>
      <c r="S32" s="320" t="n">
        <v>1007480</v>
      </c>
      <c r="T32" s="320"/>
      <c r="U32" s="320"/>
      <c r="V32" s="320" t="n">
        <v>1062240</v>
      </c>
      <c r="W32" s="320" t="n">
        <v>1070780</v>
      </c>
      <c r="X32" s="320" t="n">
        <v>1132060</v>
      </c>
      <c r="Y32" s="320" t="n">
        <v>1158820</v>
      </c>
      <c r="Z32" s="320"/>
      <c r="AA32" s="320" t="n">
        <v>1184390</v>
      </c>
      <c r="AB32" s="320" t="n">
        <v>1192530</v>
      </c>
      <c r="AC32" s="320" t="n">
        <v>1226010</v>
      </c>
    </row>
    <row r="33" spans="1:29">
      <c r="A33" s="43"/>
      <c r="B33" s="322">
        <f>SUM(B24:B32)</f>
        <v>0.369113986616218037</v>
      </c>
      <c r="D33" s="283" t="s">
        <v>539</v>
      </c>
      <c r="E33" s="308">
        <f>M7</f>
        <v>1922890.96523449989</v>
      </c>
      <c r="F33" s="60">
        <f>E33/E35</f>
        <v>0.0266464307605670037</v>
      </c>
      <c r="G33" s="278"/>
      <c r="H33" s="279"/>
      <c r="I33" s="271"/>
      <c r="K33" s="43"/>
      <c r="L33" s="430"/>
      <c r="M33" s="321" t="s">
        <v>397</v>
      </c>
      <c r="N33" s="320" t="n">
        <v>140830</v>
      </c>
      <c r="O33" s="320" t="n">
        <v>140830</v>
      </c>
      <c r="P33" s="320" t="n">
        <v>140830</v>
      </c>
      <c r="Q33" s="320" t="n">
        <v>140830</v>
      </c>
      <c r="R33" s="320" t="n">
        <v>140830</v>
      </c>
      <c r="S33" s="320" t="n">
        <v>146790</v>
      </c>
      <c r="T33" s="320"/>
      <c r="U33" s="320"/>
      <c r="V33" s="320" t="n">
        <v>148210</v>
      </c>
      <c r="W33" s="320" t="n">
        <v>159030</v>
      </c>
      <c r="X33" s="320" t="n">
        <v>163720</v>
      </c>
      <c r="Y33" s="320" t="n">
        <v>163720</v>
      </c>
      <c r="Z33" s="320"/>
      <c r="AA33" s="320" t="n">
        <v>173310</v>
      </c>
      <c r="AB33" s="320" t="n">
        <v>173310</v>
      </c>
      <c r="AC33" s="320" t="n">
        <v>176410</v>
      </c>
    </row>
    <row r="34" spans="1:29">
      <c r="A34" s="45"/>
      <c r="B34" s="323"/>
      <c r="D34" s="324" t="s">
        <v>546</v>
      </c>
      <c r="E34" s="325">
        <f>M10</f>
        <v>32000</v>
      </c>
      <c r="F34" s="60">
        <f>E34/E35</f>
        <v>0.000443439487602000071</v>
      </c>
      <c r="G34" s="326"/>
      <c r="H34" s="327"/>
      <c r="I34" s="328"/>
      <c r="K34" s="43"/>
      <c r="L34" s="430"/>
      <c r="M34" s="321" t="s">
        <v>401</v>
      </c>
      <c r="N34" s="329" t="s">
        <v>582</v>
      </c>
      <c r="O34" s="329" t="s">
        <v>583</v>
      </c>
      <c r="P34" s="329" t="s">
        <v>584</v>
      </c>
      <c r="Q34" s="329" t="s">
        <v>585</v>
      </c>
      <c r="R34" s="329" t="s">
        <v>586</v>
      </c>
      <c r="S34" s="329" t="s">
        <v>587</v>
      </c>
      <c r="T34" s="329"/>
      <c r="U34" s="329"/>
      <c r="V34" s="329" t="s">
        <v>588</v>
      </c>
      <c r="W34" s="329" t="s">
        <v>589</v>
      </c>
      <c r="X34" s="329" t="s">
        <v>590</v>
      </c>
      <c r="Y34" s="329" t="s">
        <v>583</v>
      </c>
      <c r="Z34" s="329"/>
      <c r="AA34" s="329" t="s">
        <v>586</v>
      </c>
      <c r="AB34" s="329" t="s">
        <v>591</v>
      </c>
      <c r="AC34" s="329" t="s">
        <v>592</v>
      </c>
    </row>
    <row r="35" spans="1:29">
      <c r="A35" s="431">
        <f>M25</f>
        <v>5860800</v>
      </c>
      <c r="B35" s="431"/>
      <c r="D35" s="330" t="s">
        <v>593</v>
      </c>
      <c r="E35" s="331">
        <f>E29+E21+E15+E5+E10+E24</f>
        <v>72163171.9652345031</v>
      </c>
      <c r="F35" s="332">
        <f>F29+F21+F15+F5+F10+F24</f>
        <v>1</v>
      </c>
      <c r="G35" s="330" t="s">
        <v>593</v>
      </c>
      <c r="H35" s="331">
        <f>H26+H18+H10+H5+H22</f>
        <v>72163171.9652345031</v>
      </c>
      <c r="I35" s="333">
        <f>H35/$H$74</f>
        <v>0.874229004316006986</v>
      </c>
      <c r="K35" s="43"/>
      <c r="L35" s="430"/>
      <c r="M35" s="321" t="s">
        <v>594</v>
      </c>
      <c r="N35" s="334" t="n">
        <v>6</v>
      </c>
      <c r="O35" s="334" t="n">
        <v>6</v>
      </c>
      <c r="P35" s="334" t="n">
        <v>6</v>
      </c>
      <c r="Q35" s="334" t="n">
        <v>6</v>
      </c>
      <c r="R35" s="334" t="n">
        <v>6</v>
      </c>
      <c r="S35" s="334" t="n">
        <v>6</v>
      </c>
      <c r="T35" s="334"/>
      <c r="U35" s="334"/>
      <c r="V35" s="334" t="n">
        <v>6.25</v>
      </c>
      <c r="W35" s="334" t="n">
        <v>6.25</v>
      </c>
      <c r="X35" s="334" t="n">
        <v>6.25</v>
      </c>
      <c r="Y35" s="334" t="n">
        <v>6.25</v>
      </c>
      <c r="Z35" s="334"/>
      <c r="AA35" s="334" t="n">
        <v>6.5</v>
      </c>
      <c r="AB35" s="334" t="n">
        <v>6.5</v>
      </c>
      <c r="AC35" s="334" t="n">
        <v>6.5</v>
      </c>
    </row>
    <row r="36" spans="5:29">
      <c r="E36" s="279"/>
      <c r="F36" s="251"/>
      <c r="G36" s="335"/>
      <c r="H36" s="336">
        <f>E35-H35</f>
        <v>0</v>
      </c>
      <c r="I36" s="279"/>
      <c r="K36" s="43" t="n">
        <v>1523038</v>
      </c>
      <c r="L36" s="430"/>
      <c r="M36" s="321" t="s">
        <v>398</v>
      </c>
      <c r="N36" s="334" t="n">
        <v>5.25</v>
      </c>
      <c r="O36" s="334" t="n">
        <v>5.25</v>
      </c>
      <c r="P36" s="334" t="n">
        <v>5.75</v>
      </c>
      <c r="Q36" s="334" t="n">
        <v>6</v>
      </c>
      <c r="R36" s="334" t="n">
        <v>6</v>
      </c>
      <c r="S36" s="334" t="n">
        <v>6</v>
      </c>
      <c r="T36" s="334"/>
      <c r="U36" s="334"/>
      <c r="V36" s="334" t="n">
        <v>6</v>
      </c>
      <c r="W36" s="334" t="n">
        <v>5.75</v>
      </c>
      <c r="X36" s="334" t="n">
        <v>5.75</v>
      </c>
      <c r="Y36" s="334" t="n">
        <v>5.75</v>
      </c>
      <c r="Z36" s="334"/>
      <c r="AA36" s="334" t="n">
        <v>5.5</v>
      </c>
      <c r="AB36" s="334" t="n">
        <v>5.5</v>
      </c>
      <c r="AC36" s="334" t="n">
        <v>5.25</v>
      </c>
    </row>
    <row r="37" spans="5:29">
      <c r="E37" s="279"/>
      <c r="F37" s="279"/>
      <c r="H37" s="279"/>
      <c r="I37" s="279"/>
      <c r="K37" s="43"/>
      <c r="L37" s="430"/>
      <c r="M37" s="321" t="s">
        <v>595</v>
      </c>
      <c r="N37" s="334" t="n">
        <v>4.25</v>
      </c>
      <c r="O37" s="334" t="n">
        <v>4.25</v>
      </c>
      <c r="P37" s="334" t="n">
        <v>4.25</v>
      </c>
      <c r="Q37" s="334" t="n">
        <v>4.5</v>
      </c>
      <c r="R37" s="334" t="n">
        <v>4.5</v>
      </c>
      <c r="S37" s="334" t="n">
        <v>4.5</v>
      </c>
      <c r="T37" s="334"/>
      <c r="U37" s="334"/>
      <c r="V37" s="334" t="n">
        <v>4.5</v>
      </c>
      <c r="W37" s="334" t="n">
        <v>4.75</v>
      </c>
      <c r="X37" s="334" t="n">
        <v>4.5</v>
      </c>
      <c r="Y37" s="334" t="n">
        <v>4.5</v>
      </c>
      <c r="Z37" s="334"/>
      <c r="AA37" s="334" t="n">
        <v>4.5</v>
      </c>
      <c r="AB37" s="334" t="n">
        <v>4.5</v>
      </c>
      <c r="AC37" s="334" t="n">
        <v>4.5</v>
      </c>
    </row>
    <row r="38" spans="4:29">
      <c r="D38" s="337"/>
      <c r="E38" s="338"/>
      <c r="F38" s="279"/>
      <c r="G38" s="43"/>
      <c r="H38" s="260"/>
      <c r="I38" s="260"/>
      <c r="K38" s="43"/>
      <c r="L38" s="43"/>
      <c r="M38" s="92" t="s">
        <v>596</v>
      </c>
      <c r="N38" s="339">
        <f>N30/N31</f>
        <v>5.85055037060750038</v>
      </c>
      <c r="O38" s="339">
        <f>O30/O31</f>
        <v>5.8478416114654399</v>
      </c>
      <c r="P38" s="339">
        <f>P30/P31</f>
        <v>6.20262749636779986</v>
      </c>
      <c r="Q38" s="339">
        <f>Q30/Q31</f>
        <v>6.56116870644439043</v>
      </c>
      <c r="R38" s="339">
        <f>R30/R31</f>
        <v>6.56135339456770961</v>
      </c>
      <c r="S38" s="339">
        <f>S30/S31</f>
        <v>6.48976222713128958</v>
      </c>
      <c r="T38" s="339"/>
      <c r="U38" s="339"/>
      <c r="V38" s="339">
        <f>V30/V31</f>
        <v>6.56260303095761</v>
      </c>
      <c r="W38" s="339">
        <f>W30/W31</f>
        <v>6.23508404259869042</v>
      </c>
      <c r="X38" s="339">
        <f>X30/X31</f>
        <v>6.19064289345214025</v>
      </c>
      <c r="Y38" s="339">
        <f>Y30/Y31</f>
        <v>6.32491871517220972</v>
      </c>
      <c r="Z38" s="339" t="e">
        <f>Z30/Z31</f>
        <v>#DIV/0!</v>
      </c>
      <c r="AA38" s="339">
        <f>AA30/AA31</f>
        <v>6.18454073175475028</v>
      </c>
      <c r="AB38" s="339">
        <f>AB30/AB31</f>
        <v>6.17276613861737022</v>
      </c>
      <c r="AC38" s="339">
        <f>AC30/AC31</f>
        <v>6.24685915803394032</v>
      </c>
    </row>
    <row r="39" spans="5:19">
      <c r="E39" s="260"/>
      <c r="F39" s="279"/>
      <c r="H39" s="279"/>
      <c r="I39" s="279"/>
      <c r="K39" s="43"/>
      <c r="L39" s="43"/>
      <c r="M39" s="43"/>
      <c r="N39" s="44"/>
      <c r="O39" s="340"/>
      <c r="P39" s="85"/>
      <c r="Q39" s="85"/>
      <c r="R39" s="85"/>
      <c r="S39" s="85"/>
    </row>
    <row r="40" spans="1:31">
      <c r="A40" s="420"/>
      <c r="B40" s="420"/>
      <c r="C40" s="420"/>
      <c r="D40" s="432" t="s">
        <v>597</v>
      </c>
      <c r="E40" s="433"/>
      <c r="F40" s="433"/>
      <c r="G40" s="433"/>
      <c r="H40" s="433"/>
      <c r="I40" s="434"/>
      <c r="J40" s="421"/>
      <c r="K40" s="420"/>
      <c r="L40" s="420"/>
      <c r="M40" s="420"/>
      <c r="N40" s="422" t="n">
        <v>43637</v>
      </c>
      <c r="O40" s="422">
        <f>N40+7</f>
        <v>43644</v>
      </c>
      <c r="P40" s="422">
        <f>O40+7</f>
        <v>43651</v>
      </c>
      <c r="Q40" s="422">
        <f>P40+7</f>
        <v>43658</v>
      </c>
      <c r="R40" s="422">
        <f>Q40+7</f>
        <v>43665</v>
      </c>
      <c r="S40" s="422">
        <f>R40+7</f>
        <v>43672</v>
      </c>
      <c r="T40" s="422">
        <f>S40+7</f>
        <v>43679</v>
      </c>
      <c r="U40" s="422">
        <f>T40+7</f>
        <v>43686</v>
      </c>
      <c r="V40" s="422">
        <f>U40+7</f>
        <v>43693</v>
      </c>
      <c r="W40" s="422">
        <f>V40+7</f>
        <v>43700</v>
      </c>
      <c r="X40" s="422">
        <f>W40+7</f>
        <v>43707</v>
      </c>
      <c r="Y40" s="422">
        <f>X40+7</f>
        <v>43714</v>
      </c>
      <c r="Z40" s="422">
        <f>Y40+7</f>
        <v>43721</v>
      </c>
      <c r="AA40" s="422">
        <f>Z40+7</f>
        <v>43728</v>
      </c>
      <c r="AB40" s="422">
        <f>AA40+7</f>
        <v>43735</v>
      </c>
      <c r="AC40" s="422">
        <f>AB40+7</f>
        <v>43742</v>
      </c>
      <c r="AD40" s="423">
        <f>AC40+7</f>
        <v>43749</v>
      </c>
      <c r="AE40" s="421"/>
    </row>
    <row r="41" spans="1:30">
      <c r="A41" s="45"/>
      <c r="B41" s="45"/>
      <c r="C41" s="45"/>
      <c r="D41" s="435" t="s">
        <v>510</v>
      </c>
      <c r="E41" s="436"/>
      <c r="F41" s="437"/>
      <c r="G41" s="437"/>
      <c r="H41" s="437"/>
      <c r="I41" s="438"/>
      <c r="K41" s="45"/>
      <c r="L41" s="45"/>
      <c r="M41" s="45" t="s">
        <v>511</v>
      </c>
      <c r="N41" s="244" t="s">
        <v>527</v>
      </c>
      <c r="O41" s="244" t="s">
        <v>512</v>
      </c>
      <c r="P41" s="244" t="s">
        <v>513</v>
      </c>
      <c r="Q41" s="244" t="s">
        <v>514</v>
      </c>
      <c r="R41" s="244" t="s">
        <v>515</v>
      </c>
      <c r="S41" s="244" t="s">
        <v>516</v>
      </c>
      <c r="T41" s="244" t="s">
        <v>517</v>
      </c>
      <c r="U41" s="244" t="s">
        <v>518</v>
      </c>
      <c r="V41" s="244" t="s">
        <v>519</v>
      </c>
      <c r="W41" s="244" t="s">
        <v>520</v>
      </c>
      <c r="X41" s="244" t="s">
        <v>521</v>
      </c>
      <c r="Y41" s="244" t="s">
        <v>522</v>
      </c>
      <c r="Z41" s="244" t="s">
        <v>523</v>
      </c>
      <c r="AA41" s="244" t="s">
        <v>524</v>
      </c>
      <c r="AB41" s="244" t="s">
        <v>525</v>
      </c>
      <c r="AC41" s="244" t="s">
        <v>526</v>
      </c>
      <c r="AD41" s="243" t="s">
        <v>527</v>
      </c>
    </row>
    <row r="42" spans="1:30">
      <c r="A42" s="43"/>
      <c r="B42" s="43"/>
      <c r="C42" s="43"/>
      <c r="D42" s="439" t="s">
        <v>528</v>
      </c>
      <c r="E42" s="440"/>
      <c r="F42" s="245"/>
      <c r="G42" s="441" t="s">
        <v>529</v>
      </c>
      <c r="H42" s="442"/>
      <c r="I42" s="246"/>
      <c r="K42" s="43"/>
      <c r="L42" s="92"/>
      <c r="M42" s="92" t="s">
        <v>530</v>
      </c>
      <c r="N42" s="248" t="n">
        <v>1766</v>
      </c>
      <c r="O42" s="248" t="n">
        <v>1776</v>
      </c>
      <c r="P42" s="248">
        <f>O42+O50/30</f>
        <v>1784</v>
      </c>
      <c r="Q42" s="248">
        <f>P42+P50/30</f>
        <v>1794</v>
      </c>
      <c r="R42" s="248">
        <f>Q42+Q50/30</f>
        <v>1804</v>
      </c>
      <c r="S42" s="248">
        <f>R42+R50/30</f>
        <v>1813</v>
      </c>
      <c r="T42" s="248">
        <f>S42+S50/30</f>
        <v>1823</v>
      </c>
      <c r="U42" s="248">
        <f>T42+T50/30</f>
        <v>1831</v>
      </c>
      <c r="V42" s="248">
        <f>U42+U50/30</f>
        <v>1839</v>
      </c>
      <c r="W42" s="248">
        <f>V42+V50/30</f>
        <v>1847</v>
      </c>
      <c r="X42" s="248">
        <f>W42+W50/30</f>
        <v>1855</v>
      </c>
      <c r="Y42" s="248">
        <f>X42+X50/30</f>
        <v>1863</v>
      </c>
      <c r="Z42" s="248">
        <f>Y42+Y50/30</f>
        <v>1871</v>
      </c>
      <c r="AA42" s="248">
        <f>Z42+Z50/30</f>
        <v>1877</v>
      </c>
      <c r="AB42" s="248">
        <f>AA42+AA50/30</f>
        <v>1885</v>
      </c>
      <c r="AC42" s="248">
        <f>AB42+AB50/30</f>
        <v>1893</v>
      </c>
      <c r="AD42" s="247">
        <f>AC42+AC50/30</f>
        <v>1901</v>
      </c>
    </row>
    <row r="43" spans="1:30">
      <c r="A43" s="43"/>
      <c r="B43" s="43"/>
      <c r="C43" s="43"/>
      <c r="D43" s="249"/>
      <c r="E43" s="250"/>
      <c r="F43" s="251"/>
      <c r="G43" s="252"/>
      <c r="H43" s="251"/>
      <c r="I43" s="253"/>
      <c r="K43" s="254" t="s">
        <v>531</v>
      </c>
      <c r="L43" s="254"/>
      <c r="M43" s="255">
        <f>19299694+500000</f>
        <v>19799694</v>
      </c>
      <c r="N43" s="256">
        <f>M43</f>
        <v>19799694</v>
      </c>
      <c r="O43" s="256">
        <f>N43-N52+N62</f>
        <v>19299694</v>
      </c>
      <c r="P43" s="256">
        <f>O43-O52+O62</f>
        <v>18799694</v>
      </c>
      <c r="Q43" s="256">
        <f>P43-P52+P62</f>
        <v>18299694</v>
      </c>
      <c r="R43" s="256">
        <f>Q43-Q52+Q62</f>
        <v>17799694</v>
      </c>
      <c r="S43" s="256">
        <f>R43-R52+R62</f>
        <v>17299694</v>
      </c>
      <c r="T43" s="256">
        <f>S43-S52+S62</f>
        <v>16799694</v>
      </c>
      <c r="U43" s="256">
        <f>T43-T52+T62</f>
        <v>16299694</v>
      </c>
      <c r="V43" s="256">
        <f>U43-U52+U62</f>
        <v>15799694</v>
      </c>
      <c r="W43" s="256">
        <f>V43-V52+V62</f>
        <v>15299694</v>
      </c>
      <c r="X43" s="256">
        <f>W43-W52+W62</f>
        <v>14799694</v>
      </c>
      <c r="Y43" s="256">
        <f>X43-X52+X62</f>
        <v>14299694</v>
      </c>
      <c r="Z43" s="256">
        <f>Y43-Y52+Y62</f>
        <v>13799694</v>
      </c>
      <c r="AA43" s="256">
        <f>Z43-Z52+Z62</f>
        <v>13299694</v>
      </c>
      <c r="AB43" s="256">
        <f>AA43-AA52+AA62</f>
        <v>12799694</v>
      </c>
      <c r="AC43" s="256">
        <f>AB43-AB52+AB62</f>
        <v>12299694</v>
      </c>
      <c r="AD43" s="256">
        <f>AC43-AC52+AC62</f>
        <v>11799694</v>
      </c>
    </row>
    <row r="44" spans="1:30">
      <c r="A44" s="257"/>
      <c r="B44" s="257"/>
      <c r="C44" s="257"/>
      <c r="D44" s="249" t="s">
        <v>532</v>
      </c>
      <c r="E44" s="258">
        <f>SUM(E45:E47)</f>
        <v>6219750</v>
      </c>
      <c r="F44" s="259">
        <f>E44/E74</f>
        <v>0.0753498730933570027</v>
      </c>
      <c r="G44" s="249" t="s">
        <v>533</v>
      </c>
      <c r="H44" s="260">
        <f>H45+H46</f>
        <v>64054290</v>
      </c>
      <c r="I44" s="261">
        <f>H44/$H$74</f>
        <v>0.77599302585876595</v>
      </c>
      <c r="K44" s="262" t="s">
        <v>534</v>
      </c>
      <c r="L44" s="262"/>
      <c r="M44" s="263">
        <f>8890545-289136+582050-500000</f>
        <v>8683459</v>
      </c>
      <c r="N44" s="264">
        <f>M44</f>
        <v>8683459</v>
      </c>
      <c r="O44" s="264">
        <f>N65</f>
        <v>9623483</v>
      </c>
      <c r="P44" s="264">
        <f>O65</f>
        <v>9994868</v>
      </c>
      <c r="Q44" s="264">
        <f>P65</f>
        <v>10377155</v>
      </c>
      <c r="R44" s="264">
        <f>Q65</f>
        <v>11240455</v>
      </c>
      <c r="S44" s="264">
        <f>R65</f>
        <v>11827122</v>
      </c>
      <c r="T44" s="264">
        <f>S65</f>
        <v>12507638</v>
      </c>
      <c r="U44" s="264">
        <f>T65</f>
        <v>14308664</v>
      </c>
      <c r="V44" s="264">
        <f>U65</f>
        <v>13015507</v>
      </c>
      <c r="W44" s="264">
        <f>V65</f>
        <v>13799559</v>
      </c>
      <c r="X44" s="264">
        <f>W65</f>
        <v>9963702</v>
      </c>
      <c r="Y44" s="264">
        <f>X65</f>
        <v>10648895</v>
      </c>
      <c r="Z44" s="264">
        <f>Y65</f>
        <v>10943045</v>
      </c>
      <c r="AA44" s="264">
        <f>Z65</f>
        <v>11375008</v>
      </c>
      <c r="AB44" s="264">
        <f>AA65</f>
        <v>12059732</v>
      </c>
      <c r="AC44" s="264">
        <f>AB65</f>
        <v>12337744</v>
      </c>
      <c r="AD44" s="264">
        <f>AC65</f>
        <v>9052949</v>
      </c>
    </row>
    <row r="45" spans="1:30">
      <c r="A45" s="265" t="str">
        <f>L45</f>
        <v>Taquillas</v>
      </c>
      <c r="B45" s="266">
        <f>M45/$M$53</f>
        <v>0.202066355312426005</v>
      </c>
      <c r="D45" s="267" t="s">
        <v>535</v>
      </c>
      <c r="E45" s="268">
        <f>2231620+305380</f>
        <v>2537000</v>
      </c>
      <c r="F45" s="60">
        <f>E45/E74</f>
        <v>0.0307347768057949988</v>
      </c>
      <c r="G45" s="269" t="s">
        <v>536</v>
      </c>
      <c r="H45" s="270" t="n">
        <v>300000</v>
      </c>
      <c r="I45" s="271">
        <f>H45/$H$74</f>
        <v>0.00363438432863200056</v>
      </c>
      <c r="K45" s="272" t="s">
        <v>537</v>
      </c>
      <c r="L45" s="272" t="s">
        <v>537</v>
      </c>
      <c r="M45" s="273">
        <f>SUM(N45:AD45)</f>
        <v>3506373</v>
      </c>
      <c r="N45" s="274" t="n">
        <v>27383</v>
      </c>
      <c r="O45" s="274">
        <f>9097+21309</f>
        <v>30406</v>
      </c>
      <c r="P45" s="274" t="n">
        <v>74243</v>
      </c>
      <c r="Q45" s="274" t="n">
        <v>543126</v>
      </c>
      <c r="R45" s="274" t="n">
        <v>259003</v>
      </c>
      <c r="S45" s="274">
        <f>29598+336329</f>
        <v>365927</v>
      </c>
      <c r="T45" s="274">
        <f>36229+369218</f>
        <v>405447</v>
      </c>
      <c r="U45" s="274" t="n">
        <v>37304</v>
      </c>
      <c r="V45" s="274">
        <f>400709+8561</f>
        <v>409270</v>
      </c>
      <c r="W45" s="274" t="n">
        <v>10821</v>
      </c>
      <c r="X45" s="274" t="n">
        <v>399051</v>
      </c>
      <c r="Y45" s="274" t="n">
        <v>17866</v>
      </c>
      <c r="Z45" s="274" t="n">
        <v>8449</v>
      </c>
      <c r="AA45" s="274" t="n">
        <v>420290</v>
      </c>
      <c r="AB45" s="274" t="n">
        <v>11170</v>
      </c>
      <c r="AC45" s="274" t="n">
        <v>457164</v>
      </c>
      <c r="AD45" s="274" t="n">
        <v>29453</v>
      </c>
    </row>
    <row r="46" spans="1:30">
      <c r="A46" s="265" t="str">
        <f>L46</f>
        <v>Patrocinadores</v>
      </c>
      <c r="B46" s="266">
        <f>M46/$M$53</f>
        <v>0.0989849810247259931</v>
      </c>
      <c r="D46" s="267" t="s">
        <v>403</v>
      </c>
      <c r="E46" s="268">
        <f>102000+300+2105000+1475000+450</f>
        <v>3682750</v>
      </c>
      <c r="F46" s="60">
        <f>E46/E74</f>
        <v>0.0446150962875610002</v>
      </c>
      <c r="G46" s="269" t="s">
        <v>538</v>
      </c>
      <c r="H46" s="270">
        <f>63754290</f>
        <v>63754290</v>
      </c>
      <c r="I46" s="271">
        <f>H46/$H$74</f>
        <v>0.772358641530134005</v>
      </c>
      <c r="K46" s="272" t="s">
        <v>539</v>
      </c>
      <c r="L46" s="272" t="s">
        <v>539</v>
      </c>
      <c r="M46" s="273">
        <f>SUM(N46:AD46)</f>
        <v>1717645</v>
      </c>
      <c r="N46" s="275" t="n">
        <v>101385</v>
      </c>
      <c r="O46" s="275" t="n">
        <v>76225</v>
      </c>
      <c r="P46" s="275" t="n">
        <v>87880</v>
      </c>
      <c r="Q46" s="275" t="n">
        <v>94910</v>
      </c>
      <c r="R46" s="275" t="n">
        <v>98980</v>
      </c>
      <c r="S46" s="275" t="n">
        <v>101385</v>
      </c>
      <c r="T46" s="275">
        <f>S46+1500</f>
        <v>102885</v>
      </c>
      <c r="U46" s="275" t="n">
        <v>103605</v>
      </c>
      <c r="V46" s="275" t="n">
        <v>104160</v>
      </c>
      <c r="W46" s="275" t="n">
        <v>104530</v>
      </c>
      <c r="X46" s="275" t="n">
        <v>104900</v>
      </c>
      <c r="Y46" s="275" t="n">
        <v>105270</v>
      </c>
      <c r="Z46" s="275" t="n">
        <v>105640</v>
      </c>
      <c r="AA46" s="275" t="n">
        <v>106010</v>
      </c>
      <c r="AB46" s="275" t="n">
        <v>106380</v>
      </c>
      <c r="AC46" s="275" t="n">
        <v>106565</v>
      </c>
      <c r="AD46" s="275" t="n">
        <v>106935</v>
      </c>
    </row>
    <row r="47" spans="1:33">
      <c r="A47" s="265" t="str">
        <f>L47</f>
        <v>Ventas</v>
      </c>
      <c r="B47" s="266">
        <f>M47/$M$53</f>
        <v>0.0620086394059400003</v>
      </c>
      <c r="D47" s="276" t="s">
        <v>540</v>
      </c>
      <c r="E47" s="277" t="n">
        <v>0</v>
      </c>
      <c r="F47" s="60">
        <f>E47/E74</f>
        <v>0</v>
      </c>
      <c r="G47" s="278"/>
      <c r="H47" s="279"/>
      <c r="I47" s="261"/>
      <c r="K47" s="272" t="s">
        <v>541</v>
      </c>
      <c r="L47" s="272" t="s">
        <v>542</v>
      </c>
      <c r="M47" s="273">
        <f>SUM(N47:AD47)</f>
        <v>1076010</v>
      </c>
      <c r="N47" s="274" t="n">
        <v>0</v>
      </c>
      <c r="O47" s="274" t="n">
        <v>0</v>
      </c>
      <c r="P47" s="274" t="n">
        <v>0</v>
      </c>
      <c r="Q47" s="274" t="n">
        <v>0</v>
      </c>
      <c r="R47" s="274" t="n">
        <v>0</v>
      </c>
      <c r="S47" s="274" t="n">
        <v>0</v>
      </c>
      <c r="T47" s="274">
        <f>959760+116250</f>
        <v>1076010</v>
      </c>
      <c r="U47" s="274" t="n">
        <v>0</v>
      </c>
      <c r="V47" s="274" t="n">
        <v>0</v>
      </c>
      <c r="W47" s="274" t="n">
        <v>0</v>
      </c>
      <c r="X47" s="274" t="n">
        <v>0</v>
      </c>
      <c r="Y47" s="274" t="n">
        <v>0</v>
      </c>
      <c r="Z47" s="274" t="n">
        <v>0</v>
      </c>
      <c r="AA47" s="274" t="n">
        <v>0</v>
      </c>
      <c r="AB47" s="274" t="n">
        <v>0</v>
      </c>
      <c r="AC47" s="274" t="n">
        <v>0</v>
      </c>
      <c r="AD47" s="274" t="n">
        <v>0</v>
      </c>
      <c r="AF47" s="279"/>
      <c r="AG47" s="279"/>
    </row>
    <row r="48" spans="1:30">
      <c r="A48" s="265" t="str">
        <f>L48</f>
        <v>VentasCantera</v>
      </c>
      <c r="B48" s="266">
        <f>M48/$M$53</f>
        <v>0.0540351862333800081</v>
      </c>
      <c r="D48" s="280"/>
      <c r="E48" s="250"/>
      <c r="F48" s="259"/>
      <c r="G48" s="278"/>
      <c r="H48" s="279"/>
      <c r="I48" s="261"/>
      <c r="K48" s="272"/>
      <c r="L48" s="272" t="s">
        <v>543</v>
      </c>
      <c r="M48" s="273">
        <f>SUM(N48:AD48)</f>
        <v>937650</v>
      </c>
      <c r="N48" s="274" t="n">
        <v>133000</v>
      </c>
      <c r="O48" s="274" t="n">
        <v>44650</v>
      </c>
      <c r="P48" s="274" t="n">
        <v>0</v>
      </c>
      <c r="Q48" s="274" t="n">
        <v>0</v>
      </c>
      <c r="R48" s="274" t="n">
        <v>0</v>
      </c>
      <c r="S48" s="274" t="n">
        <v>0</v>
      </c>
      <c r="T48" s="274" t="n">
        <v>0</v>
      </c>
      <c r="U48" s="274" t="n">
        <v>0</v>
      </c>
      <c r="V48" s="274" t="n">
        <v>0</v>
      </c>
      <c r="W48" s="274" t="n">
        <v>25650</v>
      </c>
      <c r="X48" s="274" t="n">
        <v>0</v>
      </c>
      <c r="Y48" s="274" t="n">
        <v>0</v>
      </c>
      <c r="Z48" s="274" t="n">
        <v>0</v>
      </c>
      <c r="AA48" s="274" t="n">
        <v>0</v>
      </c>
      <c r="AB48" s="274" t="n">
        <v>0</v>
      </c>
      <c r="AC48" s="274" t="n">
        <v>734350</v>
      </c>
      <c r="AD48" s="274" t="n">
        <v>0</v>
      </c>
    </row>
    <row r="49" spans="1:30">
      <c r="A49" s="265" t="str">
        <f>L49</f>
        <v>Comisiones</v>
      </c>
      <c r="B49" s="266">
        <f>M49/$M$53</f>
        <v>0.0213132547075699996</v>
      </c>
      <c r="D49" s="249" t="s">
        <v>544</v>
      </c>
      <c r="E49" s="258">
        <f>E50+E51+E52</f>
        <v>11299694</v>
      </c>
      <c r="F49" s="259">
        <f>E49/E74</f>
        <v>0.136891435973112019</v>
      </c>
      <c r="G49" s="249" t="s">
        <v>545</v>
      </c>
      <c r="H49" s="260">
        <f>SUM(H50:H55)</f>
        <v>2612618</v>
      </c>
      <c r="I49" s="261">
        <f>H49/$H$74</f>
        <v>0.031650859719669997</v>
      </c>
      <c r="K49" s="272" t="s">
        <v>546</v>
      </c>
      <c r="L49" s="272" t="s">
        <v>546</v>
      </c>
      <c r="M49" s="273">
        <f>SUM(N49:AD49)</f>
        <v>369840</v>
      </c>
      <c r="N49" s="275">
        <f>1750+16320+2040</f>
        <v>20110</v>
      </c>
      <c r="O49" s="275" t="n">
        <v>0</v>
      </c>
      <c r="P49" s="275" t="n">
        <v>0</v>
      </c>
      <c r="Q49" s="275" t="n">
        <v>5100</v>
      </c>
      <c r="R49" s="275" t="n">
        <v>8550</v>
      </c>
      <c r="S49" s="275" t="n">
        <v>0</v>
      </c>
      <c r="T49" s="275" t="n">
        <v>4040</v>
      </c>
      <c r="U49" s="275" t="n">
        <v>0</v>
      </c>
      <c r="V49" s="275">
        <f>33660+30340</f>
        <v>64000</v>
      </c>
      <c r="W49" s="275" t="n">
        <v>0</v>
      </c>
      <c r="X49" s="275" t="n">
        <v>3920</v>
      </c>
      <c r="Y49" s="275" t="n">
        <v>0</v>
      </c>
      <c r="Z49" s="275" t="n">
        <v>146920</v>
      </c>
      <c r="AA49" s="275" t="n">
        <v>0</v>
      </c>
      <c r="AB49" s="275" t="n">
        <v>0</v>
      </c>
      <c r="AC49" s="275" t="n">
        <v>78000</v>
      </c>
      <c r="AD49" s="275" t="n">
        <v>39200</v>
      </c>
    </row>
    <row r="50" spans="1:30">
      <c r="A50" s="265" t="str">
        <f>L50</f>
        <v>Nuevos Socios</v>
      </c>
      <c r="B50" s="266">
        <f>M50/$M$53</f>
        <v>0.00691908558622600189</v>
      </c>
      <c r="D50" s="281" t="s">
        <v>547</v>
      </c>
      <c r="E50" s="282">
        <f>N43</f>
        <v>19799694</v>
      </c>
      <c r="F50" s="60">
        <f>E50/E74</f>
        <v>0.239865658617675992</v>
      </c>
      <c r="G50" s="283" t="s">
        <v>548</v>
      </c>
      <c r="H50" s="284">
        <f>37680+114250</f>
        <v>151930</v>
      </c>
      <c r="I50" s="271">
        <f>H50/$H$74</f>
        <v>0.00184057337016299982</v>
      </c>
      <c r="K50" s="443" t="s">
        <v>549</v>
      </c>
      <c r="L50" s="272" t="s">
        <v>550</v>
      </c>
      <c r="M50" s="273">
        <f>SUM(N50:AD50)</f>
        <v>120064</v>
      </c>
      <c r="N50" s="275">
        <f>52982+150+150</f>
        <v>53282</v>
      </c>
      <c r="O50" s="275" t="n">
        <v>240</v>
      </c>
      <c r="P50" s="275" t="n">
        <v>300</v>
      </c>
      <c r="Q50" s="275" t="n">
        <v>300</v>
      </c>
      <c r="R50" s="275" t="n">
        <v>270</v>
      </c>
      <c r="S50" s="275" t="n">
        <v>300</v>
      </c>
      <c r="T50" s="275" t="n">
        <v>240</v>
      </c>
      <c r="U50" s="275" t="n">
        <v>240</v>
      </c>
      <c r="V50" s="275" t="n">
        <v>240</v>
      </c>
      <c r="W50" s="275" t="n">
        <v>240</v>
      </c>
      <c r="X50" s="275">
        <f>W50</f>
        <v>240</v>
      </c>
      <c r="Y50" s="275">
        <f>X50</f>
        <v>240</v>
      </c>
      <c r="Z50" s="275" t="n">
        <v>180</v>
      </c>
      <c r="AA50" s="275" t="n">
        <v>240</v>
      </c>
      <c r="AB50" s="275">
        <f>AA50</f>
        <v>240</v>
      </c>
      <c r="AC50" s="275" t="n">
        <v>240</v>
      </c>
      <c r="AD50" s="275">
        <f>57032+5730+150+120</f>
        <v>63032</v>
      </c>
    </row>
    <row r="51" spans="1:30">
      <c r="A51" s="265" t="str">
        <f>L51</f>
        <v>Premios</v>
      </c>
      <c r="B51" s="266">
        <f>M51/$M$53</f>
        <v>0.0648318503839949933</v>
      </c>
      <c r="D51" s="281" t="str">
        <f>L52</f>
        <v>Ing Reservas</v>
      </c>
      <c r="E51" s="349">
        <f>M52*-1</f>
        <v>-8500000</v>
      </c>
      <c r="F51" s="60">
        <f>E51/E74</f>
        <v>-0.102974222644564994</v>
      </c>
      <c r="G51" s="283" t="s">
        <v>551</v>
      </c>
      <c r="H51" s="284" t="n">
        <v>0</v>
      </c>
      <c r="I51" s="271">
        <f>H51/$H$74</f>
        <v>0</v>
      </c>
      <c r="K51" s="444"/>
      <c r="L51" s="272" t="s">
        <v>552</v>
      </c>
      <c r="M51" s="273">
        <f>SUM(N51:AD51)</f>
        <v>1125000</v>
      </c>
      <c r="N51" s="275" t="n">
        <v>400000</v>
      </c>
      <c r="O51" s="275" t="n">
        <v>0</v>
      </c>
      <c r="P51" s="275" t="n">
        <v>0</v>
      </c>
      <c r="Q51" s="275" t="n">
        <v>0</v>
      </c>
      <c r="R51" s="275" t="n">
        <v>0</v>
      </c>
      <c r="S51" s="275" t="n">
        <v>0</v>
      </c>
      <c r="T51" s="275" t="n">
        <v>0</v>
      </c>
      <c r="U51" s="275" t="n">
        <v>0</v>
      </c>
      <c r="V51" s="275" t="n">
        <v>0</v>
      </c>
      <c r="W51" s="275" t="n">
        <v>0</v>
      </c>
      <c r="X51" s="275" t="n">
        <v>0</v>
      </c>
      <c r="Y51" s="275" t="n">
        <v>0</v>
      </c>
      <c r="Z51" s="275" t="n">
        <v>0</v>
      </c>
      <c r="AA51" s="275" t="n">
        <v>0</v>
      </c>
      <c r="AB51" s="275" t="n">
        <v>0</v>
      </c>
      <c r="AC51" s="275" t="n">
        <v>0</v>
      </c>
      <c r="AD51" s="275">
        <f>525000+200000</f>
        <v>725000</v>
      </c>
    </row>
    <row r="52" spans="1:38">
      <c r="A52" s="265" t="str">
        <f>L52</f>
        <v>Ing Reservas</v>
      </c>
      <c r="B52" s="266">
        <f>M52/$M$53</f>
        <v>0.489840647345738045</v>
      </c>
      <c r="C52" s="285"/>
      <c r="D52" s="281" t="str">
        <f>L62</f>
        <v>Pago Reservas</v>
      </c>
      <c r="E52" s="282">
        <f>M62</f>
        <v>0</v>
      </c>
      <c r="F52" s="60">
        <f>E52/E74</f>
        <v>0</v>
      </c>
      <c r="G52" s="283" t="s">
        <v>553</v>
      </c>
      <c r="H52" s="284">
        <f>133000+44650+25650+734350</f>
        <v>937650</v>
      </c>
      <c r="I52" s="271">
        <f>H52/$H$74</f>
        <v>0.011359268219137999</v>
      </c>
      <c r="J52" s="286"/>
      <c r="K52" s="445"/>
      <c r="L52" s="272" t="s">
        <v>554</v>
      </c>
      <c r="M52" s="273">
        <f>SUM(N52:AD52)</f>
        <v>8500000</v>
      </c>
      <c r="N52" s="275" t="n">
        <v>500000</v>
      </c>
      <c r="O52" s="275">
        <f>N52</f>
        <v>500000</v>
      </c>
      <c r="P52" s="275">
        <f>O52</f>
        <v>500000</v>
      </c>
      <c r="Q52" s="275">
        <f>P52</f>
        <v>500000</v>
      </c>
      <c r="R52" s="275">
        <f>Q52</f>
        <v>500000</v>
      </c>
      <c r="S52" s="275">
        <f>R52</f>
        <v>500000</v>
      </c>
      <c r="T52" s="275">
        <f>S52</f>
        <v>500000</v>
      </c>
      <c r="U52" s="275">
        <f>T52</f>
        <v>500000</v>
      </c>
      <c r="V52" s="275">
        <f>U52</f>
        <v>500000</v>
      </c>
      <c r="W52" s="275">
        <f>V52</f>
        <v>500000</v>
      </c>
      <c r="X52" s="275">
        <f>W52</f>
        <v>500000</v>
      </c>
      <c r="Y52" s="275">
        <f>X52</f>
        <v>500000</v>
      </c>
      <c r="Z52" s="275">
        <f>Y52</f>
        <v>500000</v>
      </c>
      <c r="AA52" s="275">
        <f>Z52</f>
        <v>500000</v>
      </c>
      <c r="AB52" s="275">
        <f>AA52</f>
        <v>500000</v>
      </c>
      <c r="AC52" s="275">
        <f>AB52</f>
        <v>500000</v>
      </c>
      <c r="AD52" s="275">
        <f>AC52</f>
        <v>500000</v>
      </c>
      <c r="AE52" s="286"/>
      <c r="AF52" s="286"/>
      <c r="AG52" s="286"/>
      <c r="AH52" s="286"/>
      <c r="AI52" s="286"/>
      <c r="AJ52" s="286"/>
      <c r="AK52" s="286"/>
      <c r="AL52" s="286"/>
    </row>
    <row r="53" spans="1:30">
      <c r="A53" s="285"/>
      <c r="B53" s="287">
        <f>SUM(B45:B52)</f>
        <v>1</v>
      </c>
      <c r="D53" s="280"/>
      <c r="E53" s="288"/>
      <c r="G53" s="283" t="s">
        <v>555</v>
      </c>
      <c r="H53" s="284" t="n">
        <v>0</v>
      </c>
      <c r="I53" s="271">
        <f>H53/$H$74</f>
        <v>0</v>
      </c>
      <c r="K53" s="289" t="s">
        <v>556</v>
      </c>
      <c r="L53" s="290"/>
      <c r="M53" s="291">
        <f>SUM(N53:AD53)</f>
        <v>17352582</v>
      </c>
      <c r="N53" s="292">
        <f>SUM(N45:N52)</f>
        <v>1235160</v>
      </c>
      <c r="O53" s="292">
        <f>SUM(O45:O52)</f>
        <v>651521</v>
      </c>
      <c r="P53" s="292">
        <f>SUM(P45:P52)</f>
        <v>662423</v>
      </c>
      <c r="Q53" s="292">
        <f>SUM(Q45:Q52)</f>
        <v>1143436</v>
      </c>
      <c r="R53" s="292">
        <f>SUM(R45:R52)</f>
        <v>866803</v>
      </c>
      <c r="S53" s="292">
        <f>SUM(S45:S52)</f>
        <v>967612</v>
      </c>
      <c r="T53" s="292">
        <f>SUM(T45:T52)</f>
        <v>2088622</v>
      </c>
      <c r="U53" s="292">
        <f>SUM(U45:U52)</f>
        <v>641149</v>
      </c>
      <c r="V53" s="292">
        <f>SUM(V45:V52)</f>
        <v>1077670</v>
      </c>
      <c r="W53" s="292">
        <f>SUM(W45:W52)</f>
        <v>641241</v>
      </c>
      <c r="X53" s="292">
        <f>SUM(X45:X52)</f>
        <v>1008111</v>
      </c>
      <c r="Y53" s="292">
        <f>SUM(Y45:Y52)</f>
        <v>623376</v>
      </c>
      <c r="Z53" s="292">
        <f>SUM(Z45:Z52)</f>
        <v>761189</v>
      </c>
      <c r="AA53" s="292">
        <f>SUM(AA45:AA52)</f>
        <v>1026540</v>
      </c>
      <c r="AB53" s="292">
        <f>SUM(AB45:AB52)</f>
        <v>617790</v>
      </c>
      <c r="AC53" s="292">
        <f>SUM(AC45:AC52)</f>
        <v>1876319</v>
      </c>
      <c r="AD53" s="292">
        <f>SUM(AD45:AD52)</f>
        <v>1463620</v>
      </c>
    </row>
    <row r="54" spans="1:30">
      <c r="A54" s="426">
        <f>M53</f>
        <v>17352582</v>
      </c>
      <c r="B54" s="426"/>
      <c r="D54" s="249" t="s">
        <v>557</v>
      </c>
      <c r="E54" s="258">
        <f>SUM(E55:E58)</f>
        <v>38989445</v>
      </c>
      <c r="F54" s="259">
        <f>E54/E74</f>
        <v>0.472342092966824012</v>
      </c>
      <c r="G54" s="283" t="s">
        <v>558</v>
      </c>
      <c r="H54" s="284" t="n">
        <v>0</v>
      </c>
      <c r="I54" s="271">
        <f>H54/$H$74</f>
        <v>0</v>
      </c>
      <c r="K54" s="293" t="s">
        <v>395</v>
      </c>
      <c r="L54" s="294" t="str">
        <f>K54</f>
        <v>Sueldos</v>
      </c>
      <c r="M54" s="295">
        <f>SUM(N54:AD54)</f>
        <v>3165576</v>
      </c>
      <c r="N54" s="296" t="n">
        <v>162736</v>
      </c>
      <c r="O54" s="296" t="n">
        <v>162736</v>
      </c>
      <c r="P54" s="296" t="n">
        <v>162736</v>
      </c>
      <c r="Q54" s="296">
        <f>P54</f>
        <v>162736</v>
      </c>
      <c r="R54" s="296" t="n">
        <v>162736</v>
      </c>
      <c r="S54" s="296" t="n">
        <v>168696</v>
      </c>
      <c r="T54" s="296">
        <f>S54+1500</f>
        <v>170196</v>
      </c>
      <c r="U54" s="296" t="n">
        <v>165150</v>
      </c>
      <c r="V54" s="296" t="n">
        <v>176218</v>
      </c>
      <c r="W54" s="296" t="n">
        <v>176528</v>
      </c>
      <c r="X54" s="296" t="n">
        <v>200518</v>
      </c>
      <c r="Y54" s="296" t="n">
        <v>208826</v>
      </c>
      <c r="Z54" s="296" t="n">
        <v>208826</v>
      </c>
      <c r="AA54" s="296" t="n">
        <v>218416</v>
      </c>
      <c r="AB54" s="296" t="n">
        <v>217378</v>
      </c>
      <c r="AC54" s="296" t="n">
        <v>213994</v>
      </c>
      <c r="AD54" s="296" t="n">
        <v>227150</v>
      </c>
    </row>
    <row r="55" spans="4:30">
      <c r="D55" s="281" t="s">
        <v>559</v>
      </c>
      <c r="E55" s="282" t="n">
        <v>0</v>
      </c>
      <c r="F55" s="60">
        <f>E55/E74</f>
        <v>0</v>
      </c>
      <c r="G55" s="297" t="s">
        <v>560</v>
      </c>
      <c r="H55" s="298">
        <f>E68-H65</f>
        <v>1523038</v>
      </c>
      <c r="I55" s="271">
        <f>H55/$H$74</f>
        <v>0.0184510181303690004</v>
      </c>
      <c r="K55" s="293" t="s">
        <v>561</v>
      </c>
      <c r="L55" s="294" t="str">
        <f>K55</f>
        <v>Mantenimiento </v>
      </c>
      <c r="M55" s="295">
        <f>SUM(N55:AD55)</f>
        <v>495040</v>
      </c>
      <c r="N55" s="296" t="n">
        <v>29120</v>
      </c>
      <c r="O55" s="296">
        <f>N55</f>
        <v>29120</v>
      </c>
      <c r="P55" s="296">
        <f>O55</f>
        <v>29120</v>
      </c>
      <c r="Q55" s="296">
        <f>P55</f>
        <v>29120</v>
      </c>
      <c r="R55" s="296">
        <f>Q55</f>
        <v>29120</v>
      </c>
      <c r="S55" s="296">
        <f>R55</f>
        <v>29120</v>
      </c>
      <c r="T55" s="296">
        <f>S55</f>
        <v>29120</v>
      </c>
      <c r="U55" s="296">
        <f>T55</f>
        <v>29120</v>
      </c>
      <c r="V55" s="296">
        <f>U55</f>
        <v>29120</v>
      </c>
      <c r="W55" s="296">
        <f>V55</f>
        <v>29120</v>
      </c>
      <c r="X55" s="296">
        <f>W55</f>
        <v>29120</v>
      </c>
      <c r="Y55" s="296">
        <f>X55</f>
        <v>29120</v>
      </c>
      <c r="Z55" s="296">
        <f>Y55</f>
        <v>29120</v>
      </c>
      <c r="AA55" s="296">
        <f>Z55</f>
        <v>29120</v>
      </c>
      <c r="AB55" s="296">
        <f>AA55</f>
        <v>29120</v>
      </c>
      <c r="AC55" s="296">
        <f>AB55</f>
        <v>29120</v>
      </c>
      <c r="AD55" s="296">
        <f>AC55</f>
        <v>29120</v>
      </c>
    </row>
    <row r="56" spans="4:30" ht="20.25" customHeight="1">
      <c r="D56" s="281" t="s">
        <v>557</v>
      </c>
      <c r="E56" s="282">
        <f>14003+1100+450+378420+6200+2100000+19100+99021+350+895000+8000+1838000+8434+5000+1570248+4162000+13170</f>
        <v>11118496</v>
      </c>
      <c r="F56" s="60">
        <f>E56/E74</f>
        <v>0.13469629206784699</v>
      </c>
      <c r="G56" s="280"/>
      <c r="H56" s="279"/>
      <c r="I56" s="299"/>
      <c r="K56" s="293" t="s">
        <v>562</v>
      </c>
      <c r="L56" s="294" t="s">
        <v>535</v>
      </c>
      <c r="M56" s="295">
        <f>SUM(N56:AD56)</f>
        <v>305380</v>
      </c>
      <c r="N56" s="296" t="n">
        <v>0</v>
      </c>
      <c r="O56" s="296" t="n">
        <v>0</v>
      </c>
      <c r="P56" s="296" t="n">
        <v>0</v>
      </c>
      <c r="Q56" s="296" t="n">
        <v>0</v>
      </c>
      <c r="R56" s="296" t="n">
        <v>0</v>
      </c>
      <c r="S56" s="296" t="n">
        <v>0</v>
      </c>
      <c r="T56" s="296" t="n">
        <v>0</v>
      </c>
      <c r="U56" s="296" t="n">
        <v>0</v>
      </c>
      <c r="V56" s="296" t="n">
        <v>0</v>
      </c>
      <c r="W56" s="296" t="n">
        <v>0</v>
      </c>
      <c r="X56" s="296" t="n">
        <v>0</v>
      </c>
      <c r="Y56" s="296" t="n">
        <v>0</v>
      </c>
      <c r="Z56" s="296" t="n">
        <v>0</v>
      </c>
      <c r="AA56" s="296" t="n">
        <v>0</v>
      </c>
      <c r="AB56" s="296" t="n">
        <v>0</v>
      </c>
      <c r="AC56" s="296" t="n">
        <v>305380</v>
      </c>
      <c r="AD56" s="296" t="n">
        <v>0</v>
      </c>
    </row>
    <row r="57" spans="4:30">
      <c r="D57" s="281" t="s">
        <v>563</v>
      </c>
      <c r="E57" s="282">
        <f>7000000+19000+600000+4000+496109+4000+1530000+5500+3450000+10000+2500000+5000+3600000+15000+3869000+5000+245000+2000+4500000+11340</f>
        <v>27870949</v>
      </c>
      <c r="F57" s="60">
        <f>E57/E74</f>
        <v>0.337645800898977022</v>
      </c>
      <c r="G57" s="249" t="s">
        <v>564</v>
      </c>
      <c r="H57" s="300">
        <f>H58</f>
        <v>10256758</v>
      </c>
      <c r="I57" s="261">
        <f>H57/$H$74</f>
        <v>0.124256668459226005</v>
      </c>
      <c r="K57" s="293" t="s">
        <v>565</v>
      </c>
      <c r="L57" s="294" t="str">
        <f>K57</f>
        <v>Empleados</v>
      </c>
      <c r="M57" s="295">
        <f>SUM(N57:AD57)</f>
        <v>1109760</v>
      </c>
      <c r="N57" s="296" t="n">
        <v>65280</v>
      </c>
      <c r="O57" s="296">
        <f>N57</f>
        <v>65280</v>
      </c>
      <c r="P57" s="296">
        <f>O57</f>
        <v>65280</v>
      </c>
      <c r="Q57" s="296">
        <f>P57</f>
        <v>65280</v>
      </c>
      <c r="R57" s="296">
        <f>Q57</f>
        <v>65280</v>
      </c>
      <c r="S57" s="296">
        <f>R57</f>
        <v>65280</v>
      </c>
      <c r="T57" s="296">
        <f>S57</f>
        <v>65280</v>
      </c>
      <c r="U57" s="296">
        <f>T57</f>
        <v>65280</v>
      </c>
      <c r="V57" s="296">
        <f>U57</f>
        <v>65280</v>
      </c>
      <c r="W57" s="296">
        <f>V57</f>
        <v>65280</v>
      </c>
      <c r="X57" s="296">
        <f>W57</f>
        <v>65280</v>
      </c>
      <c r="Y57" s="296">
        <f>X57</f>
        <v>65280</v>
      </c>
      <c r="Z57" s="296">
        <f>Y57</f>
        <v>65280</v>
      </c>
      <c r="AA57" s="296">
        <f>Z57</f>
        <v>65280</v>
      </c>
      <c r="AB57" s="296">
        <f>AA57</f>
        <v>65280</v>
      </c>
      <c r="AC57" s="296">
        <f>AB57</f>
        <v>65280</v>
      </c>
      <c r="AD57" s="296">
        <f>AC57</f>
        <v>65280</v>
      </c>
    </row>
    <row r="58" spans="4:30">
      <c r="D58" s="281" t="s">
        <v>566</v>
      </c>
      <c r="E58" s="282" t="n">
        <v>0</v>
      </c>
      <c r="F58" s="60">
        <f>E58/E74</f>
        <v>0</v>
      </c>
      <c r="G58" s="301" t="s">
        <v>567</v>
      </c>
      <c r="H58" s="302">
        <f>M59</f>
        <v>10256758</v>
      </c>
      <c r="I58" s="271">
        <f>H58/$H$74</f>
        <v>0.124256668459226005</v>
      </c>
      <c r="K58" s="293" t="s">
        <v>568</v>
      </c>
      <c r="L58" s="294" t="str">
        <f>K58</f>
        <v>Juveniles</v>
      </c>
      <c r="M58" s="295">
        <f>SUM(N58:AD58)</f>
        <v>340000</v>
      </c>
      <c r="N58" s="296" t="n">
        <v>20000</v>
      </c>
      <c r="O58" s="296">
        <f>N58</f>
        <v>20000</v>
      </c>
      <c r="P58" s="296">
        <f>O58</f>
        <v>20000</v>
      </c>
      <c r="Q58" s="296">
        <f>P58</f>
        <v>20000</v>
      </c>
      <c r="R58" s="296">
        <f>Q58</f>
        <v>20000</v>
      </c>
      <c r="S58" s="296">
        <f>R58</f>
        <v>20000</v>
      </c>
      <c r="T58" s="296">
        <f>S58</f>
        <v>20000</v>
      </c>
      <c r="U58" s="296">
        <f>T58</f>
        <v>20000</v>
      </c>
      <c r="V58" s="296">
        <f>U58</f>
        <v>20000</v>
      </c>
      <c r="W58" s="296">
        <f>V58</f>
        <v>20000</v>
      </c>
      <c r="X58" s="296">
        <f>W58</f>
        <v>20000</v>
      </c>
      <c r="Y58" s="296">
        <f>X58</f>
        <v>20000</v>
      </c>
      <c r="Z58" s="296">
        <f>Y58</f>
        <v>20000</v>
      </c>
      <c r="AA58" s="296">
        <f>Z58</f>
        <v>20000</v>
      </c>
      <c r="AB58" s="296">
        <f>AA58</f>
        <v>20000</v>
      </c>
      <c r="AC58" s="296">
        <f>AB58</f>
        <v>20000</v>
      </c>
      <c r="AD58" s="296">
        <f>AC58</f>
        <v>20000</v>
      </c>
    </row>
    <row r="59" spans="4:30" ht="20.25" customHeight="1">
      <c r="D59" s="280"/>
      <c r="E59" s="288"/>
      <c r="G59" s="278"/>
      <c r="H59" s="279"/>
      <c r="I59" s="271"/>
      <c r="K59" s="293" t="s">
        <v>569</v>
      </c>
      <c r="L59" s="294" t="s">
        <v>567</v>
      </c>
      <c r="M59" s="295">
        <f>SUM(N59:AD59)</f>
        <v>10256758</v>
      </c>
      <c r="N59" s="296" t="n">
        <v>0</v>
      </c>
      <c r="O59" s="296" t="n">
        <v>0</v>
      </c>
      <c r="P59" s="296">
        <f>O59</f>
        <v>0</v>
      </c>
      <c r="Q59" s="296">
        <f>P59</f>
        <v>0</v>
      </c>
      <c r="R59" s="296">
        <f>Q59</f>
        <v>0</v>
      </c>
      <c r="S59" s="296">
        <f>R59</f>
        <v>0</v>
      </c>
      <c r="T59" s="296">
        <f>S59</f>
        <v>0</v>
      </c>
      <c r="U59" s="296" t="n">
        <v>1570248</v>
      </c>
      <c r="V59" s="296" t="n">
        <v>0</v>
      </c>
      <c r="W59" s="296" t="n">
        <v>4175170</v>
      </c>
      <c r="X59" s="296" t="n">
        <v>0</v>
      </c>
      <c r="Y59" s="296">
        <f>X59</f>
        <v>0</v>
      </c>
      <c r="Z59" s="296">
        <f>Y59</f>
        <v>0</v>
      </c>
      <c r="AA59" s="296">
        <f>Z59</f>
        <v>0</v>
      </c>
      <c r="AB59" s="296">
        <f>AA59</f>
        <v>0</v>
      </c>
      <c r="AC59" s="296" t="n">
        <v>4511340</v>
      </c>
      <c r="AD59" s="296" t="n">
        <v>0</v>
      </c>
    </row>
    <row r="60" spans="4:30">
      <c r="D60" s="249" t="s">
        <v>542</v>
      </c>
      <c r="E60" s="303">
        <f>E61</f>
        <v>2013660</v>
      </c>
      <c r="F60" s="259">
        <f>E60/E74</f>
        <v>0.0243947144906420021</v>
      </c>
      <c r="G60" s="278"/>
      <c r="H60" s="279"/>
      <c r="I60" s="271"/>
      <c r="K60" s="427" t="s">
        <v>549</v>
      </c>
      <c r="L60" s="294" t="s">
        <v>403</v>
      </c>
      <c r="M60" s="295">
        <f>SUM(N60:AD60)</f>
        <v>0</v>
      </c>
      <c r="N60" s="296" t="n">
        <v>0</v>
      </c>
      <c r="O60" s="296">
        <f>N60</f>
        <v>0</v>
      </c>
      <c r="P60" s="296">
        <f>O60</f>
        <v>0</v>
      </c>
      <c r="Q60" s="296">
        <f>P60</f>
        <v>0</v>
      </c>
      <c r="R60" s="296">
        <f>Q60</f>
        <v>0</v>
      </c>
      <c r="S60" s="296">
        <f>R60</f>
        <v>0</v>
      </c>
      <c r="T60" s="296">
        <f>S60</f>
        <v>0</v>
      </c>
      <c r="U60" s="296">
        <f>T60</f>
        <v>0</v>
      </c>
      <c r="V60" s="296">
        <f>U60</f>
        <v>0</v>
      </c>
      <c r="W60" s="296">
        <f>V60</f>
        <v>0</v>
      </c>
      <c r="X60" s="296">
        <f>W60</f>
        <v>0</v>
      </c>
      <c r="Y60" s="296">
        <f>X60</f>
        <v>0</v>
      </c>
      <c r="Z60" s="296">
        <f>Y60</f>
        <v>0</v>
      </c>
      <c r="AA60" s="296">
        <f>Z60</f>
        <v>0</v>
      </c>
      <c r="AB60" s="296">
        <f>AA60</f>
        <v>0</v>
      </c>
      <c r="AC60" s="296">
        <f>AB60</f>
        <v>0</v>
      </c>
      <c r="AD60" s="296">
        <f>AC60</f>
        <v>0</v>
      </c>
    </row>
    <row r="61" spans="4:30">
      <c r="D61" s="281" t="s">
        <v>542</v>
      </c>
      <c r="E61" s="282">
        <f>M47+M48</f>
        <v>2013660</v>
      </c>
      <c r="F61" s="60">
        <f>E61/E74</f>
        <v>0.0243947144906420021</v>
      </c>
      <c r="G61" s="249" t="s">
        <v>570</v>
      </c>
      <c r="H61" s="260">
        <f>SUM(H62:H63)</f>
        <v>305380</v>
      </c>
      <c r="I61" s="261">
        <f>H61/$H$74</f>
        <v>0.00369956095425799969</v>
      </c>
      <c r="K61" s="428"/>
      <c r="L61" s="294" t="s">
        <v>571</v>
      </c>
      <c r="M61" s="295">
        <f>SUM(N61:AD61)</f>
        <v>205508</v>
      </c>
      <c r="N61" s="296" t="n">
        <v>18000</v>
      </c>
      <c r="O61" s="296" t="n">
        <v>3000</v>
      </c>
      <c r="P61" s="296" t="n">
        <v>3000</v>
      </c>
      <c r="Q61" s="296" t="n">
        <v>3000</v>
      </c>
      <c r="R61" s="296" t="n">
        <v>3000</v>
      </c>
      <c r="S61" s="296" t="n">
        <v>4000</v>
      </c>
      <c r="T61" s="296" t="n">
        <v>3000</v>
      </c>
      <c r="U61" s="296" t="n">
        <v>84508</v>
      </c>
      <c r="V61" s="296" t="n">
        <v>3000</v>
      </c>
      <c r="W61" s="296" t="n">
        <v>11000</v>
      </c>
      <c r="X61" s="296" t="n">
        <v>8000</v>
      </c>
      <c r="Y61" s="296" t="n">
        <v>6000</v>
      </c>
      <c r="Z61" s="296">
        <f>Y61</f>
        <v>6000</v>
      </c>
      <c r="AA61" s="296" t="n">
        <v>9000</v>
      </c>
      <c r="AB61" s="296" t="n">
        <v>8000</v>
      </c>
      <c r="AC61" s="296" t="n">
        <v>16000</v>
      </c>
      <c r="AD61" s="296" t="n">
        <v>17000</v>
      </c>
    </row>
    <row r="62" spans="3:30">
      <c r="C62" s="304"/>
      <c r="D62" s="280"/>
      <c r="E62" s="288"/>
      <c r="G62" s="301" t="s">
        <v>535</v>
      </c>
      <c r="H62" s="305">
        <f>M56</f>
        <v>305380</v>
      </c>
      <c r="I62" s="271">
        <f>H62/$H$74</f>
        <v>0.00369956095425799969</v>
      </c>
      <c r="K62" s="429"/>
      <c r="L62" s="294" t="s">
        <v>572</v>
      </c>
      <c r="M62" s="295">
        <f>SUM(N62:AD62)</f>
        <v>0</v>
      </c>
      <c r="N62" s="296" t="n">
        <v>0</v>
      </c>
      <c r="O62" s="296">
        <f>N62</f>
        <v>0</v>
      </c>
      <c r="P62" s="296">
        <f>O62</f>
        <v>0</v>
      </c>
      <c r="Q62" s="296">
        <f>P62</f>
        <v>0</v>
      </c>
      <c r="R62" s="296">
        <f>Q62</f>
        <v>0</v>
      </c>
      <c r="S62" s="296">
        <f>R62</f>
        <v>0</v>
      </c>
      <c r="T62" s="296">
        <f>S62</f>
        <v>0</v>
      </c>
      <c r="U62" s="296">
        <f>T62</f>
        <v>0</v>
      </c>
      <c r="V62" s="296">
        <f>U62</f>
        <v>0</v>
      </c>
      <c r="W62" s="296">
        <f>V62</f>
        <v>0</v>
      </c>
      <c r="X62" s="296">
        <f>W62</f>
        <v>0</v>
      </c>
      <c r="Y62" s="296">
        <f>X62</f>
        <v>0</v>
      </c>
      <c r="Z62" s="296">
        <f>Y62</f>
        <v>0</v>
      </c>
      <c r="AA62" s="296">
        <f>Z62</f>
        <v>0</v>
      </c>
      <c r="AB62" s="296">
        <f>AA62</f>
        <v>0</v>
      </c>
      <c r="AC62" s="296">
        <f>AB62</f>
        <v>0</v>
      </c>
      <c r="AD62" s="296">
        <f>AC62</f>
        <v>0</v>
      </c>
    </row>
    <row r="63" spans="1:30">
      <c r="A63" s="306" t="str">
        <f>L54</f>
        <v>Sueldos</v>
      </c>
      <c r="B63" s="307">
        <f>M54/$M$64</f>
        <v>0.199368409994645006</v>
      </c>
      <c r="C63" s="257"/>
      <c r="D63" s="249" t="s">
        <v>573</v>
      </c>
      <c r="E63" s="258">
        <f>E64+E65-E66</f>
        <v>17183459</v>
      </c>
      <c r="F63" s="259">
        <f>E63/E74</f>
        <v>0.208170980337617006</v>
      </c>
      <c r="G63" s="301" t="s">
        <v>403</v>
      </c>
      <c r="H63" s="305">
        <f>M60</f>
        <v>0</v>
      </c>
      <c r="I63" s="271">
        <f>H63/$H$74</f>
        <v>0</v>
      </c>
      <c r="K63" s="293" t="s">
        <v>574</v>
      </c>
      <c r="L63" s="294" t="str">
        <f>K63</f>
        <v>Intereses</v>
      </c>
      <c r="M63" s="295">
        <f>SUM(N63:AD63)</f>
        <v>0</v>
      </c>
      <c r="N63" s="296" t="n">
        <v>0</v>
      </c>
      <c r="O63" s="296">
        <f>N63</f>
        <v>0</v>
      </c>
      <c r="P63" s="296">
        <f>O63</f>
        <v>0</v>
      </c>
      <c r="Q63" s="296">
        <f>P63</f>
        <v>0</v>
      </c>
      <c r="R63" s="296">
        <f>Q63</f>
        <v>0</v>
      </c>
      <c r="S63" s="296">
        <f>R63</f>
        <v>0</v>
      </c>
      <c r="T63" s="296">
        <f>S63</f>
        <v>0</v>
      </c>
      <c r="U63" s="296">
        <f>T63</f>
        <v>0</v>
      </c>
      <c r="V63" s="296">
        <f>U63</f>
        <v>0</v>
      </c>
      <c r="W63" s="296">
        <f>V63</f>
        <v>0</v>
      </c>
      <c r="X63" s="296">
        <f>W63</f>
        <v>0</v>
      </c>
      <c r="Y63" s="296">
        <f>X63</f>
        <v>0</v>
      </c>
      <c r="Z63" s="296">
        <f>Y63</f>
        <v>0</v>
      </c>
      <c r="AA63" s="296">
        <f>Z63</f>
        <v>0</v>
      </c>
      <c r="AB63" s="296">
        <f>AA63</f>
        <v>0</v>
      </c>
      <c r="AC63" s="296">
        <f>AB63</f>
        <v>0</v>
      </c>
      <c r="AD63" s="296">
        <f>AC63</f>
        <v>0</v>
      </c>
    </row>
    <row r="64" spans="1:30">
      <c r="A64" s="306" t="str">
        <f>L55</f>
        <v>Mantenimiento </v>
      </c>
      <c r="B64" s="307">
        <f>M55/$M$64</f>
        <v>0.031177686994010001</v>
      </c>
      <c r="C64" s="241"/>
      <c r="D64" s="283" t="s">
        <v>575</v>
      </c>
      <c r="E64" s="308">
        <f>N44</f>
        <v>8683459</v>
      </c>
      <c r="F64" s="60">
        <f>E64/E74</f>
        <v>0.105196757693053011</v>
      </c>
      <c r="G64" s="278"/>
      <c r="H64" s="279"/>
      <c r="I64" s="271"/>
      <c r="K64" s="309" t="s">
        <v>576</v>
      </c>
      <c r="L64" s="310"/>
      <c r="M64" s="311">
        <f>SUM(N64:AD64)</f>
        <v>15878022</v>
      </c>
      <c r="N64" s="312">
        <f>SUM(N54:N63)</f>
        <v>295136</v>
      </c>
      <c r="O64" s="312">
        <f>SUM(O54:O63)</f>
        <v>280136</v>
      </c>
      <c r="P64" s="312">
        <f>SUM(P54:P63)</f>
        <v>280136</v>
      </c>
      <c r="Q64" s="312">
        <f>SUM(Q54:Q63)</f>
        <v>280136</v>
      </c>
      <c r="R64" s="312">
        <f>SUM(R54:R63)</f>
        <v>280136</v>
      </c>
      <c r="S64" s="312">
        <f>SUM(S54:S63)</f>
        <v>287096</v>
      </c>
      <c r="T64" s="312">
        <f>SUM(T54:T63)</f>
        <v>287596</v>
      </c>
      <c r="U64" s="312">
        <f>SUM(U54:U63)</f>
        <v>1934306</v>
      </c>
      <c r="V64" s="312">
        <f>SUM(V54:V63)</f>
        <v>293618</v>
      </c>
      <c r="W64" s="312">
        <f>SUM(W54:W63)</f>
        <v>4477098</v>
      </c>
      <c r="X64" s="312">
        <f>SUM(X54:X63)</f>
        <v>322918</v>
      </c>
      <c r="Y64" s="312">
        <f>SUM(Y54:Y63)</f>
        <v>329226</v>
      </c>
      <c r="Z64" s="312">
        <f>SUM(Z54:Z63)</f>
        <v>329226</v>
      </c>
      <c r="AA64" s="312">
        <f>SUM(AA54:AA63)</f>
        <v>341816</v>
      </c>
      <c r="AB64" s="312">
        <f>SUM(AB54:AB63)</f>
        <v>339778</v>
      </c>
      <c r="AC64" s="312">
        <f>SUM(AC54:AC63)</f>
        <v>5161114</v>
      </c>
      <c r="AD64" s="312">
        <f>SUM(AD54:AD63)</f>
        <v>358550</v>
      </c>
    </row>
    <row r="65" spans="1:30">
      <c r="A65" s="306" t="str">
        <f>L56</f>
        <v>Estadio</v>
      </c>
      <c r="B65" s="307">
        <f>M56/$M$64</f>
        <v>0.0192328742207310004</v>
      </c>
      <c r="C65" s="43"/>
      <c r="D65" s="283" t="str">
        <f>D51</f>
        <v>Ing Reservas</v>
      </c>
      <c r="E65" s="353">
        <f>M52</f>
        <v>8500000</v>
      </c>
      <c r="F65" s="60">
        <f>E65/E74</f>
        <v>0.102974222644564994</v>
      </c>
      <c r="G65" s="249" t="s">
        <v>577</v>
      </c>
      <c r="H65" s="260">
        <f>SUM(H66:H71)</f>
        <v>5315884</v>
      </c>
      <c r="I65" s="261">
        <f>H65/$H$74</f>
        <v>0.0643998850080800089</v>
      </c>
      <c r="K65" s="313" t="s">
        <v>578</v>
      </c>
      <c r="L65" s="313"/>
      <c r="M65" s="264">
        <f>M44+M53-M64</f>
        <v>10158019</v>
      </c>
      <c r="N65" s="264">
        <f>N44+N53-N64</f>
        <v>9623483</v>
      </c>
      <c r="O65" s="264">
        <f>O44+O53-O64</f>
        <v>9994868</v>
      </c>
      <c r="P65" s="264">
        <f>P44+P53-P64</f>
        <v>10377155</v>
      </c>
      <c r="Q65" s="264">
        <f>Q44+Q53-Q64</f>
        <v>11240455</v>
      </c>
      <c r="R65" s="264">
        <f>R44+R53-R64</f>
        <v>11827122</v>
      </c>
      <c r="S65" s="264">
        <f>S44+S53-S64</f>
        <v>12507638</v>
      </c>
      <c r="T65" s="264">
        <f>T44+T53-T64</f>
        <v>14308664</v>
      </c>
      <c r="U65" s="264">
        <f>U44+U53-U64</f>
        <v>13015507</v>
      </c>
      <c r="V65" s="264">
        <f>V44+V53-V64</f>
        <v>13799559</v>
      </c>
      <c r="W65" s="264">
        <f>W44+W53-W64</f>
        <v>9963702</v>
      </c>
      <c r="X65" s="264">
        <f>X44+X53-X64</f>
        <v>10648895</v>
      </c>
      <c r="Y65" s="264">
        <f>Y44+Y53-Y64</f>
        <v>10943045</v>
      </c>
      <c r="Z65" s="264">
        <f>Z44+Z53-Z64</f>
        <v>11375008</v>
      </c>
      <c r="AA65" s="264">
        <f>AA44+AA53-AA64</f>
        <v>12059732</v>
      </c>
      <c r="AB65" s="264">
        <f>AB44+AB53-AB64</f>
        <v>12337744</v>
      </c>
      <c r="AC65" s="264">
        <f>AC44+AC53-AC64</f>
        <v>9052949</v>
      </c>
      <c r="AD65" s="264">
        <f>AD44+AD53-AD64</f>
        <v>10158019</v>
      </c>
    </row>
    <row r="66" spans="1:30">
      <c r="A66" s="306" t="str">
        <f>L57</f>
        <v>Empleados</v>
      </c>
      <c r="B66" s="307">
        <f>M57/$M$64</f>
        <v>0.0698928367777800119</v>
      </c>
      <c r="C66" s="45"/>
      <c r="D66" s="283" t="str">
        <f>D52</f>
        <v>Pago Reservas</v>
      </c>
      <c r="E66" s="308">
        <f>M62*-1</f>
        <v>0</v>
      </c>
      <c r="F66" s="60">
        <f>E66/E74</f>
        <v>0</v>
      </c>
      <c r="G66" s="301" t="s">
        <v>579</v>
      </c>
      <c r="H66" s="305">
        <f>M54</f>
        <v>3165576</v>
      </c>
      <c r="I66" s="271">
        <f>H66/$H$74</f>
        <v>0.0383497326849749953</v>
      </c>
      <c r="K66" s="314"/>
      <c r="L66" s="314"/>
      <c r="M66" s="314"/>
      <c r="N66" s="315">
        <f>N40+7</f>
        <v>43644</v>
      </c>
      <c r="O66" s="315">
        <f>N66+7</f>
        <v>43651</v>
      </c>
      <c r="P66" s="315">
        <f>O66+7</f>
        <v>43658</v>
      </c>
      <c r="Q66" s="315">
        <f>P66+7</f>
        <v>43665</v>
      </c>
      <c r="R66" s="315">
        <f>Q66+7</f>
        <v>43672</v>
      </c>
      <c r="S66" s="315">
        <f>R66+7</f>
        <v>43679</v>
      </c>
      <c r="T66" s="315">
        <f>S66+7</f>
        <v>43686</v>
      </c>
      <c r="U66" s="315">
        <f>T66+7</f>
        <v>43693</v>
      </c>
      <c r="V66" s="315">
        <f>U66+7</f>
        <v>43700</v>
      </c>
      <c r="W66" s="315">
        <f>V66+7</f>
        <v>43707</v>
      </c>
      <c r="X66" s="315">
        <f>W66+7</f>
        <v>43714</v>
      </c>
      <c r="Y66" s="315">
        <f>X66+7</f>
        <v>43721</v>
      </c>
      <c r="Z66" s="315">
        <f>Y66+7</f>
        <v>43728</v>
      </c>
      <c r="AA66" s="315">
        <f>Z66+7</f>
        <v>43735</v>
      </c>
      <c r="AB66" s="315">
        <f>AA66+7</f>
        <v>43742</v>
      </c>
      <c r="AC66" s="315">
        <f>AB66+7</f>
        <v>43749</v>
      </c>
      <c r="AD66" s="315">
        <f>AC66+7</f>
        <v>43756</v>
      </c>
    </row>
    <row r="67" spans="1:30">
      <c r="A67" s="306" t="str">
        <f>L58</f>
        <v>Juveniles</v>
      </c>
      <c r="B67" s="307">
        <f>M58/$M$64</f>
        <v>0.021413246561820003</v>
      </c>
      <c r="C67" s="43"/>
      <c r="D67" s="278"/>
      <c r="E67" s="316"/>
      <c r="F67" s="60"/>
      <c r="G67" s="301" t="s">
        <v>561</v>
      </c>
      <c r="H67" s="305">
        <f>M55</f>
        <v>495040</v>
      </c>
      <c r="I67" s="271">
        <f>H67/$H$74</f>
        <v>0.00599721872681899981</v>
      </c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</row>
    <row r="68" spans="1:30">
      <c r="A68" s="306" t="str">
        <f>L59</f>
        <v>Compra</v>
      </c>
      <c r="B68" s="307">
        <f>M59/$M$64</f>
        <v>0.64597202346740703</v>
      </c>
      <c r="D68" s="249" t="s">
        <v>580</v>
      </c>
      <c r="E68" s="258">
        <f>SUM(E69:E73)</f>
        <v>6838922</v>
      </c>
      <c r="F68" s="259">
        <f>E68/E74</f>
        <v>0.082850903138448011</v>
      </c>
      <c r="G68" s="301" t="s">
        <v>565</v>
      </c>
      <c r="H68" s="305">
        <f>M57</f>
        <v>1109760</v>
      </c>
      <c r="I68" s="271">
        <f>H68/$H$74</f>
        <v>0.0134443145084740001</v>
      </c>
      <c r="K68" s="318"/>
      <c r="L68" s="318"/>
      <c r="M68" s="319" t="s">
        <v>557</v>
      </c>
      <c r="N68" s="320" t="n">
        <v>18</v>
      </c>
      <c r="O68" s="320" t="n">
        <v>18</v>
      </c>
      <c r="P68" s="320" t="n">
        <v>18</v>
      </c>
      <c r="Q68" s="320" t="n">
        <v>18</v>
      </c>
      <c r="R68" s="320" t="n">
        <v>18</v>
      </c>
      <c r="S68" s="320" t="n">
        <v>18</v>
      </c>
      <c r="T68" s="320"/>
      <c r="U68" s="320"/>
      <c r="V68" s="320" t="n">
        <v>17</v>
      </c>
      <c r="W68" s="320" t="n">
        <v>17</v>
      </c>
      <c r="X68" s="320" t="n">
        <v>19</v>
      </c>
      <c r="Y68" s="320" t="n">
        <v>19</v>
      </c>
      <c r="Z68" s="320"/>
      <c r="AA68" s="320" t="n">
        <v>20</v>
      </c>
      <c r="AB68" s="320" t="n">
        <v>20</v>
      </c>
      <c r="AC68" s="320" t="n">
        <v>22</v>
      </c>
      <c r="AD68" s="320" t="n">
        <v>21</v>
      </c>
    </row>
    <row r="69" spans="1:30">
      <c r="A69" s="306" t="str">
        <f>L60</f>
        <v>Entrenador</v>
      </c>
      <c r="B69" s="307">
        <f>M60/$M$64</f>
        <v>0</v>
      </c>
      <c r="D69" s="283" t="s">
        <v>530</v>
      </c>
      <c r="E69" s="308">
        <f>M50</f>
        <v>120064</v>
      </c>
      <c r="F69" s="60">
        <f>E69/E74</f>
        <v>0.00145452906677599998</v>
      </c>
      <c r="G69" s="301" t="s">
        <v>568</v>
      </c>
      <c r="H69" s="305">
        <f>M58</f>
        <v>340000</v>
      </c>
      <c r="I69" s="271">
        <f>H69/$H$74</f>
        <v>0.00411896890578299946</v>
      </c>
      <c r="K69" s="43"/>
      <c r="L69" s="430" t="s">
        <v>581</v>
      </c>
      <c r="M69" s="321" t="s">
        <v>134</v>
      </c>
      <c r="N69" s="320" t="n">
        <v>950340</v>
      </c>
      <c r="O69" s="320" t="n">
        <v>949900</v>
      </c>
      <c r="P69" s="320" t="n">
        <v>1007530</v>
      </c>
      <c r="Q69" s="320" t="n">
        <v>1065770</v>
      </c>
      <c r="R69" s="320" t="n">
        <v>1065800</v>
      </c>
      <c r="S69" s="320" t="n">
        <v>1092850</v>
      </c>
      <c r="T69" s="320"/>
      <c r="U69" s="320"/>
      <c r="V69" s="320" t="n">
        <v>1154480</v>
      </c>
      <c r="W69" s="320" t="n">
        <v>1166260</v>
      </c>
      <c r="X69" s="320" t="n">
        <v>1290910</v>
      </c>
      <c r="Y69" s="320" t="n">
        <v>1318910</v>
      </c>
      <c r="Z69" s="320"/>
      <c r="AA69" s="320" t="n">
        <v>1329090</v>
      </c>
      <c r="AB69" s="320" t="n">
        <v>1335700</v>
      </c>
      <c r="AC69" s="320" t="n">
        <v>1391860</v>
      </c>
      <c r="AD69" s="320" t="n">
        <v>1417100</v>
      </c>
    </row>
    <row r="70" spans="1:30">
      <c r="A70" s="306" t="str">
        <f>L61</f>
        <v>Viajes+Venta</v>
      </c>
      <c r="B70" s="307">
        <f>M61/$M$64</f>
        <v>0.0129429219836070008</v>
      </c>
      <c r="D70" s="283" t="s">
        <v>552</v>
      </c>
      <c r="E70" s="308">
        <f>M51</f>
        <v>1125000</v>
      </c>
      <c r="F70" s="60">
        <f>E70/E74</f>
        <v>0.0136289412323689985</v>
      </c>
      <c r="G70" s="301" t="s">
        <v>571</v>
      </c>
      <c r="H70" s="305">
        <f>M61</f>
        <v>205508</v>
      </c>
      <c r="I70" s="271">
        <f>H70/$H$74</f>
        <v>0.00248965018202799993</v>
      </c>
      <c r="K70" s="43"/>
      <c r="L70" s="430"/>
      <c r="M70" s="321" t="s">
        <v>480</v>
      </c>
      <c r="N70" s="320" t="n">
        <v>162436</v>
      </c>
      <c r="O70" s="320" t="n">
        <v>162436</v>
      </c>
      <c r="P70" s="320" t="n">
        <v>162436</v>
      </c>
      <c r="Q70" s="320" t="n">
        <v>162436</v>
      </c>
      <c r="R70" s="320" t="n">
        <v>162436</v>
      </c>
      <c r="S70" s="320" t="n">
        <v>168396</v>
      </c>
      <c r="T70" s="320"/>
      <c r="U70" s="320"/>
      <c r="V70" s="320" t="n">
        <v>175918</v>
      </c>
      <c r="W70" s="320" t="n">
        <v>187048</v>
      </c>
      <c r="X70" s="320" t="n">
        <v>208526</v>
      </c>
      <c r="Y70" s="320" t="n">
        <v>208526</v>
      </c>
      <c r="Z70" s="320"/>
      <c r="AA70" s="320" t="n">
        <v>217078</v>
      </c>
      <c r="AB70" s="320" t="n">
        <v>215974</v>
      </c>
      <c r="AC70" s="320" t="n">
        <v>225484</v>
      </c>
      <c r="AD70" s="320" t="n">
        <v>226850</v>
      </c>
    </row>
    <row r="71" spans="1:30">
      <c r="A71" s="306" t="str">
        <f>L63</f>
        <v>Intereses</v>
      </c>
      <c r="B71" s="307">
        <f>M63/$M$64</f>
        <v>0</v>
      </c>
      <c r="D71" s="283" t="s">
        <v>537</v>
      </c>
      <c r="E71" s="308">
        <f>M45</f>
        <v>3506373</v>
      </c>
      <c r="F71" s="60">
        <f>E71/E74</f>
        <v>0.0424783569384579973</v>
      </c>
      <c r="G71" s="301" t="s">
        <v>574</v>
      </c>
      <c r="H71" s="305">
        <f>M63</f>
        <v>0</v>
      </c>
      <c r="I71" s="271">
        <f>H71/$H$74</f>
        <v>0</v>
      </c>
      <c r="K71" s="43"/>
      <c r="L71" s="430"/>
      <c r="M71" s="321" t="s">
        <v>396</v>
      </c>
      <c r="N71" s="320" t="n">
        <v>867000</v>
      </c>
      <c r="O71" s="320" t="n">
        <v>866870</v>
      </c>
      <c r="P71" s="320" t="n">
        <v>921130</v>
      </c>
      <c r="Q71" s="320" t="n">
        <v>981580</v>
      </c>
      <c r="R71" s="320" t="n">
        <v>981420</v>
      </c>
      <c r="S71" s="320" t="n">
        <v>1007480</v>
      </c>
      <c r="T71" s="320"/>
      <c r="U71" s="320"/>
      <c r="V71" s="320" t="n">
        <v>1062240</v>
      </c>
      <c r="W71" s="320" t="n">
        <v>1070780</v>
      </c>
      <c r="X71" s="320" t="n">
        <v>1132060</v>
      </c>
      <c r="Y71" s="320" t="n">
        <v>1158820</v>
      </c>
      <c r="Z71" s="320"/>
      <c r="AA71" s="320" t="n">
        <v>1172920</v>
      </c>
      <c r="AB71" s="320" t="n">
        <v>1184390</v>
      </c>
      <c r="AC71" s="320" t="n">
        <v>1192530</v>
      </c>
      <c r="AD71" s="320" t="n">
        <v>1226010</v>
      </c>
    </row>
    <row r="72" spans="1:30">
      <c r="A72" s="43"/>
      <c r="B72" s="322">
        <f>SUM(B63:B71)</f>
        <v>1</v>
      </c>
      <c r="D72" s="283" t="s">
        <v>539</v>
      </c>
      <c r="E72" s="308">
        <f>M46</f>
        <v>1717645</v>
      </c>
      <c r="F72" s="60">
        <f>E72/E74</f>
        <v>0.0208086069005090035</v>
      </c>
      <c r="G72" s="278"/>
      <c r="H72" s="279"/>
      <c r="I72" s="271"/>
      <c r="K72" s="43"/>
      <c r="L72" s="430"/>
      <c r="M72" s="321" t="s">
        <v>397</v>
      </c>
      <c r="N72" s="320" t="n">
        <v>140830</v>
      </c>
      <c r="O72" s="320" t="n">
        <v>140830</v>
      </c>
      <c r="P72" s="320" t="n">
        <v>140830</v>
      </c>
      <c r="Q72" s="320" t="n">
        <v>140830</v>
      </c>
      <c r="R72" s="320" t="n">
        <v>140830</v>
      </c>
      <c r="S72" s="320" t="n">
        <v>146790</v>
      </c>
      <c r="T72" s="320"/>
      <c r="U72" s="320"/>
      <c r="V72" s="320" t="n">
        <v>148210</v>
      </c>
      <c r="W72" s="320" t="n">
        <v>159030</v>
      </c>
      <c r="X72" s="320" t="n">
        <v>163720</v>
      </c>
      <c r="Y72" s="320" t="n">
        <v>163720</v>
      </c>
      <c r="Z72" s="320"/>
      <c r="AA72" s="320" t="n">
        <v>161620</v>
      </c>
      <c r="AB72" s="320" t="n">
        <v>173310</v>
      </c>
      <c r="AC72" s="320" t="n">
        <v>173310</v>
      </c>
      <c r="AD72" s="320" t="n">
        <v>176410</v>
      </c>
    </row>
    <row r="73" spans="1:30">
      <c r="A73" s="45"/>
      <c r="B73" s="323"/>
      <c r="D73" s="324" t="s">
        <v>546</v>
      </c>
      <c r="E73" s="325">
        <f>M49</f>
        <v>369840</v>
      </c>
      <c r="F73" s="60">
        <f>E73/E74</f>
        <v>0.00448046900033700091</v>
      </c>
      <c r="G73" s="326"/>
      <c r="H73" s="327"/>
      <c r="I73" s="328"/>
      <c r="K73" s="43"/>
      <c r="L73" s="430"/>
      <c r="M73" s="321" t="s">
        <v>401</v>
      </c>
      <c r="N73" s="329" t="s">
        <v>582</v>
      </c>
      <c r="O73" s="329" t="s">
        <v>583</v>
      </c>
      <c r="P73" s="329" t="s">
        <v>584</v>
      </c>
      <c r="Q73" s="329" t="s">
        <v>585</v>
      </c>
      <c r="R73" s="329" t="s">
        <v>586</v>
      </c>
      <c r="S73" s="329" t="s">
        <v>587</v>
      </c>
      <c r="T73" s="329"/>
      <c r="U73" s="329"/>
      <c r="V73" s="329" t="s">
        <v>588</v>
      </c>
      <c r="W73" s="329" t="s">
        <v>589</v>
      </c>
      <c r="X73" s="329" t="s">
        <v>590</v>
      </c>
      <c r="Y73" s="329" t="s">
        <v>583</v>
      </c>
      <c r="Z73" s="329"/>
      <c r="AA73" s="329" t="s">
        <v>598</v>
      </c>
      <c r="AB73" s="329" t="s">
        <v>586</v>
      </c>
      <c r="AC73" s="329" t="s">
        <v>591</v>
      </c>
      <c r="AD73" s="329" t="s">
        <v>592</v>
      </c>
    </row>
    <row r="74" spans="1:30">
      <c r="A74" s="431">
        <f>M64</f>
        <v>15878022</v>
      </c>
      <c r="B74" s="431"/>
      <c r="D74" s="330" t="s">
        <v>593</v>
      </c>
      <c r="E74" s="331">
        <f>E68+E60+E54+E44+E49+E63</f>
        <v>82544930</v>
      </c>
      <c r="F74" s="332">
        <f>F68+F60+F54+F44+F49+F63</f>
        <v>1</v>
      </c>
      <c r="G74" s="330" t="s">
        <v>593</v>
      </c>
      <c r="H74" s="331">
        <f>H65+H57+H49+H44+H61</f>
        <v>82544930</v>
      </c>
      <c r="I74" s="333">
        <f>H74/$H$74</f>
        <v>1</v>
      </c>
      <c r="K74" s="43"/>
      <c r="L74" s="430"/>
      <c r="M74" s="321" t="s">
        <v>594</v>
      </c>
      <c r="N74" s="334" t="n">
        <v>6</v>
      </c>
      <c r="O74" s="334" t="n">
        <v>6</v>
      </c>
      <c r="P74" s="334" t="n">
        <v>6</v>
      </c>
      <c r="Q74" s="334" t="n">
        <v>6</v>
      </c>
      <c r="R74" s="334" t="n">
        <v>6</v>
      </c>
      <c r="S74" s="334" t="n">
        <v>6</v>
      </c>
      <c r="T74" s="334"/>
      <c r="U74" s="334"/>
      <c r="V74" s="334" t="n">
        <v>6.25</v>
      </c>
      <c r="W74" s="334" t="n">
        <v>6.25</v>
      </c>
      <c r="X74" s="334" t="n">
        <v>6.25</v>
      </c>
      <c r="Y74" s="334" t="n">
        <v>6.25</v>
      </c>
      <c r="Z74" s="334"/>
      <c r="AA74" s="334" t="n">
        <v>6.25</v>
      </c>
      <c r="AB74" s="334" t="n">
        <v>6.5</v>
      </c>
      <c r="AC74" s="334" t="n">
        <v>6.5</v>
      </c>
      <c r="AD74" s="334" t="n">
        <v>6.5</v>
      </c>
    </row>
    <row r="75" spans="5:30">
      <c r="E75" s="279"/>
      <c r="F75" s="251"/>
      <c r="G75" s="335"/>
      <c r="H75" s="336">
        <f>E74-H74</f>
        <v>0</v>
      </c>
      <c r="I75" s="279"/>
      <c r="K75" s="43"/>
      <c r="L75" s="430"/>
      <c r="M75" s="321" t="s">
        <v>398</v>
      </c>
      <c r="N75" s="334" t="n">
        <v>5.25</v>
      </c>
      <c r="O75" s="334" t="n">
        <v>5.25</v>
      </c>
      <c r="P75" s="334" t="n">
        <v>5.75</v>
      </c>
      <c r="Q75" s="334" t="n">
        <v>6</v>
      </c>
      <c r="R75" s="334" t="n">
        <v>6</v>
      </c>
      <c r="S75" s="334" t="n">
        <v>6</v>
      </c>
      <c r="T75" s="334"/>
      <c r="U75" s="334"/>
      <c r="V75" s="334" t="n">
        <v>6</v>
      </c>
      <c r="W75" s="334" t="n">
        <v>5.75</v>
      </c>
      <c r="X75" s="334" t="n">
        <v>5.75</v>
      </c>
      <c r="Y75" s="334" t="n">
        <v>5.75</v>
      </c>
      <c r="Z75" s="334"/>
      <c r="AA75" s="334" t="n">
        <v>5.5</v>
      </c>
      <c r="AB75" s="334" t="n">
        <v>5.5</v>
      </c>
      <c r="AC75" s="334" t="n">
        <v>5.5</v>
      </c>
      <c r="AD75" s="334" t="n">
        <v>5.25</v>
      </c>
    </row>
    <row r="76" spans="5:30">
      <c r="E76" s="279"/>
      <c r="F76" s="279"/>
      <c r="H76" s="279"/>
      <c r="I76" s="279"/>
      <c r="K76" s="43"/>
      <c r="L76" s="430"/>
      <c r="M76" s="321" t="s">
        <v>595</v>
      </c>
      <c r="N76" s="334" t="n">
        <v>4.25</v>
      </c>
      <c r="O76" s="334" t="n">
        <v>4.25</v>
      </c>
      <c r="P76" s="334" t="n">
        <v>4.25</v>
      </c>
      <c r="Q76" s="334" t="n">
        <v>4.5</v>
      </c>
      <c r="R76" s="334" t="n">
        <v>4.5</v>
      </c>
      <c r="S76" s="334" t="n">
        <v>4.5</v>
      </c>
      <c r="T76" s="334"/>
      <c r="U76" s="334"/>
      <c r="V76" s="334" t="n">
        <v>4.5</v>
      </c>
      <c r="W76" s="334" t="n">
        <v>4.75</v>
      </c>
      <c r="X76" s="334" t="n">
        <v>4.5</v>
      </c>
      <c r="Y76" s="334" t="n">
        <v>4.5</v>
      </c>
      <c r="Z76" s="334"/>
      <c r="AA76" s="334" t="n">
        <v>4.75</v>
      </c>
      <c r="AB76" s="334" t="n">
        <v>4.5</v>
      </c>
      <c r="AC76" s="334" t="n">
        <v>4.5</v>
      </c>
      <c r="AD76" s="334" t="n">
        <v>4.5</v>
      </c>
    </row>
    <row r="77" spans="4:30">
      <c r="D77" s="337"/>
      <c r="E77" s="338"/>
      <c r="F77" s="279"/>
      <c r="G77" s="43"/>
      <c r="H77" s="260"/>
      <c r="I77" s="260"/>
      <c r="K77" s="43"/>
      <c r="L77" s="43"/>
      <c r="M77" s="92" t="s">
        <v>596</v>
      </c>
      <c r="N77" s="339">
        <f>N69/N70</f>
        <v>5.85055037060750038</v>
      </c>
      <c r="O77" s="339">
        <f>O69/O70</f>
        <v>5.8478416114654399</v>
      </c>
      <c r="P77" s="339">
        <f>P69/P70</f>
        <v>6.20262749636779986</v>
      </c>
      <c r="Q77" s="339">
        <f>Q69/Q70</f>
        <v>6.56116870644439043</v>
      </c>
      <c r="R77" s="339">
        <f>R69/R70</f>
        <v>6.56135339456770961</v>
      </c>
      <c r="S77" s="339">
        <f>S69/S70</f>
        <v>6.48976222713128958</v>
      </c>
      <c r="T77" s="339"/>
      <c r="U77" s="339"/>
      <c r="V77" s="339">
        <f>V69/V70</f>
        <v>6.56260303095761</v>
      </c>
      <c r="W77" s="339">
        <f>W69/W70</f>
        <v>6.23508404259869042</v>
      </c>
      <c r="X77" s="339">
        <f>X69/X70</f>
        <v>6.19064289345214025</v>
      </c>
      <c r="Y77" s="339">
        <f>Y69/Y70</f>
        <v>6.32491871517220972</v>
      </c>
      <c r="Z77" s="339" t="e">
        <f>Z69/Z70</f>
        <v>#DIV/0!</v>
      </c>
      <c r="AA77" s="339">
        <f>AA69/AA70</f>
        <v>6.12263794580749998</v>
      </c>
      <c r="AB77" s="339">
        <f>AB69/AB70</f>
        <v>6.18454073175475028</v>
      </c>
      <c r="AC77" s="339">
        <f>AC69/AC70</f>
        <v>6.17276613861737022</v>
      </c>
      <c r="AD77" s="339">
        <f>AD69/AD70</f>
        <v>6.24685915803394032</v>
      </c>
    </row>
    <row r="78" spans="5:19">
      <c r="E78" s="260"/>
      <c r="F78" s="279"/>
      <c r="H78" s="279"/>
      <c r="I78" s="279"/>
      <c r="K78" s="43"/>
      <c r="L78" s="43"/>
      <c r="M78" s="43"/>
      <c r="N78" s="44"/>
      <c r="O78" s="340"/>
      <c r="P78" s="85"/>
      <c r="Q78" s="85"/>
      <c r="R78" s="85"/>
      <c r="S78" s="85"/>
    </row>
    <row r="79" spans="5:27">
      <c r="E79" s="279"/>
      <c r="F79" s="279"/>
      <c r="H79" s="279"/>
      <c r="I79" s="279"/>
      <c r="K79" s="43"/>
      <c r="L79" s="43"/>
      <c r="M79" s="43"/>
      <c r="N79" s="341"/>
      <c r="O79" s="341"/>
      <c r="P79" s="341"/>
      <c r="Q79" s="341"/>
      <c r="R79" s="341"/>
      <c r="S79" s="341"/>
      <c r="T79" s="341"/>
      <c r="U79" s="341"/>
      <c r="V79" s="341"/>
      <c r="W79" s="341"/>
      <c r="X79" s="341"/>
      <c r="Y79" s="341"/>
      <c r="AA79" s="342"/>
    </row>
    <row r="80" spans="11:30">
      <c r="K80" s="43"/>
      <c r="L80" s="43"/>
      <c r="M80" s="43"/>
      <c r="O80" s="340"/>
      <c r="P80" s="340"/>
      <c r="Q80" s="340"/>
      <c r="R80" s="340"/>
      <c r="S80" s="340"/>
      <c r="T80" s="340"/>
      <c r="U80" s="340"/>
      <c r="V80" s="348">
        <f>V65-13263538-V52</f>
        <v>36021</v>
      </c>
      <c r="W80" s="340"/>
      <c r="X80" s="340"/>
      <c r="Y80" s="340"/>
      <c r="Z80" s="340"/>
      <c r="AA80" s="340"/>
      <c r="AB80" s="340"/>
      <c r="AC80" s="340"/>
      <c r="AD80" s="340"/>
    </row>
    <row r="81" spans="11:22">
      <c r="K81" s="43"/>
      <c r="L81" s="43"/>
      <c r="M81" s="43"/>
      <c r="O81" s="340"/>
      <c r="P81" s="343"/>
      <c r="Q81" s="343"/>
      <c r="R81" s="343"/>
      <c r="S81" s="343"/>
      <c r="V81" s="342"/>
    </row>
    <row r="82" spans="11:19">
      <c r="K82" s="43"/>
      <c r="L82" s="43"/>
      <c r="M82" s="43"/>
      <c r="N82" s="342"/>
      <c r="O82" s="340"/>
      <c r="P82" s="343"/>
      <c r="Q82" s="343"/>
      <c r="R82" s="343"/>
      <c r="S82" s="343"/>
    </row>
    <row r="83" spans="11:25">
      <c r="K83" s="43"/>
      <c r="L83" s="43"/>
      <c r="M83" s="43"/>
      <c r="O83" s="340"/>
      <c r="P83" s="343"/>
      <c r="Q83" s="343"/>
      <c r="R83" s="343"/>
      <c r="S83" s="343"/>
      <c r="Y83" s="342"/>
    </row>
    <row r="84" spans="11:19">
      <c r="K84" s="43"/>
      <c r="L84" s="43"/>
      <c r="M84" s="43"/>
      <c r="O84" s="340"/>
      <c r="P84" s="343"/>
      <c r="Q84" s="343"/>
      <c r="R84" s="343"/>
      <c r="S84" s="344"/>
    </row>
    <row r="85" spans="11:15">
      <c r="K85" s="43"/>
      <c r="L85" s="43"/>
      <c r="M85" s="43"/>
      <c r="O85" s="340"/>
    </row>
    <row r="86" spans="11:15">
      <c r="K86" s="43"/>
      <c r="L86" s="43"/>
      <c r="M86" s="43"/>
      <c r="O86" s="340"/>
    </row>
    <row r="87" spans="11:15">
      <c r="K87" s="43"/>
      <c r="L87" s="43"/>
      <c r="M87" s="43"/>
      <c r="O87" s="340"/>
    </row>
    <row r="88" spans="11:15">
      <c r="K88" s="43"/>
      <c r="L88" s="43"/>
      <c r="M88" s="43"/>
      <c r="O88" s="340"/>
    </row>
    <row r="89" spans="11:15">
      <c r="K89" s="43"/>
      <c r="L89" s="43"/>
      <c r="M89" s="43"/>
      <c r="O89" s="340"/>
    </row>
    <row r="90" spans="11:15">
      <c r="K90" s="43"/>
      <c r="L90" s="43"/>
      <c r="M90" s="43"/>
      <c r="O90" s="340"/>
    </row>
    <row r="91" spans="11:15">
      <c r="K91" s="43"/>
      <c r="L91" s="43"/>
      <c r="M91" s="43"/>
      <c r="O91" s="340"/>
    </row>
    <row r="92" spans="11:15">
      <c r="K92" s="43"/>
      <c r="L92" s="43"/>
      <c r="M92" s="43"/>
      <c r="O92" s="340"/>
    </row>
    <row r="93" spans="11:15">
      <c r="K93" s="43"/>
      <c r="L93" s="43"/>
      <c r="M93" s="43"/>
      <c r="O93" s="340"/>
    </row>
    <row r="94" spans="11:15">
      <c r="K94" s="43"/>
      <c r="L94" s="43"/>
      <c r="M94" s="43"/>
      <c r="O94" s="340"/>
    </row>
    <row r="95" spans="11:15">
      <c r="K95" s="43"/>
      <c r="L95" s="43"/>
      <c r="M95" s="43"/>
      <c r="O95" s="340"/>
    </row>
    <row r="96" spans="11:15">
      <c r="K96" s="43"/>
      <c r="L96" s="43"/>
      <c r="M96" s="43"/>
      <c r="O96" s="340"/>
    </row>
    <row r="97" spans="11:15">
      <c r="K97" s="43"/>
      <c r="L97" s="43"/>
      <c r="M97" s="43"/>
      <c r="O97" s="340"/>
    </row>
    <row r="98" spans="11:15">
      <c r="K98" s="43"/>
      <c r="L98" s="43"/>
      <c r="M98" s="43"/>
      <c r="O98" s="340"/>
    </row>
    <row r="99" spans="11:15">
      <c r="K99" s="43"/>
      <c r="L99" s="43"/>
      <c r="M99" s="43"/>
      <c r="O99" s="340"/>
    </row>
    <row r="100" spans="11:15">
      <c r="K100" s="43"/>
      <c r="L100" s="43"/>
      <c r="M100" s="43"/>
      <c r="O100" s="340"/>
    </row>
    <row r="101" spans="11:15">
      <c r="K101" s="43"/>
      <c r="L101" s="43"/>
      <c r="M101" s="43"/>
      <c r="O101" s="340"/>
    </row>
    <row r="102" spans="11:15">
      <c r="K102" s="43"/>
      <c r="L102" s="43"/>
      <c r="M102" s="43"/>
      <c r="O102" s="340"/>
    </row>
    <row r="103" spans="11:15">
      <c r="K103" s="43"/>
      <c r="L103" s="43"/>
      <c r="M103" s="43"/>
      <c r="O103" s="340"/>
    </row>
    <row r="104" spans="11:15">
      <c r="K104" s="43"/>
      <c r="L104" s="43"/>
      <c r="M104" s="43"/>
      <c r="O104" s="340"/>
    </row>
    <row r="105" spans="11:15">
      <c r="K105" s="43"/>
      <c r="L105" s="43"/>
      <c r="M105" s="43"/>
      <c r="O105" s="340"/>
    </row>
    <row r="106" spans="11:15">
      <c r="K106" s="43"/>
      <c r="L106" s="43"/>
      <c r="M106" s="43"/>
      <c r="O106" s="340"/>
    </row>
    <row r="107" spans="11:15">
      <c r="K107" s="43"/>
      <c r="L107" s="43"/>
      <c r="M107" s="43"/>
      <c r="O107" s="340"/>
    </row>
    <row r="108" spans="11:15">
      <c r="K108" s="43"/>
      <c r="L108" s="43"/>
      <c r="M108" s="43"/>
      <c r="O108" s="340"/>
    </row>
    <row r="109" spans="11:15">
      <c r="K109" s="43"/>
      <c r="L109" s="43"/>
      <c r="M109" s="43"/>
      <c r="O109" s="340"/>
    </row>
    <row r="110" spans="11:15">
      <c r="K110" s="43"/>
      <c r="L110" s="43"/>
      <c r="M110" s="43"/>
      <c r="O110" s="340"/>
    </row>
    <row r="111" spans="11:15">
      <c r="K111" s="43"/>
      <c r="L111" s="43"/>
      <c r="M111" s="43"/>
      <c r="O111" s="340"/>
    </row>
    <row r="112" spans="11:15">
      <c r="K112" s="43"/>
      <c r="L112" s="43"/>
      <c r="M112" s="43"/>
      <c r="O112" s="340"/>
    </row>
    <row r="113" spans="11:15">
      <c r="K113" s="43"/>
      <c r="L113" s="43"/>
      <c r="M113" s="43"/>
      <c r="O113" s="340"/>
    </row>
    <row r="114" spans="11:15">
      <c r="K114" s="43"/>
      <c r="L114" s="43"/>
      <c r="M114" s="43"/>
      <c r="O114" s="340"/>
    </row>
    <row r="115" spans="11:15">
      <c r="K115" s="43"/>
      <c r="L115" s="43"/>
      <c r="M115" s="43"/>
      <c r="O115" s="340"/>
    </row>
    <row r="116" spans="11:15">
      <c r="K116" s="43"/>
      <c r="L116" s="43"/>
      <c r="M116" s="43"/>
      <c r="O116" s="340"/>
    </row>
    <row r="117" spans="11:15">
      <c r="K117" s="43"/>
      <c r="L117" s="43"/>
      <c r="M117" s="43"/>
      <c r="O117" s="340"/>
    </row>
    <row r="118" spans="11:15">
      <c r="K118" s="43"/>
      <c r="L118" s="43"/>
      <c r="M118" s="43"/>
      <c r="O118" s="340"/>
    </row>
    <row r="119" spans="11:15">
      <c r="K119" s="43"/>
      <c r="L119" s="43"/>
      <c r="M119" s="43"/>
      <c r="O119" s="340"/>
    </row>
    <row r="120" spans="11:15">
      <c r="K120" s="43"/>
      <c r="L120" s="43"/>
      <c r="M120" s="43"/>
      <c r="O120" s="340"/>
    </row>
  </sheetData>
  <mergeCells count="25">
    <mergeCell ref="D1:I1"/>
    <mergeCell ref="D2:I2"/>
    <mergeCell ref="D3:E3"/>
    <mergeCell ref="G3:H3"/>
    <mergeCell ref="K11:K13"/>
    <mergeCell ref="A15:B15"/>
    <mergeCell ref="K21:K23"/>
    <mergeCell ref="L30:L37"/>
    <mergeCell ref="A35:B35"/>
    <mergeCell ref="P39:Q39"/>
    <mergeCell ref="R39:S39"/>
    <mergeCell ref="D40:I40"/>
    <mergeCell ref="D41:I41"/>
    <mergeCell ref="D42:E42"/>
    <mergeCell ref="G42:H42"/>
    <mergeCell ref="K50:K52"/>
    <mergeCell ref="A54:B54"/>
    <mergeCell ref="K60:K62"/>
    <mergeCell ref="L69:L76"/>
    <mergeCell ref="A74:B74"/>
    <mergeCell ref="P78:Q78"/>
    <mergeCell ref="R78:S78"/>
    <mergeCell ref="P81:S81"/>
    <mergeCell ref="P83:S83"/>
    <mergeCell ref="P84:R84"/>
  </mergeCells>
  <conditionalFormatting sqref="E39">
    <cfRule type="cellIs" dxfId="33" priority="1" operator="greaterThan">
      <formula>0</formula>
    </cfRule>
  </conditionalFormatting>
  <conditionalFormatting sqref="E39">
    <cfRule type="cellIs" dxfId="34" priority="2" operator="lessThan">
      <formula>0</formula>
    </cfRule>
  </conditionalFormatting>
  <conditionalFormatting sqref="H38">
    <cfRule type="cellIs" dxfId="35" priority="3" operator="lessThan">
      <formula>0</formula>
    </cfRule>
  </conditionalFormatting>
  <conditionalFormatting sqref="H11:H16">
    <cfRule type="cellIs" dxfId="36" priority="4" operator="lessThan">
      <formula>0</formula>
    </cfRule>
  </conditionalFormatting>
  <conditionalFormatting sqref="H11:H16">
    <cfRule type="cellIs" dxfId="37" priority="5" operator="greaterThan">
      <formula>0</formula>
    </cfRule>
  </conditionalFormatting>
  <conditionalFormatting sqref="E78">
    <cfRule type="cellIs" dxfId="38" priority="6" operator="greaterThan">
      <formula>0</formula>
    </cfRule>
  </conditionalFormatting>
  <conditionalFormatting sqref="E78">
    <cfRule type="cellIs" dxfId="39" priority="7" operator="lessThan">
      <formula>0</formula>
    </cfRule>
  </conditionalFormatting>
  <conditionalFormatting sqref="H77">
    <cfRule type="cellIs" dxfId="40" priority="8" operator="lessThan">
      <formula>0</formula>
    </cfRule>
  </conditionalFormatting>
  <conditionalFormatting sqref="H50:H55">
    <cfRule type="cellIs" dxfId="41" priority="9" operator="lessThan">
      <formula>0</formula>
    </cfRule>
  </conditionalFormatting>
  <conditionalFormatting sqref="H50:H55">
    <cfRule type="cellIs" dxfId="42" priority="10" operator="greaterThan">
      <formula>0</formula>
    </cfRule>
  </conditionalFormatting>
  <printOptions>
    <extLst>
      <ext uri="smNativeData">
        <pm:pageFlags xmlns:pm="smNativeData" id="1591683921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91683921" l="56" r="56" t="56" b="56" borderId="0" fillId="0" vertical="0"/>
        <pm:footer xmlns:pm="smNativeData" id="1591683921" l="56" r="56" t="56" b="56" borderId="0" fillId="0" vertical="2"/>
      </ext>
    </extLst>
  </headerFooter>
  <legacyDrawing r:id="rId2"/>
  <extLst>
    <ext uri="smNativeData">
      <pm:sheetPrefs xmlns:pm="smNativeData" day="1591683921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B7DEE8"/>
  </sheetPr>
  <dimension ref="A1:S31"/>
  <sheetViews>
    <sheetView view="normal" workbookViewId="0">
      <selection activeCell="J13" sqref="J13"/>
    </sheetView>
  </sheetViews>
  <sheetFormatPr baseColWidth="10" defaultColWidth="11.428571" defaultRowHeight="15.40"/>
  <cols>
    <col min="1" max="1" width="18.857143" customWidth="1"/>
    <col min="2" max="2" width="5.428571" customWidth="1"/>
    <col min="3" max="3" width="3.000000" customWidth="1"/>
    <col min="4" max="4" width="4.857143" customWidth="1"/>
    <col min="5" max="6" width="6.000000" customWidth="1"/>
    <col min="7" max="8" width="4.857143" customWidth="1"/>
    <col min="9" max="10" width="7.714286" customWidth="1"/>
    <col min="12" max="12" width="48.142857" customWidth="1"/>
    <col min="14" max="14" width="7.714286" customWidth="1"/>
    <col min="15" max="15" width="22.000000" customWidth="1"/>
    <col min="16" max="17" width="6.000000" customWidth="1"/>
    <col min="18" max="18" width="8.714286" customWidth="1"/>
    <col min="19" max="19" width="4.857143" customWidth="1"/>
  </cols>
  <sheetData>
    <row r="1" spans="1:19">
      <c r="A1" s="25" t="n">
        <v>43062</v>
      </c>
      <c r="E1" s="80" t="s">
        <v>599</v>
      </c>
      <c r="F1" s="81" t="s">
        <v>600</v>
      </c>
      <c r="G1" s="82"/>
      <c r="H1" s="82"/>
      <c r="I1" s="83" t="s">
        <v>599</v>
      </c>
      <c r="J1" s="84" t="s">
        <v>600</v>
      </c>
      <c r="P1" s="80" t="s">
        <v>599</v>
      </c>
      <c r="Q1" s="81" t="s">
        <v>600</v>
      </c>
      <c r="R1" s="80"/>
      <c r="S1" s="81"/>
    </row>
    <row r="2" spans="1:19">
      <c r="A2" s="85" t="s">
        <v>195</v>
      </c>
      <c r="B2" s="85" t="s">
        <v>601</v>
      </c>
      <c r="C2" s="85" t="s">
        <v>602</v>
      </c>
      <c r="D2" s="85" t="s">
        <v>141</v>
      </c>
      <c r="E2" s="80" t="s">
        <v>123</v>
      </c>
      <c r="F2" s="81" t="s">
        <v>123</v>
      </c>
      <c r="G2" s="82" t="s">
        <v>122</v>
      </c>
      <c r="H2" s="82" t="s">
        <v>122</v>
      </c>
      <c r="I2" s="83" t="s">
        <v>603</v>
      </c>
      <c r="J2" s="84" t="s">
        <v>603</v>
      </c>
      <c r="P2" s="80" t="s">
        <v>123</v>
      </c>
      <c r="Q2" s="81" t="s">
        <v>123</v>
      </c>
      <c r="R2" s="80" t="s">
        <v>122</v>
      </c>
      <c r="S2" s="81" t="s">
        <v>122</v>
      </c>
    </row>
    <row r="3" spans="1:19">
      <c r="A3" s="43" t="str">
        <f>Plantilla!D4</f>
        <v>Cosme Fonteboa</v>
      </c>
      <c r="B3">
        <f>Plantilla!E4</f>
        <v>25</v>
      </c>
      <c r="C3">
        <f>Plantilla!H4</f>
        <v>4</v>
      </c>
      <c r="D3" s="26">
        <f>Plantilla!I4</f>
        <v>7.5</v>
      </c>
      <c r="E3" s="86">
        <f>D3</f>
        <v>7.5</v>
      </c>
      <c r="F3" s="86">
        <f>E3+0.1</f>
        <v>7.59999999999999964</v>
      </c>
      <c r="G3" s="86">
        <f>C3</f>
        <v>4</v>
      </c>
      <c r="H3" s="86">
        <f>G3+0.99</f>
        <v>4.99000000000000021</v>
      </c>
      <c r="I3" s="87">
        <f>G3*G3*E3</f>
        <v>120</v>
      </c>
      <c r="J3" s="87">
        <f>H3*H3*F3</f>
        <v>189.240759999999995</v>
      </c>
      <c r="K3" s="88"/>
      <c r="N3" s="43" t="s">
        <v>603</v>
      </c>
      <c r="O3" s="27" t="str">
        <f>A15</f>
        <v>J. G. Peñuela</v>
      </c>
      <c r="P3" s="89">
        <f>E15</f>
        <v>6.29999999999999982</v>
      </c>
      <c r="Q3" s="89">
        <f>F15</f>
        <v>6.40000000000000036</v>
      </c>
      <c r="R3" s="89">
        <f>G15</f>
        <v>6</v>
      </c>
      <c r="S3" s="89">
        <f>H15</f>
        <v>6.99000000000000021</v>
      </c>
    </row>
    <row r="4" spans="1:19">
      <c r="A4" s="43" t="str">
        <f>Plantilla!D5</f>
        <v>Nicolae Hornet</v>
      </c>
      <c r="B4">
        <f>Plantilla!E5</f>
        <v>25</v>
      </c>
      <c r="C4">
        <f>Plantilla!H5</f>
        <v>5</v>
      </c>
      <c r="D4" s="26">
        <f>Plantilla!I5</f>
        <v>1.39999999999999991</v>
      </c>
      <c r="E4" s="86">
        <f>D4</f>
        <v>1.39999999999999991</v>
      </c>
      <c r="F4" s="86">
        <f>E4+0.1</f>
        <v>1.5</v>
      </c>
      <c r="G4" s="86">
        <f>C4</f>
        <v>5</v>
      </c>
      <c r="H4" s="86">
        <f>G4+0.99</f>
        <v>5.99000000000000021</v>
      </c>
      <c r="I4" s="87">
        <f>G4*G4*E4</f>
        <v>35</v>
      </c>
      <c r="J4" s="87">
        <f>H4*H4*F4</f>
        <v>53.8201499999999982</v>
      </c>
      <c r="K4" s="88"/>
      <c r="O4" t="str">
        <f>A8</f>
        <v>Guillermo Pedrajas</v>
      </c>
      <c r="P4" s="89">
        <f>E8</f>
        <v>6.5</v>
      </c>
      <c r="Q4" s="89">
        <f>F8</f>
        <v>6.59999999999999964</v>
      </c>
      <c r="R4" s="89">
        <f>G8</f>
        <v>4</v>
      </c>
      <c r="S4" s="89">
        <f>H8</f>
        <v>4.99000000000000021</v>
      </c>
    </row>
    <row r="5" spans="1:19">
      <c r="A5" s="43" t="str">
        <f>Plantilla!D6</f>
        <v>Miguel Fernández</v>
      </c>
      <c r="B5">
        <f>Plantilla!E6</f>
        <v>25</v>
      </c>
      <c r="C5">
        <f>Plantilla!H6</f>
        <v>5</v>
      </c>
      <c r="D5" s="26">
        <f>Plantilla!I6</f>
        <v>4.40000000000000036</v>
      </c>
      <c r="E5" s="86">
        <f>D5</f>
        <v>4.40000000000000036</v>
      </c>
      <c r="F5" s="86">
        <f>E5+0.1</f>
        <v>4.5</v>
      </c>
      <c r="G5" s="86">
        <f>C5</f>
        <v>5</v>
      </c>
      <c r="H5" s="86">
        <f>G5+0.99</f>
        <v>5.99000000000000021</v>
      </c>
      <c r="I5" s="87">
        <f>G5*G5*E5</f>
        <v>110</v>
      </c>
      <c r="J5" s="87">
        <f>H5*H5*F5</f>
        <v>161.460450000000009</v>
      </c>
      <c r="K5" s="88"/>
      <c r="O5" t="str">
        <f>A3</f>
        <v>Cosme Fonteboa</v>
      </c>
      <c r="P5" s="89">
        <f>E3</f>
        <v>7.5</v>
      </c>
      <c r="Q5" s="89">
        <f>F3</f>
        <v>7.59999999999999964</v>
      </c>
      <c r="R5" s="89">
        <f>G3</f>
        <v>4</v>
      </c>
      <c r="S5" s="89">
        <f>H3</f>
        <v>4.99000000000000021</v>
      </c>
    </row>
    <row r="6" spans="1:19">
      <c r="A6" s="43" t="str">
        <f>Plantilla!D7</f>
        <v>Iván Real Figueroa</v>
      </c>
      <c r="B6">
        <f>Plantilla!E7</f>
        <v>25</v>
      </c>
      <c r="C6">
        <f>Plantilla!H7</f>
        <v>4</v>
      </c>
      <c r="D6" s="26">
        <f>Plantilla!I7</f>
        <v>5.5</v>
      </c>
      <c r="E6" s="86">
        <f>D6</f>
        <v>5.5</v>
      </c>
      <c r="F6" s="86">
        <f>E6+0.1</f>
        <v>5.59999999999999964</v>
      </c>
      <c r="G6" s="86">
        <f>C6</f>
        <v>4</v>
      </c>
      <c r="H6" s="86">
        <f>G6+0.99</f>
        <v>4.99000000000000021</v>
      </c>
      <c r="I6" s="87">
        <f>G6*G6*E6</f>
        <v>88</v>
      </c>
      <c r="J6" s="87">
        <f>H6*H6*F6</f>
        <v>139.440560000000005</v>
      </c>
      <c r="K6" s="88"/>
      <c r="O6" t="str">
        <f>A7</f>
        <v>Berto Abandero</v>
      </c>
      <c r="P6" s="89">
        <f>E7</f>
        <v>5.90000000000000036</v>
      </c>
      <c r="Q6" s="89">
        <f>F7</f>
        <v>6</v>
      </c>
      <c r="R6" s="89">
        <f>G7</f>
        <v>1</v>
      </c>
      <c r="S6" s="89">
        <f>H7</f>
        <v>1.99000000000000004</v>
      </c>
    </row>
    <row r="7" spans="1:19">
      <c r="A7" s="43" t="str">
        <f>Plantilla!D8</f>
        <v>Berto Abandero</v>
      </c>
      <c r="B7">
        <f>Plantilla!E8</f>
        <v>25</v>
      </c>
      <c r="C7">
        <f>Plantilla!H8</f>
        <v>1</v>
      </c>
      <c r="D7" s="26">
        <f>Plantilla!I8</f>
        <v>5.90000000000000036</v>
      </c>
      <c r="E7" s="86">
        <f>D7</f>
        <v>5.90000000000000036</v>
      </c>
      <c r="F7" s="86">
        <f>E7+0.1</f>
        <v>6</v>
      </c>
      <c r="G7" s="86">
        <f>C7</f>
        <v>1</v>
      </c>
      <c r="H7" s="86">
        <f>G7+0.99</f>
        <v>1.99000000000000004</v>
      </c>
      <c r="I7" s="87">
        <f>G7*G7*E7</f>
        <v>5.90000000000000036</v>
      </c>
      <c r="J7" s="87">
        <f>H7*H7*F7</f>
        <v>23.7606000000000002</v>
      </c>
      <c r="K7" s="88"/>
      <c r="O7" t="str">
        <f>A6</f>
        <v>Iván Real Figueroa</v>
      </c>
      <c r="P7" s="89">
        <f>E6</f>
        <v>5.5</v>
      </c>
      <c r="Q7" s="89">
        <f>F6</f>
        <v>5.59999999999999964</v>
      </c>
      <c r="R7" s="89">
        <f>G6</f>
        <v>4</v>
      </c>
      <c r="S7" s="89">
        <f>H6</f>
        <v>4.99000000000000021</v>
      </c>
    </row>
    <row r="8" spans="1:19">
      <c r="A8" s="43" t="str">
        <f>Plantilla!D9</f>
        <v>Guillermo Pedrajas</v>
      </c>
      <c r="B8">
        <f>Plantilla!E9</f>
        <v>25</v>
      </c>
      <c r="C8">
        <f>Plantilla!H9</f>
        <v>4</v>
      </c>
      <c r="D8" s="26">
        <f>Plantilla!I9</f>
        <v>6.5</v>
      </c>
      <c r="E8" s="86">
        <f>D8</f>
        <v>6.5</v>
      </c>
      <c r="F8" s="86">
        <f>E8+0.1</f>
        <v>6.59999999999999964</v>
      </c>
      <c r="G8" s="86">
        <f>C8</f>
        <v>4</v>
      </c>
      <c r="H8" s="86">
        <f>G8+0.99</f>
        <v>4.99000000000000021</v>
      </c>
      <c r="I8" s="87">
        <f>G8*G8*E8</f>
        <v>104</v>
      </c>
      <c r="J8" s="87">
        <f>H8*H8*F8</f>
        <v>164.340660000000014</v>
      </c>
      <c r="K8" s="88"/>
      <c r="O8" t="str">
        <f>A21</f>
        <v>Tommaso Niscola</v>
      </c>
      <c r="P8" s="89">
        <f>E21</f>
        <v>8.40000000000000036</v>
      </c>
      <c r="Q8" s="89">
        <f>F21</f>
        <v>8.5</v>
      </c>
      <c r="R8" s="89">
        <f>G21</f>
        <v>4</v>
      </c>
      <c r="S8" s="89">
        <f>H21</f>
        <v>4.99000000000000021</v>
      </c>
    </row>
    <row r="9" spans="1:19">
      <c r="A9" s="43" t="str">
        <f>Plantilla!D10</f>
        <v>Venanci Oset</v>
      </c>
      <c r="B9">
        <f>Plantilla!E10</f>
        <v>26</v>
      </c>
      <c r="C9">
        <f>Plantilla!H10</f>
        <v>2</v>
      </c>
      <c r="D9" s="26">
        <f>Plantilla!I10</f>
        <v>6.09999999999999964</v>
      </c>
      <c r="E9" s="86">
        <f>D9</f>
        <v>6.09999999999999964</v>
      </c>
      <c r="F9" s="86">
        <f>E9+0.1</f>
        <v>6.20000000000000018</v>
      </c>
      <c r="G9" s="86">
        <f>C9</f>
        <v>2</v>
      </c>
      <c r="H9" s="86">
        <f>G9+0.99</f>
        <v>2.99000000000000021</v>
      </c>
      <c r="I9" s="87">
        <f>G9*G9*E9</f>
        <v>24.3999999999999986</v>
      </c>
      <c r="J9" s="87">
        <f>H9*H9*F9</f>
        <v>55.4286200000000022</v>
      </c>
      <c r="K9" s="88"/>
      <c r="O9" t="str">
        <f>A15</f>
        <v>J. G. Peñuela</v>
      </c>
      <c r="P9" s="89">
        <f>E15</f>
        <v>6.29999999999999982</v>
      </c>
      <c r="Q9" s="89">
        <f>F15</f>
        <v>6.40000000000000036</v>
      </c>
      <c r="R9" s="89">
        <f>G15</f>
        <v>6</v>
      </c>
      <c r="S9" s="89">
        <f>H15</f>
        <v>6.99000000000000021</v>
      </c>
    </row>
    <row r="10" spans="1:19">
      <c r="A10" s="43" t="e">
        <f>#REF!</f>
        <v>#REF!</v>
      </c>
      <c r="B10" t="e">
        <f>#REF!</f>
        <v>#REF!</v>
      </c>
      <c r="C10" t="e">
        <f>#REF!</f>
        <v>#REF!</v>
      </c>
      <c r="D10" s="26" t="e">
        <f>#REF!</f>
        <v>#REF!</v>
      </c>
      <c r="E10" s="86" t="e">
        <f>D10</f>
        <v>#REF!</v>
      </c>
      <c r="F10" s="86" t="e">
        <f>E10+0.1</f>
        <v>#REF!</v>
      </c>
      <c r="G10" s="86" t="e">
        <f>C10</f>
        <v>#REF!</v>
      </c>
      <c r="H10" s="86" t="e">
        <f>G10+0.99</f>
        <v>#REF!</v>
      </c>
      <c r="I10" s="87" t="e">
        <f>G10*G10*E10</f>
        <v>#REF!</v>
      </c>
      <c r="J10" s="87" t="e">
        <f>H10*H10*F10</f>
        <v>#REF!</v>
      </c>
      <c r="K10" s="88"/>
      <c r="O10" t="str">
        <f>A14</f>
        <v>Enrique Cubas</v>
      </c>
      <c r="P10" s="89">
        <f>E14</f>
        <v>7.29999999999999982</v>
      </c>
      <c r="Q10" s="89">
        <f>F14</f>
        <v>7.40000000000000036</v>
      </c>
      <c r="R10" s="89">
        <f>G14</f>
        <v>1</v>
      </c>
      <c r="S10" s="89">
        <f>H14</f>
        <v>1.99000000000000004</v>
      </c>
    </row>
    <row r="11" spans="1:19">
      <c r="A11" s="43" t="str">
        <f>Plantilla!D11</f>
        <v>Francesc Añigas</v>
      </c>
      <c r="B11">
        <f>Plantilla!E11</f>
        <v>25</v>
      </c>
      <c r="C11">
        <f>Plantilla!H11</f>
        <v>5</v>
      </c>
      <c r="D11" s="26">
        <f>Plantilla!I11</f>
        <v>6.70000000000000018</v>
      </c>
      <c r="E11" s="86">
        <f>D11</f>
        <v>6.70000000000000018</v>
      </c>
      <c r="F11" s="86">
        <f>E11+0.1</f>
        <v>6.79999999999999982</v>
      </c>
      <c r="G11" s="86">
        <f>C11</f>
        <v>5</v>
      </c>
      <c r="H11" s="86">
        <f>G11+0.99</f>
        <v>5.99000000000000021</v>
      </c>
      <c r="I11" s="87">
        <f>G11*G11*E11</f>
        <v>167.5</v>
      </c>
      <c r="J11" s="87">
        <f>H11*H11*F11</f>
        <v>243.984679999999997</v>
      </c>
      <c r="K11" s="88"/>
      <c r="O11" t="str">
        <f>A13</f>
        <v>Valeri Gomis</v>
      </c>
      <c r="P11" s="89">
        <f>E13</f>
        <v>6.59999999999999964</v>
      </c>
      <c r="Q11" s="89">
        <f>F13</f>
        <v>6.70000000000000018</v>
      </c>
      <c r="R11" s="89">
        <f>G13</f>
        <v>6</v>
      </c>
      <c r="S11" s="89">
        <f>H13</f>
        <v>6.99000000000000021</v>
      </c>
    </row>
    <row r="12" spans="1:19">
      <c r="A12" s="43" t="str">
        <f>Plantilla!D12</f>
        <v>Will Duffill</v>
      </c>
      <c r="B12">
        <f>Plantilla!E12</f>
        <v>25</v>
      </c>
      <c r="C12">
        <f>Plantilla!H12</f>
        <v>3</v>
      </c>
      <c r="D12" s="26">
        <f>Plantilla!I12</f>
        <v>6.70000000000000018</v>
      </c>
      <c r="E12" s="86">
        <f>D12</f>
        <v>6.70000000000000018</v>
      </c>
      <c r="F12" s="86">
        <f>E12+0.1</f>
        <v>6.79999999999999982</v>
      </c>
      <c r="G12" s="86">
        <f>C12</f>
        <v>3</v>
      </c>
      <c r="H12" s="86">
        <f>G12+0.99</f>
        <v>3.99000000000000021</v>
      </c>
      <c r="I12" s="87">
        <f>G12*G12*E12</f>
        <v>60.2999999999999972</v>
      </c>
      <c r="J12" s="87">
        <f>H12*H12*F12</f>
        <v>108.256680000000003</v>
      </c>
      <c r="K12" s="88"/>
      <c r="O12" t="str">
        <f>A20</f>
        <v>Renato Galeano</v>
      </c>
      <c r="P12" s="89">
        <f>E20</f>
        <v>6.79999999999999982</v>
      </c>
      <c r="Q12" s="89">
        <f>F20</f>
        <v>6.90000000000000036</v>
      </c>
      <c r="R12" s="89">
        <f>G20</f>
        <v>1</v>
      </c>
      <c r="S12" s="89">
        <f>H20</f>
        <v>1.99000000000000004</v>
      </c>
    </row>
    <row r="13" spans="1:19">
      <c r="A13" s="43" t="str">
        <f>Plantilla!D13</f>
        <v>Valeri Gomis</v>
      </c>
      <c r="B13">
        <f>Plantilla!E13</f>
        <v>25</v>
      </c>
      <c r="C13">
        <f>Plantilla!H13</f>
        <v>6</v>
      </c>
      <c r="D13" s="26">
        <f>Plantilla!I13</f>
        <v>6.59999999999999964</v>
      </c>
      <c r="E13" s="86">
        <f>D13</f>
        <v>6.59999999999999964</v>
      </c>
      <c r="F13" s="86">
        <f>E13+0.1</f>
        <v>6.70000000000000018</v>
      </c>
      <c r="G13" s="86">
        <f>C13</f>
        <v>6</v>
      </c>
      <c r="H13" s="86">
        <f>G13+0.99</f>
        <v>6.99000000000000021</v>
      </c>
      <c r="I13" s="87">
        <f>G13*G13*E13</f>
        <v>237.599999999999994</v>
      </c>
      <c r="J13" s="87">
        <f>H13*H13*F13</f>
        <v>327.36266999999998</v>
      </c>
      <c r="K13" s="88"/>
      <c r="O13" t="e">
        <f>A16</f>
        <v>#REF!</v>
      </c>
      <c r="P13" s="89" t="e">
        <f>E16</f>
        <v>#REF!</v>
      </c>
      <c r="Q13" s="89" t="e">
        <f>F16</f>
        <v>#REF!</v>
      </c>
      <c r="R13" s="89" t="e">
        <f>G16</f>
        <v>#REF!</v>
      </c>
      <c r="S13" s="89" t="e">
        <f>H16</f>
        <v>#REF!</v>
      </c>
    </row>
    <row r="14" spans="1:19">
      <c r="A14" s="43" t="str">
        <f>Plantilla!D14</f>
        <v>Enrique Cubas</v>
      </c>
      <c r="B14">
        <f>Plantilla!E14</f>
        <v>25</v>
      </c>
      <c r="C14">
        <f>Plantilla!H14</f>
        <v>1</v>
      </c>
      <c r="D14" s="26">
        <f>Plantilla!I14</f>
        <v>7.29999999999999982</v>
      </c>
      <c r="E14" s="86">
        <f>D14</f>
        <v>7.29999999999999982</v>
      </c>
      <c r="F14" s="86">
        <f>E14+0.1</f>
        <v>7.40000000000000036</v>
      </c>
      <c r="G14" s="86">
        <f>C14</f>
        <v>1</v>
      </c>
      <c r="H14" s="86">
        <f>G14+0.99</f>
        <v>1.99000000000000004</v>
      </c>
      <c r="I14" s="87">
        <f>G14*G14*E14</f>
        <v>7.29999999999999982</v>
      </c>
      <c r="J14" s="87">
        <f>H14*H14*F14</f>
        <v>29.3047399999999989</v>
      </c>
      <c r="K14" s="88"/>
      <c r="P14" s="29" t="e">
        <f>SUM(P4:P13)/10</f>
        <v>#REF!</v>
      </c>
      <c r="Q14" s="29" t="e">
        <f>SUM(Q4:Q13)/10</f>
        <v>#REF!</v>
      </c>
      <c r="R14" s="29"/>
      <c r="S14" s="29"/>
    </row>
    <row r="15" spans="1:11">
      <c r="A15" s="43" t="str">
        <f>Plantilla!D15</f>
        <v>J. G. Peñuela</v>
      </c>
      <c r="B15">
        <f>Plantilla!E15</f>
        <v>25</v>
      </c>
      <c r="C15">
        <f>Plantilla!H15</f>
        <v>6</v>
      </c>
      <c r="D15" s="26">
        <f>Plantilla!I15</f>
        <v>6.29999999999999982</v>
      </c>
      <c r="E15" s="86">
        <f>D15</f>
        <v>6.29999999999999982</v>
      </c>
      <c r="F15" s="86">
        <f>E15+0.1</f>
        <v>6.40000000000000036</v>
      </c>
      <c r="G15" s="86">
        <f>C15</f>
        <v>6</v>
      </c>
      <c r="H15" s="86">
        <f>G15+0.99</f>
        <v>6.99000000000000021</v>
      </c>
      <c r="I15" s="87">
        <f>G15*G15*E15</f>
        <v>226.800000000000011</v>
      </c>
      <c r="J15" s="87">
        <f>H15*H15*F15</f>
        <v>312.704639999999984</v>
      </c>
      <c r="K15" s="88"/>
    </row>
    <row r="16" spans="1:18">
      <c r="A16" s="43" t="e">
        <f>#REF!</f>
        <v>#REF!</v>
      </c>
      <c r="B16" t="e">
        <f>#REF!</f>
        <v>#REF!</v>
      </c>
      <c r="C16" t="e">
        <f>#REF!</f>
        <v>#REF!</v>
      </c>
      <c r="D16" s="26" t="e">
        <f>#REF!</f>
        <v>#REF!</v>
      </c>
      <c r="E16" s="86" t="e">
        <f>D16</f>
        <v>#REF!</v>
      </c>
      <c r="F16" s="86" t="e">
        <f>E16+0.1</f>
        <v>#REF!</v>
      </c>
      <c r="G16" s="86" t="e">
        <f>C16</f>
        <v>#REF!</v>
      </c>
      <c r="H16" s="86" t="e">
        <f>G16+0.99</f>
        <v>#REF!</v>
      </c>
      <c r="I16" s="87" t="e">
        <f>G16*G16*E16</f>
        <v>#REF!</v>
      </c>
      <c r="J16" s="87" t="e">
        <f>H16*H16*F16</f>
        <v>#REF!</v>
      </c>
      <c r="K16" s="88"/>
      <c r="L16" s="48" t="s">
        <v>604</v>
      </c>
      <c r="O16" t="s">
        <v>605</v>
      </c>
      <c r="P16" s="26" t="e">
        <f>SUM(P3:P13)</f>
        <v>#REF!</v>
      </c>
      <c r="Q16" s="26" t="e">
        <f>SUM(Q3:Q13)</f>
        <v>#REF!</v>
      </c>
      <c r="R16" s="26"/>
    </row>
    <row r="17" spans="1:18">
      <c r="A17" s="43" t="str">
        <f>Plantilla!D17</f>
        <v>Ryan Clarke</v>
      </c>
      <c r="B17">
        <f>Plantilla!E17</f>
        <v>29</v>
      </c>
      <c r="C17">
        <f>Plantilla!H17</f>
        <v>1</v>
      </c>
      <c r="D17" s="26">
        <f>Plantilla!I17</f>
        <v>7.5</v>
      </c>
      <c r="E17" s="86">
        <f>D17</f>
        <v>7.5</v>
      </c>
      <c r="F17" s="86">
        <f>E17+0.1</f>
        <v>7.59999999999999964</v>
      </c>
      <c r="G17" s="86">
        <f>C17</f>
        <v>1</v>
      </c>
      <c r="H17" s="86">
        <f>G17+0.99</f>
        <v>1.99000000000000004</v>
      </c>
      <c r="I17" s="87">
        <f>G17*G17*E17</f>
        <v>7.5</v>
      </c>
      <c r="J17" s="87">
        <f>H17*H17*F17</f>
        <v>30.0967599999999997</v>
      </c>
      <c r="K17" s="88"/>
      <c r="O17" t="s">
        <v>606</v>
      </c>
      <c r="P17" s="29" t="e">
        <f>P16/17</f>
        <v>#REF!</v>
      </c>
      <c r="Q17" s="29" t="e">
        <f>Q16/17</f>
        <v>#REF!</v>
      </c>
      <c r="R17" s="29"/>
    </row>
    <row r="18" spans="1:18">
      <c r="A18" s="43" t="e">
        <f>#REF!</f>
        <v>#REF!</v>
      </c>
      <c r="B18" t="e">
        <f>#REF!</f>
        <v>#REF!</v>
      </c>
      <c r="C18" t="e">
        <f>#REF!</f>
        <v>#REF!</v>
      </c>
      <c r="D18" s="26" t="e">
        <f>#REF!</f>
        <v>#REF!</v>
      </c>
      <c r="E18" s="86" t="e">
        <f>D18</f>
        <v>#REF!</v>
      </c>
      <c r="F18" s="86" t="e">
        <f>E18+0.1</f>
        <v>#REF!</v>
      </c>
      <c r="G18" s="86" t="e">
        <f>C18</f>
        <v>#REF!</v>
      </c>
      <c r="H18" s="86" t="e">
        <f>G18+0.99</f>
        <v>#REF!</v>
      </c>
      <c r="I18" s="87" t="e">
        <f>G18*G18*E18</f>
        <v>#REF!</v>
      </c>
      <c r="J18" s="87" t="e">
        <f>H18*H18*F18</f>
        <v>#REF!</v>
      </c>
      <c r="K18" s="88"/>
      <c r="L18" s="48" t="s">
        <v>607</v>
      </c>
      <c r="O18" t="s">
        <v>608</v>
      </c>
      <c r="P18" s="26">
        <f>R3^2</f>
        <v>36</v>
      </c>
      <c r="Q18" s="26">
        <f>S3^2</f>
        <v>48.8601000000000028</v>
      </c>
      <c r="R18" s="26"/>
    </row>
    <row r="19" spans="1:18">
      <c r="A19" s="43" t="e">
        <f>#REF!</f>
        <v>#REF!</v>
      </c>
      <c r="B19" t="e">
        <f>#REF!</f>
        <v>#REF!</v>
      </c>
      <c r="C19" t="e">
        <f>#REF!</f>
        <v>#REF!</v>
      </c>
      <c r="D19" s="26" t="e">
        <f>#REF!</f>
        <v>#REF!</v>
      </c>
      <c r="E19" s="86" t="e">
        <f>D19</f>
        <v>#REF!</v>
      </c>
      <c r="F19" s="86" t="e">
        <f>E19+0.1</f>
        <v>#REF!</v>
      </c>
      <c r="G19" s="86" t="e">
        <f>C19</f>
        <v>#REF!</v>
      </c>
      <c r="H19" s="86" t="e">
        <f>G19+0.99</f>
        <v>#REF!</v>
      </c>
      <c r="I19" s="87" t="e">
        <f>G19*G19*E19</f>
        <v>#REF!</v>
      </c>
      <c r="J19" s="87" t="e">
        <f>H19*H19*F19</f>
        <v>#REF!</v>
      </c>
      <c r="K19" s="88"/>
      <c r="L19" s="48" t="s">
        <v>609</v>
      </c>
      <c r="O19" t="s">
        <v>610</v>
      </c>
      <c r="P19" s="26">
        <f>P18*P3</f>
        <v>226.800000000000011</v>
      </c>
      <c r="Q19" s="26">
        <f>Q18*Q3</f>
        <v>312.704639999999984</v>
      </c>
      <c r="R19" s="26"/>
    </row>
    <row r="20" spans="1:18">
      <c r="A20" s="43" t="str">
        <f>Plantilla!D18</f>
        <v>Renato Galeano</v>
      </c>
      <c r="B20">
        <f>Plantilla!E18</f>
        <v>28</v>
      </c>
      <c r="C20">
        <f>Plantilla!H18</f>
        <v>1</v>
      </c>
      <c r="D20" s="26">
        <f>Plantilla!I18</f>
        <v>6.79999999999999982</v>
      </c>
      <c r="E20" s="86">
        <f>D20</f>
        <v>6.79999999999999982</v>
      </c>
      <c r="F20" s="86">
        <f>E20+0.1</f>
        <v>6.90000000000000036</v>
      </c>
      <c r="G20" s="86">
        <f>C20</f>
        <v>1</v>
      </c>
      <c r="H20" s="86">
        <f>G20+0.99</f>
        <v>1.99000000000000004</v>
      </c>
      <c r="I20" s="87">
        <f>G20*G20*E20</f>
        <v>6.79999999999999982</v>
      </c>
      <c r="J20" s="87">
        <f>H20*H20*F20</f>
        <v>27.3246900000000004</v>
      </c>
      <c r="K20" s="88"/>
      <c r="L20" s="48" t="s">
        <v>611</v>
      </c>
      <c r="O20" t="s">
        <v>612</v>
      </c>
      <c r="P20" s="29">
        <f>(P19^(2/3))/30</f>
        <v>1.23967386497580989</v>
      </c>
      <c r="Q20" s="29">
        <f>(Q19^(2/3))/30</f>
        <v>1.53568318483184996</v>
      </c>
      <c r="R20" s="29"/>
    </row>
    <row r="21" spans="1:17">
      <c r="A21" s="43" t="str">
        <f>Plantilla!D19</f>
        <v>Tommaso Niscola</v>
      </c>
      <c r="B21">
        <f>Plantilla!E19</f>
        <v>31</v>
      </c>
      <c r="C21">
        <f>Plantilla!H19</f>
        <v>4</v>
      </c>
      <c r="D21" s="26">
        <f>Plantilla!I19</f>
        <v>8.40000000000000036</v>
      </c>
      <c r="E21" s="86">
        <f>D21</f>
        <v>8.40000000000000036</v>
      </c>
      <c r="F21" s="86">
        <f>E21+0.1</f>
        <v>8.5</v>
      </c>
      <c r="G21" s="86">
        <f>C21</f>
        <v>4</v>
      </c>
      <c r="H21" s="86">
        <f>G21+0.99</f>
        <v>4.99000000000000021</v>
      </c>
      <c r="I21" s="87">
        <f>G21*G21*E21</f>
        <v>134.400000000000006</v>
      </c>
      <c r="J21" s="87">
        <f>H21*H21*F21</f>
        <v>211.650849999999991</v>
      </c>
      <c r="K21" s="88"/>
      <c r="L21" s="48" t="s">
        <v>613</v>
      </c>
      <c r="O21" s="56" t="s">
        <v>614</v>
      </c>
      <c r="P21" s="73" t="e">
        <f>P17+P20</f>
        <v>#REF!</v>
      </c>
      <c r="Q21" s="73" t="e">
        <f>Q17+Q20</f>
        <v>#REF!</v>
      </c>
    </row>
    <row r="22" spans="1:12">
      <c r="A22" s="43" t="str">
        <f>Plantilla!D20</f>
        <v>Rodolfo Rinaldo  Paso</v>
      </c>
      <c r="B22">
        <f>Plantilla!E20</f>
        <v>25</v>
      </c>
      <c r="C22">
        <f>Plantilla!H20</f>
        <v>1</v>
      </c>
      <c r="D22" s="26">
        <f>Plantilla!I20</f>
        <v>4.29999999999999982</v>
      </c>
      <c r="E22" s="86">
        <f>D22</f>
        <v>4.29999999999999982</v>
      </c>
      <c r="F22" s="86">
        <f>E22+0.1</f>
        <v>4.40000000000000036</v>
      </c>
      <c r="G22" s="86">
        <f>C22</f>
        <v>1</v>
      </c>
      <c r="H22" s="86">
        <f>G22+0.99</f>
        <v>1.99000000000000004</v>
      </c>
      <c r="I22" s="87">
        <f>G22*G22*E22</f>
        <v>4.29999999999999982</v>
      </c>
      <c r="J22" s="87">
        <f>H22*H22*F22</f>
        <v>17.4244400000000006</v>
      </c>
      <c r="K22" s="88"/>
      <c r="L22" t="s">
        <v>615</v>
      </c>
    </row>
    <row r="23" spans="1:15">
      <c r="A23" s="43"/>
      <c r="D23" s="26"/>
      <c r="E23" s="86"/>
      <c r="F23" s="86"/>
      <c r="G23" s="86"/>
      <c r="H23" s="86"/>
      <c r="I23" s="87"/>
      <c r="J23" s="87"/>
      <c r="K23" s="88"/>
      <c r="O23" s="25"/>
    </row>
    <row r="24" spans="1:10">
      <c r="A24" s="43"/>
      <c r="D24" s="26"/>
      <c r="E24" s="86"/>
      <c r="F24" s="86"/>
      <c r="G24" s="86"/>
      <c r="H24" s="86"/>
      <c r="I24" s="87"/>
      <c r="J24" s="87"/>
    </row>
    <row r="25" spans="1:10">
      <c r="A25" s="43"/>
      <c r="D25" s="26"/>
      <c r="E25" s="86"/>
      <c r="F25" s="86"/>
      <c r="G25" s="86"/>
      <c r="H25" s="86"/>
      <c r="I25" s="87"/>
      <c r="J25" s="87"/>
    </row>
    <row r="26" spans="1:10">
      <c r="A26" s="43"/>
      <c r="D26" s="26"/>
      <c r="E26" s="86"/>
      <c r="F26" s="86"/>
      <c r="G26" s="86"/>
      <c r="H26" s="86"/>
      <c r="I26" s="87"/>
      <c r="J26" s="87"/>
    </row>
    <row r="27" spans="1:10">
      <c r="A27" s="43"/>
      <c r="D27" s="26"/>
      <c r="E27" s="86"/>
      <c r="F27" s="86"/>
      <c r="G27" s="86"/>
      <c r="H27" s="86"/>
      <c r="I27" s="87"/>
      <c r="J27" s="87"/>
    </row>
    <row r="28" spans="1:10">
      <c r="A28" s="43"/>
      <c r="D28" s="26"/>
      <c r="E28" s="86"/>
      <c r="F28" s="86"/>
      <c r="G28" s="86"/>
      <c r="H28" s="86"/>
      <c r="I28" s="87"/>
      <c r="J28" s="87"/>
    </row>
    <row r="29" spans="1:10">
      <c r="A29" s="43"/>
      <c r="D29" s="26"/>
      <c r="E29" s="86"/>
      <c r="F29" s="86"/>
      <c r="G29" s="86"/>
      <c r="H29" s="86"/>
      <c r="I29" s="87"/>
      <c r="J29" s="87"/>
    </row>
    <row r="30" spans="1:10">
      <c r="A30" s="43"/>
      <c r="D30" s="26"/>
      <c r="E30" s="86"/>
      <c r="F30" s="86"/>
      <c r="G30" s="86"/>
      <c r="H30" s="86"/>
      <c r="I30" s="87"/>
      <c r="J30" s="87"/>
    </row>
    <row r="31" spans="1:10">
      <c r="A31" s="43"/>
      <c r="D31" s="26"/>
      <c r="E31" s="86"/>
      <c r="F31" s="86"/>
      <c r="G31" s="86"/>
      <c r="H31" s="86"/>
      <c r="I31" s="87"/>
      <c r="J31" s="87"/>
    </row>
  </sheetData>
  <conditionalFormatting sqref="D3:D2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3:J31">
    <cfRule type="cellIs" dxfId="43" priority="2" operator="between">
      <formula>70</formula>
      <formula>100</formula>
    </cfRule>
  </conditionalFormatting>
  <conditionalFormatting sqref="I3:J31">
    <cfRule type="cellIs" dxfId="44" priority="3" operator="greaterThan">
      <formula>100</formula>
    </cfRule>
  </conditionalFormatting>
  <printOptions>
    <extLst>
      <ext uri="smNativeData">
        <pm:pageFlags xmlns:pm="smNativeData" id="1591683921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 pageOrder="overThenDown"/>
  <headerFooter>
    <extLst>
      <ext uri="smNativeData">
        <pm:header xmlns:pm="smNativeData" id="1591683921" l="56" r="56" t="56" b="56" borderId="0" fillId="0" vertical="0"/>
        <pm:footer xmlns:pm="smNativeData" id="1591683921" l="56" r="56" t="56" b="56" borderId="0" fillId="0" vertical="2"/>
      </ext>
    </extLst>
  </headerFooter>
  <drawing r:id="rId1"/>
  <extLst>
    <ext uri="smNativeData">
      <pm:sheetPrefs xmlns:pm="smNativeData" day="1591683921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rgb="B7DEE8"/>
  </sheetPr>
  <dimension ref="A1:T28"/>
  <sheetViews>
    <sheetView view="normal" workbookViewId="0">
      <selection activeCell="F31" sqref="F31"/>
    </sheetView>
  </sheetViews>
  <sheetFormatPr baseColWidth="10" defaultColWidth="10.669643" defaultRowHeight="15.40"/>
  <cols>
    <col min="1" max="1" width="19.000000" customWidth="1"/>
    <col min="2" max="3" width="4.571429" customWidth="1"/>
    <col min="4" max="4" width="5.857143" customWidth="1"/>
    <col min="5" max="5" width="4.571429" customWidth="1"/>
    <col min="6" max="6" width="4.857143" customWidth="1"/>
    <col min="8" max="8" width="18.000000" customWidth="1"/>
    <col min="9" max="10" width="4.571429" customWidth="1"/>
    <col min="11" max="11" width="7.714286" customWidth="1"/>
    <col min="12" max="13" width="6.285714" customWidth="1"/>
    <col min="15" max="15" width="18.000000" customWidth="1"/>
    <col min="16" max="17" width="5.571429" customWidth="1"/>
    <col min="18" max="18" width="7.714286" customWidth="1"/>
    <col min="19" max="20" width="6.285714" customWidth="1"/>
  </cols>
  <sheetData>
    <row r="1" spans="1:20">
      <c r="A1" s="101" t="s">
        <v>195</v>
      </c>
      <c r="B1" s="101" t="s">
        <v>203</v>
      </c>
      <c r="C1" s="101" t="s">
        <v>206</v>
      </c>
      <c r="D1" s="102" t="s">
        <v>616</v>
      </c>
      <c r="E1" s="102" t="s">
        <v>599</v>
      </c>
      <c r="F1" s="102" t="s">
        <v>600</v>
      </c>
      <c r="H1" s="101" t="s">
        <v>617</v>
      </c>
      <c r="I1" s="101" t="s">
        <v>203</v>
      </c>
      <c r="J1" s="101" t="s">
        <v>206</v>
      </c>
      <c r="K1" s="101" t="str">
        <f>D1</f>
        <v>N_CA</v>
      </c>
      <c r="L1" s="102" t="s">
        <v>599</v>
      </c>
      <c r="M1" s="102" t="s">
        <v>600</v>
      </c>
      <c r="O1" s="101" t="s">
        <v>617</v>
      </c>
      <c r="P1" s="101" t="s">
        <v>203</v>
      </c>
      <c r="Q1" s="101" t="s">
        <v>206</v>
      </c>
      <c r="R1" s="101" t="str">
        <f>K1</f>
        <v>N_CA</v>
      </c>
      <c r="S1" s="102" t="s">
        <v>599</v>
      </c>
      <c r="T1" s="102" t="s">
        <v>600</v>
      </c>
    </row>
    <row r="2" spans="1:20">
      <c r="A2" t="str">
        <f>Plantilla!D4</f>
        <v>Cosme Fonteboa</v>
      </c>
      <c r="B2" s="26">
        <f>Plantilla!Y4+Plantilla!N4+Plantilla!J4</f>
        <v>14.3667483511888996</v>
      </c>
      <c r="C2" s="26">
        <f>Plantilla!AB4+Plantilla!N4+Plantilla!J4</f>
        <v>2.16674835118893006</v>
      </c>
      <c r="D2" s="73">
        <f>(C2*2+B2)/8</f>
        <v>2.33753063169584996</v>
      </c>
      <c r="E2" s="26">
        <f>D2*Plantilla!R4</f>
        <v>2.16413284265804995</v>
      </c>
      <c r="F2" s="26">
        <f>D2*Plantilla!S4</f>
        <v>2.3358603702237799</v>
      </c>
      <c r="H2" s="29" t="str">
        <f>A6</f>
        <v>Berto Abandero</v>
      </c>
      <c r="I2" s="26">
        <f>B6</f>
        <v>16.027802682189499</v>
      </c>
      <c r="J2" s="26">
        <f>C6</f>
        <v>13.4563741107608994</v>
      </c>
      <c r="K2" s="73">
        <f>(J2*2+I2)/8</f>
        <v>5.36756886296390956</v>
      </c>
      <c r="L2" s="29">
        <f>E6</f>
        <v>2.86908624073238983</v>
      </c>
      <c r="M2" s="29">
        <f>F6</f>
        <v>3.50803727258649012</v>
      </c>
      <c r="O2" t="str">
        <f>A2</f>
        <v>Cosme Fonteboa</v>
      </c>
      <c r="P2" s="26">
        <f>I2</f>
        <v>16.027802682189499</v>
      </c>
      <c r="Q2" s="26">
        <f>J2</f>
        <v>13.4563741107608994</v>
      </c>
      <c r="R2" s="73">
        <f>(Q2*2+P2)/8</f>
        <v>5.36756886296390956</v>
      </c>
      <c r="S2" s="29">
        <f>E2</f>
        <v>2.16413284265804995</v>
      </c>
      <c r="T2" s="29">
        <f>F2</f>
        <v>2.3358603702237799</v>
      </c>
    </row>
    <row r="3" spans="1:20">
      <c r="A3" t="str">
        <f>Plantilla!D5</f>
        <v>Nicolae Hornet</v>
      </c>
      <c r="B3" s="26">
        <f>Plantilla!Y5+Plantilla!N5+Plantilla!J5</f>
        <v>6.5948373809043197</v>
      </c>
      <c r="C3" s="26">
        <f>Plantilla!AB5+Plantilla!N5+Plantilla!J5</f>
        <v>1.19483738090432002</v>
      </c>
      <c r="D3" s="73">
        <f>(C3*2+B3)/8</f>
        <v>1.12306401783912002</v>
      </c>
      <c r="E3" s="26">
        <f>D3*Plantilla!R5</f>
        <v>1.12306401783912002</v>
      </c>
      <c r="F3" s="26">
        <f>D3*Plantilla!S5</f>
        <v>1.12306401783912002</v>
      </c>
      <c r="H3" s="29" t="str">
        <f>A7</f>
        <v>Guillermo Pedrajas</v>
      </c>
      <c r="I3" s="26">
        <f>B7</f>
        <v>14.3566117482510993</v>
      </c>
      <c r="J3" s="26">
        <f>C7</f>
        <v>13.0838844755237993</v>
      </c>
      <c r="K3" s="73">
        <f>(J3*2+I3)/8</f>
        <v>5.06554758741233968</v>
      </c>
      <c r="L3" s="29">
        <f>E7</f>
        <v>4.68978577278070041</v>
      </c>
      <c r="M3" s="29">
        <f>F7</f>
        <v>5.06192804598024004</v>
      </c>
      <c r="O3" t="str">
        <f>A7</f>
        <v>Guillermo Pedrajas</v>
      </c>
      <c r="P3" s="26">
        <f>I3</f>
        <v>14.3566117482510993</v>
      </c>
      <c r="Q3" s="26">
        <f>J3</f>
        <v>13.0838844755237993</v>
      </c>
      <c r="R3" s="73">
        <f>(Q3*2+P3)/8</f>
        <v>5.06554758741233968</v>
      </c>
      <c r="S3" s="29">
        <f>E7</f>
        <v>4.68978577278070041</v>
      </c>
      <c r="T3" s="29">
        <f>F7</f>
        <v>5.06192804598024004</v>
      </c>
    </row>
    <row r="4" spans="1:20">
      <c r="A4" t="str">
        <f>Plantilla!D6</f>
        <v>Miguel Fernández</v>
      </c>
      <c r="B4" s="26">
        <f>Plantilla!Y6+Plantilla!N6+Plantilla!J6</f>
        <v>17.2614091242038015</v>
      </c>
      <c r="C4" s="26">
        <f>Plantilla!AB6+Plantilla!N6+Plantilla!J6</f>
        <v>9.85793690198159034</v>
      </c>
      <c r="D4" s="73">
        <f>(C4*2+B4)/8</f>
        <v>4.62216036602088032</v>
      </c>
      <c r="E4" s="26">
        <f>D4*Plantilla!R6</f>
        <v>3.49402481381443986</v>
      </c>
      <c r="F4" s="26">
        <f>D4*Plantilla!S6</f>
        <v>3.90253010570576997</v>
      </c>
      <c r="H4" t="str">
        <f>A11</f>
        <v>Will Duffill</v>
      </c>
      <c r="I4" s="26">
        <f>B11</f>
        <v>14.7014330702678002</v>
      </c>
      <c r="J4" s="26">
        <f>C11</f>
        <v>11.7680997369345004</v>
      </c>
      <c r="K4" s="73">
        <f>(J4*2+I4)/8</f>
        <v>4.77970406801710013</v>
      </c>
      <c r="L4" s="29">
        <f>E11</f>
        <v>4.42514609713486973</v>
      </c>
      <c r="M4" s="29">
        <f>F11</f>
        <v>4.77628877349883041</v>
      </c>
      <c r="O4" t="str">
        <f>A4</f>
        <v>Miguel Fernández</v>
      </c>
      <c r="P4" s="26">
        <f>I4</f>
        <v>14.7014330702678002</v>
      </c>
      <c r="Q4" s="26">
        <f>J4</f>
        <v>11.7680997369345004</v>
      </c>
      <c r="R4" s="73">
        <f>(Q4*2+P4)/8</f>
        <v>4.77970406801710013</v>
      </c>
      <c r="S4" s="29">
        <f>E4</f>
        <v>3.49402481381443986</v>
      </c>
      <c r="T4" s="29">
        <f>F4</f>
        <v>3.90253010570576997</v>
      </c>
    </row>
    <row r="5" spans="1:20">
      <c r="A5" t="str">
        <f>Plantilla!D7</f>
        <v>Iván Real Figueroa</v>
      </c>
      <c r="B5" s="26">
        <f>Plantilla!Y7+Plantilla!N7+Plantilla!J7</f>
        <v>17.2996502526589992</v>
      </c>
      <c r="C5" s="26">
        <f>Plantilla!AB7+Plantilla!N7+Plantilla!J7</f>
        <v>10.4871502526589992</v>
      </c>
      <c r="D5" s="73">
        <f>(C5*2+B5)/8</f>
        <v>4.78424384474713005</v>
      </c>
      <c r="E5" s="26">
        <f>D5*Plantilla!R7</f>
        <v>4.04342404104674991</v>
      </c>
      <c r="F5" s="26">
        <f>D5*Plantilla!S7</f>
        <v>4.42565645016718978</v>
      </c>
      <c r="H5" s="29" t="str">
        <f>A8</f>
        <v>Venanci Oset</v>
      </c>
      <c r="I5" s="26">
        <f>B8</f>
        <v>15.9471086504716997</v>
      </c>
      <c r="J5" s="26">
        <f>C8</f>
        <v>13.9471086504716997</v>
      </c>
      <c r="K5" s="73">
        <f>(J5*2+I5)/8</f>
        <v>5.48016574392689026</v>
      </c>
      <c r="L5" s="29">
        <f>E8</f>
        <v>5.07364759581251956</v>
      </c>
      <c r="M5" s="29">
        <f>F8</f>
        <v>5.47624994082315997</v>
      </c>
      <c r="O5" s="29" t="str">
        <f>H5</f>
        <v>Venanci Oset</v>
      </c>
      <c r="P5" s="26">
        <f>I5</f>
        <v>15.9471086504716997</v>
      </c>
      <c r="Q5" s="26">
        <f>J5</f>
        <v>13.9471086504716997</v>
      </c>
      <c r="R5" s="73">
        <f>(Q5*2+P5)/8</f>
        <v>5.48016574392689026</v>
      </c>
      <c r="S5" s="29">
        <f>L5</f>
        <v>5.07364759581251956</v>
      </c>
      <c r="T5" s="29">
        <f>M5</f>
        <v>5.47624994082315997</v>
      </c>
    </row>
    <row r="6" spans="1:20">
      <c r="A6" t="str">
        <f>Plantilla!D8</f>
        <v>Berto Abandero</v>
      </c>
      <c r="B6" s="26">
        <f>Plantilla!Y8+Plantilla!N8+Plantilla!J8</f>
        <v>16.027802682189499</v>
      </c>
      <c r="C6" s="26">
        <f>Plantilla!AB8+Plantilla!N8+Plantilla!J8</f>
        <v>13.4563741107608994</v>
      </c>
      <c r="D6" s="73">
        <f>(C6*2+B6)/8</f>
        <v>5.36756886296390956</v>
      </c>
      <c r="E6" s="26">
        <f>D6*Plantilla!R8</f>
        <v>2.86908624073238983</v>
      </c>
      <c r="F6" s="26">
        <f>D6*Plantilla!S8</f>
        <v>3.50803727258649012</v>
      </c>
      <c r="H6" t="str">
        <f>A4</f>
        <v>Miguel Fernández</v>
      </c>
      <c r="I6" s="26">
        <f>B4</f>
        <v>17.2614091242038015</v>
      </c>
      <c r="J6" s="26">
        <f>C4</f>
        <v>9.85793690198159034</v>
      </c>
      <c r="K6" s="73">
        <f>(J6*2+I6)/8</f>
        <v>4.62216036602088032</v>
      </c>
      <c r="L6" s="29">
        <f>E4</f>
        <v>3.49402481381443986</v>
      </c>
      <c r="M6" s="29">
        <f>F4</f>
        <v>3.90253010570576997</v>
      </c>
      <c r="R6" s="29"/>
      <c r="S6" s="26"/>
      <c r="T6" s="26"/>
    </row>
    <row r="7" spans="1:20">
      <c r="A7" t="str">
        <f>Plantilla!D9</f>
        <v>Guillermo Pedrajas</v>
      </c>
      <c r="B7" s="26">
        <f>Plantilla!Y9+Plantilla!N9+Plantilla!J9</f>
        <v>14.3566117482510993</v>
      </c>
      <c r="C7" s="26">
        <f>Plantilla!AB9+Plantilla!N9+Plantilla!J9</f>
        <v>13.0838844755237993</v>
      </c>
      <c r="D7" s="73">
        <f>(C7*2+B7)/8</f>
        <v>5.06554758741233968</v>
      </c>
      <c r="E7" s="26">
        <f>D7*Plantilla!R9</f>
        <v>4.68978577278070041</v>
      </c>
      <c r="F7" s="26">
        <f>D7*Plantilla!S9</f>
        <v>5.06192804598024004</v>
      </c>
      <c r="K7" s="103">
        <f>SUM(K2:K6)</f>
        <v>25.3151466283411004</v>
      </c>
      <c r="L7" s="103">
        <f>SUM(L2:L6)</f>
        <v>20.5516905202748994</v>
      </c>
      <c r="M7" s="103">
        <f>SUM(M2:M6)</f>
        <v>22.7250341385944985</v>
      </c>
      <c r="N7" s="103"/>
      <c r="O7" s="103"/>
      <c r="P7" s="103"/>
      <c r="Q7" s="103"/>
      <c r="R7" s="103">
        <f>SUM(R2:R6)</f>
        <v>20.6929862623202006</v>
      </c>
      <c r="S7" s="103">
        <f>SUM(S2:S6)</f>
        <v>15.4215910250657</v>
      </c>
      <c r="T7" s="103">
        <f>SUM(T2:T6)</f>
        <v>16.7765684627329996</v>
      </c>
    </row>
    <row r="8" spans="1:18">
      <c r="A8" t="str">
        <f>Plantilla!D10</f>
        <v>Venanci Oset</v>
      </c>
      <c r="B8" s="26">
        <f>Plantilla!Y10+Plantilla!N10+Plantilla!J10</f>
        <v>15.9471086504716997</v>
      </c>
      <c r="C8" s="26">
        <f>Plantilla!AB10+Plantilla!N10+Plantilla!J10</f>
        <v>13.9471086504716997</v>
      </c>
      <c r="D8" s="73">
        <f>(C8*2+B8)/8</f>
        <v>5.48016574392689026</v>
      </c>
      <c r="E8" s="26">
        <f>D8*Plantilla!R10</f>
        <v>5.07364759581251956</v>
      </c>
      <c r="F8" s="26">
        <f>D8*Plantilla!S10</f>
        <v>5.47624994082315997</v>
      </c>
      <c r="L8" s="2">
        <f>(K7-L7)/K7</f>
        <v>0.188166246002831983</v>
      </c>
      <c r="M8" s="2">
        <f>(K7-M7)/K7</f>
        <v>0.102314733853719009</v>
      </c>
      <c r="R8" s="29"/>
    </row>
    <row r="9" spans="1:6">
      <c r="A9" t="e">
        <f>#REF!</f>
        <v>#REF!</v>
      </c>
      <c r="B9" s="26" t="e">
        <f>#REF!+#REF!+#REF!</f>
        <v>#REF!</v>
      </c>
      <c r="C9" s="26" t="e">
        <f>#REF!+#REF!+#REF!</f>
        <v>#REF!</v>
      </c>
      <c r="D9" s="73" t="e">
        <f>(C9*2+B9)/8</f>
        <v>#REF!</v>
      </c>
      <c r="E9" s="26" t="e">
        <f>D9*#REF!</f>
        <v>#REF!</v>
      </c>
      <c r="F9" s="26" t="e">
        <f>D9*#REF!</f>
        <v>#REF!</v>
      </c>
    </row>
    <row r="10" spans="1:10">
      <c r="A10" t="str">
        <f>Plantilla!D11</f>
        <v>Francesc Añigas</v>
      </c>
      <c r="B10" s="26">
        <f>Plantilla!Y11+Plantilla!N11+Plantilla!J11</f>
        <v>15.3514330702678006</v>
      </c>
      <c r="C10" s="26">
        <f>Plantilla!AB11+Plantilla!N11+Plantilla!J11</f>
        <v>9.85143307026777038</v>
      </c>
      <c r="D10" s="73">
        <f>(C10*2+B10)/8</f>
        <v>4.38178740135040989</v>
      </c>
      <c r="E10" s="26">
        <f>D10*Plantilla!R11</f>
        <v>4.38178740135040989</v>
      </c>
      <c r="F10" s="26">
        <f>D10*Plantilla!S11</f>
        <v>4.38178740135040989</v>
      </c>
      <c r="H10" s="29"/>
      <c r="I10" s="29"/>
      <c r="J10" s="29"/>
    </row>
    <row r="11" spans="1:6">
      <c r="A11" t="str">
        <f>Plantilla!D12</f>
        <v>Will Duffill</v>
      </c>
      <c r="B11" s="26">
        <f>Plantilla!Y12+Plantilla!N12+Plantilla!J12</f>
        <v>14.7014330702678002</v>
      </c>
      <c r="C11" s="26">
        <f>Plantilla!AB12+Plantilla!N12+Plantilla!J12</f>
        <v>11.7680997369345004</v>
      </c>
      <c r="D11" s="73">
        <f>(C11*2+B11)/8</f>
        <v>4.77970406801710013</v>
      </c>
      <c r="E11" s="26">
        <f>D11*Plantilla!R12</f>
        <v>4.42514609713486973</v>
      </c>
      <c r="F11" s="26">
        <f>D11*Plantilla!S12</f>
        <v>4.77628877349883041</v>
      </c>
    </row>
    <row r="12" spans="1:20">
      <c r="A12" t="str">
        <f>Plantilla!D13</f>
        <v>Valeri Gomis</v>
      </c>
      <c r="B12" s="26">
        <f>Plantilla!Y13+Plantilla!N13+Plantilla!J13</f>
        <v>14.1927252473892</v>
      </c>
      <c r="C12" s="26">
        <f>Plantilla!AB13+Plantilla!N13+Plantilla!J13</f>
        <v>11.0927252473892004</v>
      </c>
      <c r="D12" s="73">
        <f>(C12*2+B12)/8</f>
        <v>4.54727196777094989</v>
      </c>
      <c r="E12" s="26">
        <f>D12*Plantilla!R13</f>
        <v>3.84314625096933007</v>
      </c>
      <c r="F12" s="26">
        <f>D12*Plantilla!S13</f>
        <v>4.20644602739591988</v>
      </c>
      <c r="H12" s="104" t="s">
        <v>617</v>
      </c>
      <c r="I12" s="104" t="s">
        <v>203</v>
      </c>
      <c r="J12" s="104" t="s">
        <v>206</v>
      </c>
      <c r="K12" s="105" t="s">
        <v>616</v>
      </c>
      <c r="L12" s="105" t="s">
        <v>599</v>
      </c>
      <c r="M12" s="105" t="s">
        <v>600</v>
      </c>
      <c r="O12" s="104" t="s">
        <v>617</v>
      </c>
      <c r="P12" s="104" t="s">
        <v>203</v>
      </c>
      <c r="Q12" s="104" t="s">
        <v>206</v>
      </c>
      <c r="R12" s="104" t="str">
        <f>K12</f>
        <v>N_CA</v>
      </c>
      <c r="S12" s="105" t="s">
        <v>599</v>
      </c>
      <c r="T12" s="105" t="s">
        <v>600</v>
      </c>
    </row>
    <row r="13" spans="1:20">
      <c r="A13" t="str">
        <f>Plantilla!D14</f>
        <v>Enrique Cubas</v>
      </c>
      <c r="B13" s="26">
        <f>Plantilla!Y14+Plantilla!N14+Plantilla!J14</f>
        <v>13.9844304801606008</v>
      </c>
      <c r="C13" s="26">
        <f>Plantilla!AB14+Plantilla!N14+Plantilla!J14</f>
        <v>12.1510971468273006</v>
      </c>
      <c r="D13" s="73">
        <f>(C13*2+B13)/8</f>
        <v>4.78582809672689979</v>
      </c>
      <c r="E13" s="26">
        <f>D13*Plantilla!R14</f>
        <v>4.43081584600597989</v>
      </c>
      <c r="F13" s="26">
        <f>D13*Plantilla!S14</f>
        <v>4.78240842633903007</v>
      </c>
      <c r="H13" s="29" t="str">
        <f>H2</f>
        <v>Berto Abandero</v>
      </c>
      <c r="I13" s="26">
        <f>I2</f>
        <v>16.027802682189499</v>
      </c>
      <c r="J13" s="26">
        <f>J2</f>
        <v>13.4563741107608994</v>
      </c>
      <c r="K13" s="73">
        <f>(J13*2+I13)/8</f>
        <v>5.36756886296390956</v>
      </c>
      <c r="L13" s="29">
        <f>K13*(1-$L$8)</f>
        <v>4.35757357985830041</v>
      </c>
      <c r="M13" s="29">
        <f>K13*(1-$M$8)</f>
        <v>4.81838748330824984</v>
      </c>
      <c r="O13" s="29" t="str">
        <f>H13</f>
        <v>Berto Abandero</v>
      </c>
      <c r="P13" s="29">
        <f>I13</f>
        <v>16.027802682189499</v>
      </c>
      <c r="Q13" s="29">
        <f>J13</f>
        <v>13.4563741107608994</v>
      </c>
      <c r="R13" s="73">
        <f>(Q13*2+P13)/8</f>
        <v>5.36756886296390956</v>
      </c>
      <c r="S13" s="29">
        <f>L13</f>
        <v>4.35757357985830041</v>
      </c>
      <c r="T13" s="29">
        <f>M13</f>
        <v>4.81838748330824984</v>
      </c>
    </row>
    <row r="14" spans="1:20">
      <c r="A14" t="str">
        <f>Plantilla!D15</f>
        <v>J. G. Peñuela</v>
      </c>
      <c r="B14" s="26">
        <f>Plantilla!Y15+Plantilla!N15+Plantilla!J15</f>
        <v>13.6657873992713998</v>
      </c>
      <c r="C14" s="26">
        <f>Plantilla!AB15+Plantilla!N15+Plantilla!J15</f>
        <v>10.0657873992714002</v>
      </c>
      <c r="D14" s="73">
        <f>(C14*2+B14)/8</f>
        <v>4.2246702747267797</v>
      </c>
      <c r="E14" s="26">
        <f>D14*Plantilla!R15</f>
        <v>3.91128465525367996</v>
      </c>
      <c r="F14" s="26">
        <f>D14*Plantilla!S15</f>
        <v>4.2216515746094796</v>
      </c>
      <c r="H14" s="29" t="str">
        <f>H3</f>
        <v>Guillermo Pedrajas</v>
      </c>
      <c r="I14" s="26">
        <f>I3</f>
        <v>14.3566117482510993</v>
      </c>
      <c r="J14" s="26">
        <f>J3</f>
        <v>13.0838844755237993</v>
      </c>
      <c r="K14" s="73">
        <f>(J14*2+I14)/8</f>
        <v>5.06554758741233968</v>
      </c>
      <c r="L14" s="29">
        <f>K14*(1-$L$8)</f>
        <v>4.11238251394026033</v>
      </c>
      <c r="M14" s="29">
        <f>K14*(1-$M$8)</f>
        <v>4.54726743418290003</v>
      </c>
      <c r="O14" s="29" t="str">
        <f>H14</f>
        <v>Guillermo Pedrajas</v>
      </c>
      <c r="P14" s="29">
        <f>I14</f>
        <v>14.3566117482510993</v>
      </c>
      <c r="Q14" s="29">
        <f>J14</f>
        <v>13.0838844755237993</v>
      </c>
      <c r="R14" s="73">
        <f>(Q14*2+P14)/8</f>
        <v>5.06554758741233968</v>
      </c>
      <c r="S14" s="29">
        <f>L14</f>
        <v>4.11238251394026033</v>
      </c>
      <c r="T14" s="29">
        <f>M14</f>
        <v>4.54726743418290003</v>
      </c>
    </row>
    <row r="15" spans="1:20">
      <c r="A15" t="e">
        <f>#REF!</f>
        <v>#REF!</v>
      </c>
      <c r="B15" s="26" t="e">
        <f>#REF!+#REF!+#REF!</f>
        <v>#REF!</v>
      </c>
      <c r="C15" s="26" t="e">
        <f>#REF!+#REF!+#REF!</f>
        <v>#REF!</v>
      </c>
      <c r="D15" s="73" t="e">
        <f>(C15*2+B15)/8</f>
        <v>#REF!</v>
      </c>
      <c r="E15" s="26" t="e">
        <f>D15*#REF!</f>
        <v>#REF!</v>
      </c>
      <c r="F15" s="26" t="e">
        <f>D15*#REF!</f>
        <v>#REF!</v>
      </c>
      <c r="H15" s="29" t="str">
        <f>H4</f>
        <v>Will Duffill</v>
      </c>
      <c r="I15" s="26">
        <f>I4</f>
        <v>14.7014330702678002</v>
      </c>
      <c r="J15" s="26">
        <f>J4</f>
        <v>11.7680997369345004</v>
      </c>
      <c r="K15" s="73">
        <f>(J15*2+I15)/8</f>
        <v>4.77970406801710013</v>
      </c>
      <c r="L15" s="29">
        <f>K15*(1-$L$8)</f>
        <v>3.88032509653386004</v>
      </c>
      <c r="M15" s="29">
        <f>K15*(1-$M$8)</f>
        <v>4.29066991839838963</v>
      </c>
      <c r="O15" s="29" t="str">
        <f>H15</f>
        <v>Will Duffill</v>
      </c>
      <c r="P15" s="29">
        <f>I15</f>
        <v>14.7014330702678002</v>
      </c>
      <c r="Q15" s="29">
        <f>J15</f>
        <v>11.7680997369345004</v>
      </c>
      <c r="R15" s="73">
        <f>(Q15*2+P15)/8</f>
        <v>4.77970406801710013</v>
      </c>
      <c r="S15" s="29">
        <f>L15</f>
        <v>3.88032509653386004</v>
      </c>
      <c r="T15" s="29">
        <f>M15</f>
        <v>4.29066991839838963</v>
      </c>
    </row>
    <row r="16" spans="1:20">
      <c r="A16" t="str">
        <f>Plantilla!D17</f>
        <v>Ryan Clarke</v>
      </c>
      <c r="B16" s="26">
        <f>Plantilla!Y17+Plantilla!N17+Plantilla!J17</f>
        <v>13.1667483511889003</v>
      </c>
      <c r="C16" s="26">
        <f>Plantilla!AB17+Plantilla!N17+Plantilla!J17</f>
        <v>15.1667483511889003</v>
      </c>
      <c r="D16" s="73">
        <f>(C16*2+B16)/8</f>
        <v>5.43753063169584028</v>
      </c>
      <c r="E16" s="26">
        <f>D16*Plantilla!R17</f>
        <v>5.03417515195295007</v>
      </c>
      <c r="F16" s="26">
        <f>D16*Plantilla!S17</f>
        <v>5.43364529312778011</v>
      </c>
      <c r="H16" s="29" t="str">
        <f>H5</f>
        <v>Venanci Oset</v>
      </c>
      <c r="I16" s="26">
        <f>I5</f>
        <v>15.9471086504716997</v>
      </c>
      <c r="J16" s="26">
        <f>J5</f>
        <v>13.9471086504716997</v>
      </c>
      <c r="K16" s="73">
        <f>(J16*2+I16)/8</f>
        <v>5.48016574392689026</v>
      </c>
      <c r="L16" s="29">
        <f>K16*(1-$L$8)</f>
        <v>4.44898352841885014</v>
      </c>
      <c r="M16" s="29">
        <f>K16*(1-$M$8)</f>
        <v>4.91946404436273976</v>
      </c>
      <c r="O16" s="29" t="str">
        <f>H16</f>
        <v>Venanci Oset</v>
      </c>
      <c r="P16" s="29">
        <f>I16</f>
        <v>15.9471086504716997</v>
      </c>
      <c r="Q16" s="29">
        <f>J16</f>
        <v>13.9471086504716997</v>
      </c>
      <c r="R16" s="73">
        <f>(Q16*2+P16)/8</f>
        <v>5.48016574392689026</v>
      </c>
      <c r="S16" s="29">
        <f>L16</f>
        <v>4.44898352841885014</v>
      </c>
      <c r="T16" s="29">
        <f>M16</f>
        <v>4.91946404436273976</v>
      </c>
    </row>
    <row r="17" spans="1:20">
      <c r="A17" t="e">
        <f>#REF!</f>
        <v>#REF!</v>
      </c>
      <c r="B17" s="26" t="e">
        <f>#REF!+#REF!+#REF!</f>
        <v>#REF!</v>
      </c>
      <c r="C17" s="26" t="e">
        <f>#REF!+#REF!+#REF!</f>
        <v>#REF!</v>
      </c>
      <c r="D17" s="73" t="e">
        <f>(C17*2+B17)/8</f>
        <v>#REF!</v>
      </c>
      <c r="E17" s="26" t="e">
        <f>D17*#REF!</f>
        <v>#REF!</v>
      </c>
      <c r="F17" s="26" t="e">
        <f>D17*#REF!</f>
        <v>#REF!</v>
      </c>
      <c r="H17" s="29" t="str">
        <f>H6</f>
        <v>Miguel Fernández</v>
      </c>
      <c r="I17" s="26">
        <f>I6</f>
        <v>17.2614091242038015</v>
      </c>
      <c r="J17" s="26">
        <f>J6</f>
        <v>9.85793690198159034</v>
      </c>
      <c r="K17" s="73">
        <f>(J17*2+I17)/8</f>
        <v>4.62216036602088032</v>
      </c>
      <c r="L17" s="29">
        <f>K17*(1-$L$8)</f>
        <v>3.75242580152366001</v>
      </c>
      <c r="M17" s="29">
        <f>K17*(1-$M$8)</f>
        <v>4.14924525834225033</v>
      </c>
      <c r="R17" s="29"/>
      <c r="S17" s="26"/>
      <c r="T17" s="26"/>
    </row>
    <row r="18" spans="1:20">
      <c r="A18" t="e">
        <f>#REF!</f>
        <v>#REF!</v>
      </c>
      <c r="B18" s="26" t="e">
        <f>#REF!+#REF!+#REF!</f>
        <v>#REF!</v>
      </c>
      <c r="C18" s="26" t="e">
        <f>#REF!+#REF!+#REF!</f>
        <v>#REF!</v>
      </c>
      <c r="D18" s="73" t="e">
        <f>(C18*2+B18)/8</f>
        <v>#REF!</v>
      </c>
      <c r="E18" s="26" t="e">
        <f>D18*#REF!</f>
        <v>#REF!</v>
      </c>
      <c r="F18" s="26" t="e">
        <f>D18*#REF!</f>
        <v>#REF!</v>
      </c>
      <c r="K18" s="103">
        <f>SUM(K13:K17)</f>
        <v>25.3151466283411004</v>
      </c>
      <c r="L18" s="103">
        <f>SUM(L13:L17)</f>
        <v>20.5516905202748994</v>
      </c>
      <c r="M18" s="103">
        <f>SUM(M13:M17)</f>
        <v>22.7250341385944985</v>
      </c>
      <c r="N18" s="103"/>
      <c r="O18" s="103"/>
      <c r="P18" s="103"/>
      <c r="Q18" s="103"/>
      <c r="R18" s="103">
        <f>SUM(R13:R17)</f>
        <v>20.6929862623202006</v>
      </c>
      <c r="S18" s="103">
        <f>SUM(S13:S17)</f>
        <v>16.7992647187512993</v>
      </c>
      <c r="T18" s="103">
        <f>SUM(T13:T17)</f>
        <v>18.5757888802523006</v>
      </c>
    </row>
    <row r="19" spans="1:6">
      <c r="A19" t="str">
        <f>Plantilla!D18</f>
        <v>Renato Galeano</v>
      </c>
      <c r="B19" s="26">
        <f>Plantilla!Y18+Plantilla!N18+Plantilla!J18</f>
        <v>4.04796678236910967</v>
      </c>
      <c r="C19" s="26">
        <f>Plantilla!AB18+Plantilla!N18+Plantilla!J18</f>
        <v>9.04796678236911056</v>
      </c>
      <c r="D19" s="73">
        <f>(C19*2+B19)/8</f>
        <v>2.76798754338841002</v>
      </c>
      <c r="E19" s="26">
        <f>D19*Plantilla!R18</f>
        <v>2.56265850358904013</v>
      </c>
      <c r="F19" s="26">
        <f>D19*Plantilla!S18</f>
        <v>2.76600970280474989</v>
      </c>
    </row>
    <row r="20" spans="1:6">
      <c r="A20" t="str">
        <f>Plantilla!D19</f>
        <v>Tommaso Niscola</v>
      </c>
      <c r="B20" s="26">
        <f>Plantilla!Y19+Plantilla!N19+Plantilla!J19</f>
        <v>5.01697305659665993</v>
      </c>
      <c r="C20" s="26">
        <f>Plantilla!AB19+Plantilla!N19+Plantilla!J19</f>
        <v>15.0169730565965995</v>
      </c>
      <c r="D20" s="73">
        <f>(C20*2+B20)/8</f>
        <v>4.38136489622374015</v>
      </c>
      <c r="E20" s="26">
        <f>D20*Plantilla!R19</f>
        <v>3.70292918356165979</v>
      </c>
      <c r="F20" s="26">
        <f>D20*Plantilla!S19</f>
        <v>4.05297397932558034</v>
      </c>
    </row>
    <row r="21" spans="1:6">
      <c r="A21" t="str">
        <f>Plantilla!D20</f>
        <v>Rodolfo Rinaldo  Paso</v>
      </c>
      <c r="B21" s="26">
        <f>Plantilla!Y20+Plantilla!N20+Plantilla!J20</f>
        <v>4.84462460743945034</v>
      </c>
      <c r="C21" s="26">
        <f>Plantilla!AB20+Plantilla!N20+Plantilla!J20</f>
        <v>13.8446246074394992</v>
      </c>
      <c r="D21" s="73">
        <f>(C21*2+B21)/8</f>
        <v>4.06673422778981042</v>
      </c>
      <c r="E21" s="26">
        <f>D21*Plantilla!R20</f>
        <v>4.06673422778981042</v>
      </c>
      <c r="F21" s="26">
        <f>D21*Plantilla!S20</f>
        <v>4.06673422778981042</v>
      </c>
    </row>
    <row r="22" spans="2:6">
      <c r="B22" s="26"/>
      <c r="C22" s="26"/>
      <c r="D22" s="73"/>
      <c r="E22" s="26"/>
      <c r="F22" s="26"/>
    </row>
    <row r="23" spans="2:6">
      <c r="B23" s="26"/>
      <c r="C23" s="26"/>
      <c r="D23" s="73"/>
      <c r="E23" s="26"/>
      <c r="F23" s="26"/>
    </row>
    <row r="24" spans="2:6">
      <c r="B24" s="26"/>
      <c r="C24" s="26"/>
      <c r="D24" s="73"/>
      <c r="E24" s="26"/>
      <c r="F24" s="26"/>
    </row>
    <row r="25" spans="2:6">
      <c r="B25" s="26"/>
      <c r="C25" s="26"/>
      <c r="D25" s="73"/>
      <c r="E25" s="26"/>
      <c r="F25" s="26"/>
    </row>
    <row r="26" spans="2:6">
      <c r="B26" s="26"/>
      <c r="C26" s="26"/>
      <c r="D26" s="73"/>
      <c r="E26" s="26"/>
      <c r="F26" s="26"/>
    </row>
    <row r="27" spans="2:6">
      <c r="B27" s="26"/>
      <c r="C27" s="26"/>
      <c r="D27" s="73"/>
      <c r="E27" s="26"/>
      <c r="F27" s="26"/>
    </row>
    <row r="28" spans="2:6">
      <c r="B28" s="26"/>
      <c r="C28" s="26"/>
      <c r="D28" s="73"/>
      <c r="E28" s="26"/>
      <c r="F28" s="26"/>
    </row>
  </sheetData>
  <conditionalFormatting sqref="R2:R5 K2:K6 D2:D21 R13:R16 K13:K1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2:D28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rintOptions>
    <extLst>
      <ext uri="smNativeData">
        <pm:pageFlags xmlns:pm="smNativeData" id="1591683921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91683921" l="56" r="56" t="56" b="56" borderId="0" fillId="0" vertical="0"/>
        <pm:footer xmlns:pm="smNativeData" id="1591683921" l="56" r="56" t="56" b="56" borderId="0" fillId="0" vertical="2"/>
      </ext>
    </extLst>
  </headerFooter>
  <extLst>
    <ext uri="smNativeData">
      <pm:sheetPrefs xmlns:pm="smNativeData" day="1591683921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9.xml><?xml version="1.0" encoding="utf-8"?>
<worksheet xmlns="http://schemas.openxmlformats.org/spreadsheetml/2006/main" xmlns:r="http://schemas.openxmlformats.org/officeDocument/2006/relationships">
  <sheetPr filterMode="1">
    <tabColor rgb="B7DEE8"/>
  </sheetPr>
  <dimension ref="A1:N87"/>
  <sheetViews>
    <sheetView view="normal" topLeftCell="E1" workbookViewId="0">
      <selection activeCell="L10" sqref="L10"/>
    </sheetView>
  </sheetViews>
  <sheetFormatPr baseColWidth="10" defaultColWidth="10.669643" defaultRowHeight="15.40"/>
  <cols>
    <col min="1" max="1" width="12.571429" customWidth="1" style="44"/>
    <col min="2" max="2" width="27.428571" customWidth="1" style="44"/>
    <col min="3" max="3" width="27.142857" customWidth="1" style="44"/>
    <col min="4" max="4" width="11.714286" customWidth="1" style="44"/>
    <col min="5" max="5" width="16.857143" customWidth="1" style="44"/>
    <col min="6" max="6" width="17.285714" customWidth="1" style="44"/>
    <col min="7" max="7" width="4.285714" customWidth="1" style="44"/>
    <col min="8" max="8" width="13.571429" customWidth="1" style="44"/>
    <col min="10" max="10" width="16.455357" customWidth="1"/>
    <col min="11" max="11" width="7.580357" customWidth="1"/>
    <col min="12" max="12" width="23.196429" customWidth="1"/>
    <col min="13" max="13" width="11.303571" customWidth="1"/>
  </cols>
  <sheetData>
    <row r="1" spans="1:14">
      <c r="A1" s="45" t="s">
        <v>227</v>
      </c>
      <c r="B1" s="45" t="s">
        <v>618</v>
      </c>
      <c r="C1" s="45" t="s">
        <v>619</v>
      </c>
      <c r="D1" s="45" t="s">
        <v>620</v>
      </c>
      <c r="E1" s="45" t="s">
        <v>621</v>
      </c>
      <c r="F1" s="45" t="s">
        <v>622</v>
      </c>
      <c r="G1" s="45" t="s">
        <v>623</v>
      </c>
      <c r="H1" s="45" t="s">
        <v>624</v>
      </c>
      <c r="J1" t="s">
        <v>625</v>
      </c>
      <c r="K1" t="s">
        <v>626</v>
      </c>
      <c r="L1" t="s">
        <v>627</v>
      </c>
      <c r="M1" t="s">
        <v>628</v>
      </c>
      <c r="N1" s="44" t="s">
        <v>629</v>
      </c>
    </row>
    <row r="2" spans="1:14">
      <c r="A2" s="115" t="n">
        <v>43670</v>
      </c>
      <c r="B2" s="44" t="s">
        <v>441</v>
      </c>
      <c r="C2" s="44" t="s">
        <v>630</v>
      </c>
      <c r="D2" s="44" t="n">
        <v>14</v>
      </c>
      <c r="E2" s="31">
        <f>(7+11+14+11+10+12+14+11+13+14+10)/11</f>
        <v>11.5454545454545006</v>
      </c>
      <c r="F2" s="44" t="n">
        <v>7</v>
      </c>
      <c r="G2" s="44" t="n">
        <v>2</v>
      </c>
      <c r="H2" s="40">
        <f>G2/F2</f>
        <v>0.285714285714285978</v>
      </c>
      <c r="J2" s="345" t="n">
        <v>14</v>
      </c>
      <c r="K2" t="n">
        <v>1</v>
      </c>
      <c r="L2" t="n">
        <v>7</v>
      </c>
      <c r="M2" t="n">
        <v>2</v>
      </c>
      <c r="N2" s="60">
        <f>M2/L2</f>
        <v>0.285714285714285978</v>
      </c>
    </row>
    <row r="3" spans="1:14">
      <c r="A3" s="115" t="n">
        <v>43617</v>
      </c>
      <c r="B3" s="44" t="s">
        <v>631</v>
      </c>
      <c r="C3" s="44" t="s">
        <v>441</v>
      </c>
      <c r="D3" s="44" t="n">
        <v>15</v>
      </c>
      <c r="E3" s="31">
        <f>(15+8+9+11+14+11+14+9+13+13+12)/11</f>
        <v>11.7272727272727</v>
      </c>
      <c r="F3" s="44" t="n">
        <v>9</v>
      </c>
      <c r="G3" s="44" t="n">
        <v>2</v>
      </c>
      <c r="H3" s="40">
        <f>G3/F3</f>
        <v>0.222222222222221966</v>
      </c>
      <c r="J3" s="345" t="n">
        <v>15</v>
      </c>
      <c r="K3" t="n">
        <v>3</v>
      </c>
      <c r="L3" t="n">
        <v>24</v>
      </c>
      <c r="M3" t="n">
        <v>8</v>
      </c>
      <c r="N3" s="60">
        <f>M3/L3</f>
        <v>0.333333333333332993</v>
      </c>
    </row>
    <row r="4" spans="1:14">
      <c r="A4" s="115" t="n">
        <v>43684</v>
      </c>
      <c r="B4" s="44" t="s">
        <v>632</v>
      </c>
      <c r="C4" s="44" t="s">
        <v>441</v>
      </c>
      <c r="D4" s="44" t="n">
        <v>15</v>
      </c>
      <c r="E4" s="31">
        <f>(6+10+12+11+12+9+11+12+12+12+9)/11</f>
        <v>10.5454545454545006</v>
      </c>
      <c r="F4" s="44" t="n">
        <v>9</v>
      </c>
      <c r="G4" s="44" t="n">
        <v>4</v>
      </c>
      <c r="H4" s="40">
        <f>G4/F4</f>
        <v>0.444444444444443931</v>
      </c>
      <c r="J4" s="345" t="n">
        <v>16</v>
      </c>
      <c r="K4" t="n">
        <v>20</v>
      </c>
      <c r="L4" t="n">
        <v>126</v>
      </c>
      <c r="M4" t="n">
        <v>51</v>
      </c>
      <c r="N4" s="60">
        <f>M4/L4</f>
        <v>0.404761904761905011</v>
      </c>
    </row>
    <row r="5" spans="1:14">
      <c r="A5" s="115" t="n">
        <v>43691</v>
      </c>
      <c r="B5" s="44" t="s">
        <v>633</v>
      </c>
      <c r="C5" s="44" t="s">
        <v>441</v>
      </c>
      <c r="D5" s="44" t="n">
        <v>15</v>
      </c>
      <c r="E5" s="31">
        <f>(6+10+12+11+14+9+13+12+11+12+9)/11</f>
        <v>10.8181818181818006</v>
      </c>
      <c r="F5" s="44" t="n">
        <v>6</v>
      </c>
      <c r="G5" s="44" t="n">
        <v>2</v>
      </c>
      <c r="H5" s="40">
        <f>G5/F5</f>
        <v>0.333333333333332993</v>
      </c>
      <c r="J5" s="345" t="n">
        <v>17</v>
      </c>
      <c r="K5" t="n">
        <v>14</v>
      </c>
      <c r="L5" t="n">
        <v>96</v>
      </c>
      <c r="M5" t="n">
        <v>37</v>
      </c>
      <c r="N5" s="60">
        <f>M5/L5</f>
        <v>0.385416666666666998</v>
      </c>
    </row>
    <row r="6" spans="1:14">
      <c r="A6" s="115" t="n">
        <v>43680</v>
      </c>
      <c r="B6" s="44" t="s">
        <v>441</v>
      </c>
      <c r="C6" s="44" t="s">
        <v>634</v>
      </c>
      <c r="D6" s="44" t="n">
        <v>16</v>
      </c>
      <c r="E6" s="31">
        <f>(15+11+14+11+14+12+13+13+14+5+8)/11</f>
        <v>11.8181818181818006</v>
      </c>
      <c r="F6" s="44" t="n">
        <v>4</v>
      </c>
      <c r="G6" s="45" t="n">
        <v>1</v>
      </c>
      <c r="H6" s="40">
        <f>G6/F6</f>
        <v>0.25</v>
      </c>
      <c r="J6" s="345" t="n">
        <v>18</v>
      </c>
      <c r="K6" t="n">
        <v>21</v>
      </c>
      <c r="L6" t="n">
        <v>137</v>
      </c>
      <c r="M6" t="n">
        <v>47</v>
      </c>
      <c r="N6" s="60">
        <f>M6/L6</f>
        <v>0.343065693430657026</v>
      </c>
    </row>
    <row r="7" spans="1:14">
      <c r="A7" s="115" t="n">
        <v>43677</v>
      </c>
      <c r="B7" s="44" t="s">
        <v>635</v>
      </c>
      <c r="C7" s="44" t="s">
        <v>441</v>
      </c>
      <c r="D7" s="44" t="n">
        <v>16</v>
      </c>
      <c r="E7" s="31">
        <f>(15+9+10+8+12+8+12+13+13+9+12)/11</f>
        <v>11</v>
      </c>
      <c r="F7" s="44" t="n">
        <v>7</v>
      </c>
      <c r="G7" s="44" t="n">
        <v>3</v>
      </c>
      <c r="H7" s="40">
        <f>G7/F7</f>
        <v>0.428571428571429003</v>
      </c>
      <c r="J7" s="345" t="n">
        <v>19</v>
      </c>
      <c r="K7" t="n">
        <v>23</v>
      </c>
      <c r="L7" t="n">
        <v>183</v>
      </c>
      <c r="M7" t="n">
        <v>76</v>
      </c>
      <c r="N7" s="60">
        <f>M7/L7</f>
        <v>0.415300546448087982</v>
      </c>
    </row>
    <row r="8" spans="1:14">
      <c r="A8" s="115" t="n">
        <v>43642</v>
      </c>
      <c r="B8" s="44" t="s">
        <v>441</v>
      </c>
      <c r="C8" s="44" t="s">
        <v>636</v>
      </c>
      <c r="D8" s="44" t="n">
        <v>16</v>
      </c>
      <c r="E8" s="31">
        <f>(15+10+14+14+11+10+13+14+13+10+10)/11</f>
        <v>12.1818181818181994</v>
      </c>
      <c r="F8" s="44" t="n">
        <v>9</v>
      </c>
      <c r="G8" s="44" t="n">
        <v>3</v>
      </c>
      <c r="H8" s="40">
        <f>G8/F8</f>
        <v>0.333333333333332993</v>
      </c>
      <c r="J8" s="345" t="n">
        <v>20</v>
      </c>
      <c r="K8" t="n">
        <v>3</v>
      </c>
      <c r="L8" t="n">
        <v>18</v>
      </c>
      <c r="M8" t="n">
        <v>9</v>
      </c>
      <c r="N8" s="60">
        <f>M8/L8</f>
        <v>0.5</v>
      </c>
    </row>
    <row r="9" spans="1:14">
      <c r="A9" s="115" t="n">
        <v>43641</v>
      </c>
      <c r="B9" s="44" t="s">
        <v>637</v>
      </c>
      <c r="C9" s="44" t="s">
        <v>441</v>
      </c>
      <c r="D9" s="44" t="n">
        <v>16</v>
      </c>
      <c r="E9" s="31">
        <f>(15+10+14+14+11+10+13+14+13+10+10)/11</f>
        <v>12.1818181818181994</v>
      </c>
      <c r="F9" s="44" t="n">
        <v>6</v>
      </c>
      <c r="G9" s="44" t="n">
        <v>2</v>
      </c>
      <c r="H9" s="40">
        <f>G9/F9</f>
        <v>0.333333333333332993</v>
      </c>
      <c r="J9" s="345" t="s">
        <v>638</v>
      </c>
      <c r="K9" t="n">
        <v>85</v>
      </c>
      <c r="L9" t="n">
        <v>591</v>
      </c>
      <c r="M9" t="n">
        <v>230</v>
      </c>
      <c r="N9" s="60"/>
    </row>
    <row r="10" spans="1:8">
      <c r="A10" s="115" t="n">
        <v>43641</v>
      </c>
      <c r="B10" s="44" t="s">
        <v>441</v>
      </c>
      <c r="C10" s="44" t="s">
        <v>639</v>
      </c>
      <c r="D10" s="44" t="n">
        <v>16</v>
      </c>
      <c r="E10" s="31">
        <f>(15+10+14+14+11+10+13+14+13+10+10)/11</f>
        <v>12.1818181818181994</v>
      </c>
      <c r="F10" s="44" t="n">
        <v>4</v>
      </c>
      <c r="G10" s="44" t="n">
        <v>2</v>
      </c>
      <c r="H10" s="40">
        <f>G10/F10</f>
        <v>0.5</v>
      </c>
    </row>
    <row r="11" spans="1:9">
      <c r="A11" s="115" t="n">
        <v>43640</v>
      </c>
      <c r="B11" s="44" t="s">
        <v>640</v>
      </c>
      <c r="C11" s="44" t="s">
        <v>441</v>
      </c>
      <c r="D11" s="44" t="n">
        <v>16</v>
      </c>
      <c r="E11" s="31">
        <f>(15+10+14+14+11+10+13+14+13+10+10)/11</f>
        <v>12.1818181818181994</v>
      </c>
      <c r="F11" s="44" t="n">
        <v>3</v>
      </c>
      <c r="G11" s="44" t="n">
        <v>2</v>
      </c>
      <c r="H11" s="40">
        <f>G11/F11</f>
        <v>0.666666666666666963</v>
      </c>
      <c r="I11" s="31"/>
    </row>
    <row r="12" spans="1:8">
      <c r="A12" s="115" t="n">
        <v>43636</v>
      </c>
      <c r="B12" s="44" t="s">
        <v>641</v>
      </c>
      <c r="C12" s="44" t="s">
        <v>441</v>
      </c>
      <c r="D12" s="44" t="n">
        <v>16</v>
      </c>
      <c r="E12" s="31">
        <f>(15+10+14+14+11+10+13+14+13+10+10)/11</f>
        <v>12.1818181818181994</v>
      </c>
      <c r="F12" s="44" t="n">
        <v>9</v>
      </c>
      <c r="G12" s="44" t="n">
        <v>2</v>
      </c>
      <c r="H12" s="40">
        <f>G12/F12</f>
        <v>0.222222222222221966</v>
      </c>
    </row>
    <row r="13" spans="1:8">
      <c r="A13" s="115" t="n">
        <v>43635</v>
      </c>
      <c r="B13" s="44" t="s">
        <v>441</v>
      </c>
      <c r="C13" s="44" t="s">
        <v>642</v>
      </c>
      <c r="D13" s="44" t="n">
        <v>16</v>
      </c>
      <c r="E13" s="31">
        <f>(15+10+14+14+11+10+13+14+13+10+10)/11</f>
        <v>12.1818181818181994</v>
      </c>
      <c r="F13" s="44" t="n">
        <v>7</v>
      </c>
      <c r="G13" s="44" t="n">
        <v>2</v>
      </c>
      <c r="H13" s="40">
        <f>G13/F13</f>
        <v>0.285714285714285978</v>
      </c>
    </row>
    <row r="14" spans="1:8">
      <c r="A14" s="115" t="n">
        <v>43635</v>
      </c>
      <c r="B14" s="44" t="s">
        <v>441</v>
      </c>
      <c r="C14" s="44" t="s">
        <v>643</v>
      </c>
      <c r="D14" s="44" t="n">
        <v>16</v>
      </c>
      <c r="E14" s="31">
        <f>(15+10+14+14+11+10+13+14+13+10+10)/11</f>
        <v>12.1818181818181994</v>
      </c>
      <c r="F14" s="44" t="n">
        <v>5</v>
      </c>
      <c r="G14" s="44" t="n">
        <v>2</v>
      </c>
      <c r="H14" s="40">
        <f>G14/F14</f>
        <v>0.4</v>
      </c>
    </row>
    <row r="15" spans="1:8">
      <c r="A15" s="115" t="n">
        <v>43634</v>
      </c>
      <c r="B15" s="44" t="s">
        <v>644</v>
      </c>
      <c r="C15" s="44" t="s">
        <v>441</v>
      </c>
      <c r="D15" s="44" t="n">
        <v>16</v>
      </c>
      <c r="E15" s="31">
        <f>(15+10+14+14+11+10+13+14+13+10+10)/11</f>
        <v>12.1818181818181994</v>
      </c>
      <c r="F15" s="44" t="n">
        <v>9</v>
      </c>
      <c r="G15" s="44" t="n">
        <v>3</v>
      </c>
      <c r="H15" s="40">
        <f>G15/F15</f>
        <v>0.333333333333332993</v>
      </c>
    </row>
    <row r="16" spans="1:8">
      <c r="A16" s="115" t="n">
        <v>43634</v>
      </c>
      <c r="B16" s="44" t="s">
        <v>645</v>
      </c>
      <c r="C16" s="44" t="s">
        <v>441</v>
      </c>
      <c r="D16" s="44" t="n">
        <v>16</v>
      </c>
      <c r="E16" s="31">
        <f>(15+10+14+14+11+10+13+14+13+10+10)/11</f>
        <v>12.1818181818181994</v>
      </c>
      <c r="F16" s="44" t="n">
        <v>6</v>
      </c>
      <c r="G16" s="44" t="n">
        <v>2</v>
      </c>
      <c r="H16" s="40">
        <f>G16/F16</f>
        <v>0.333333333333332993</v>
      </c>
    </row>
    <row r="17" spans="1:8">
      <c r="A17" s="115" t="n">
        <v>43633</v>
      </c>
      <c r="B17" s="44" t="s">
        <v>441</v>
      </c>
      <c r="C17" s="44" t="s">
        <v>646</v>
      </c>
      <c r="D17" s="44" t="n">
        <v>16</v>
      </c>
      <c r="E17" s="31">
        <f>(15+10+14+14+11+10+13+14+13+10+10)/11</f>
        <v>12.1818181818181994</v>
      </c>
      <c r="F17" s="44" t="n">
        <v>10</v>
      </c>
      <c r="G17" s="44" t="n">
        <v>3</v>
      </c>
      <c r="H17" s="40">
        <f>G17/F17</f>
        <v>0.3</v>
      </c>
    </row>
    <row r="18" spans="1:8">
      <c r="A18" s="115" t="n">
        <v>43633</v>
      </c>
      <c r="B18" s="44" t="s">
        <v>441</v>
      </c>
      <c r="C18" s="44" t="s">
        <v>647</v>
      </c>
      <c r="D18" s="44" t="n">
        <v>16</v>
      </c>
      <c r="E18" s="31">
        <f>(15+10+14+14+11+10+13+14+13+10+10)/11</f>
        <v>12.1818181818181994</v>
      </c>
      <c r="F18" s="44" t="n">
        <v>7</v>
      </c>
      <c r="G18" s="44" t="n">
        <v>3</v>
      </c>
      <c r="H18" s="40">
        <f>G18/F18</f>
        <v>0.428571428571429003</v>
      </c>
    </row>
    <row r="19" spans="1:8">
      <c r="A19" s="115" t="n">
        <v>43624</v>
      </c>
      <c r="B19" s="44" t="s">
        <v>648</v>
      </c>
      <c r="C19" s="44" t="s">
        <v>441</v>
      </c>
      <c r="D19" s="44" t="n">
        <v>16</v>
      </c>
      <c r="E19" s="31">
        <f>(15+10+14+14+11+10+13+14+13+10+10)/11</f>
        <v>12.1818181818181994</v>
      </c>
      <c r="F19" s="44" t="n">
        <v>4</v>
      </c>
      <c r="G19" s="44" t="n">
        <v>2</v>
      </c>
      <c r="H19" s="40">
        <f>G19/F19</f>
        <v>0.5</v>
      </c>
    </row>
    <row r="20" spans="1:8">
      <c r="A20" s="115" t="n">
        <v>43617</v>
      </c>
      <c r="B20" s="44" t="s">
        <v>649</v>
      </c>
      <c r="C20" s="44" t="s">
        <v>441</v>
      </c>
      <c r="D20" s="44" t="n">
        <v>16</v>
      </c>
      <c r="E20" s="31">
        <f>(15+10+14+10+11+10+13+14+13+10+12)/11</f>
        <v>12</v>
      </c>
      <c r="F20" s="44" t="n">
        <v>5</v>
      </c>
      <c r="G20" s="44" t="n">
        <v>3</v>
      </c>
      <c r="H20" s="40">
        <f>G20/F20</f>
        <v>0.6</v>
      </c>
    </row>
    <row r="21" spans="1:8">
      <c r="A21" s="115" t="n">
        <v>43615</v>
      </c>
      <c r="B21" s="44" t="s">
        <v>441</v>
      </c>
      <c r="C21" s="44" t="s">
        <v>650</v>
      </c>
      <c r="D21" s="44" t="n">
        <v>16</v>
      </c>
      <c r="E21" s="31">
        <f>(15+11+11+14+14+10+14+13+13+9+12)/11</f>
        <v>12.3636363636364006</v>
      </c>
      <c r="F21" s="44" t="n">
        <v>9</v>
      </c>
      <c r="G21" s="44" t="n">
        <v>4</v>
      </c>
      <c r="H21" s="40">
        <f>G21/F21</f>
        <v>0.444444444444443931</v>
      </c>
    </row>
    <row r="22" spans="1:8">
      <c r="A22" s="115" t="n">
        <v>43610</v>
      </c>
      <c r="B22" s="44" t="s">
        <v>441</v>
      </c>
      <c r="C22" s="44" t="s">
        <v>651</v>
      </c>
      <c r="D22" s="44" t="n">
        <v>16</v>
      </c>
      <c r="E22" s="31">
        <f>(15+11+11+14+14+10+14+13+13+9+9)/11</f>
        <v>12.0909090909091006</v>
      </c>
      <c r="F22" s="44" t="n">
        <v>5</v>
      </c>
      <c r="G22" s="44" t="n">
        <v>3</v>
      </c>
      <c r="H22" s="40">
        <f>G22/F22</f>
        <v>0.6</v>
      </c>
    </row>
    <row r="23" spans="1:8">
      <c r="A23" s="115" t="n">
        <v>43602</v>
      </c>
      <c r="B23" s="44" t="s">
        <v>652</v>
      </c>
      <c r="C23" s="44" t="s">
        <v>441</v>
      </c>
      <c r="D23" s="44" t="n">
        <v>16</v>
      </c>
      <c r="E23" s="31">
        <f>(15+11+11+14+14+10+14+13+13+9+9)/11</f>
        <v>12.0909090909091006</v>
      </c>
      <c r="F23" s="44" t="n">
        <v>6</v>
      </c>
      <c r="G23" s="44" t="n">
        <v>3</v>
      </c>
      <c r="H23" s="40">
        <f>G23/F23</f>
        <v>0.5</v>
      </c>
    </row>
    <row r="24" spans="1:8">
      <c r="A24" s="115" t="n">
        <v>43550</v>
      </c>
      <c r="B24" s="44" t="s">
        <v>653</v>
      </c>
      <c r="C24" s="44" t="s">
        <v>441</v>
      </c>
      <c r="D24" s="44" t="n">
        <v>16</v>
      </c>
      <c r="E24" s="31">
        <f>(15+8+9+11+14+11+14+9+13+13+12)/11</f>
        <v>11.7272727272727</v>
      </c>
      <c r="F24" s="44" t="n">
        <v>4</v>
      </c>
      <c r="G24" s="44" t="n">
        <v>2</v>
      </c>
      <c r="H24" s="40">
        <f>G24/F24</f>
        <v>0.5</v>
      </c>
    </row>
    <row r="25" spans="1:8">
      <c r="A25" s="115" t="n">
        <v>43644</v>
      </c>
      <c r="B25" s="44" t="s">
        <v>441</v>
      </c>
      <c r="C25" s="44" t="s">
        <v>654</v>
      </c>
      <c r="D25" s="44" t="n">
        <v>17</v>
      </c>
      <c r="E25" s="31">
        <f>(15+10+10+14+11+10+13+14+13+10+10)/11</f>
        <v>11.8181818181818006</v>
      </c>
      <c r="F25" s="44" t="n">
        <v>10</v>
      </c>
      <c r="G25" s="44" t="n">
        <v>4</v>
      </c>
      <c r="H25" s="40">
        <f>G25/F25</f>
        <v>0.4</v>
      </c>
    </row>
    <row r="26" spans="1:8">
      <c r="A26" s="115" t="n">
        <v>43643</v>
      </c>
      <c r="B26" s="44" t="s">
        <v>655</v>
      </c>
      <c r="C26" s="44" t="s">
        <v>441</v>
      </c>
      <c r="D26" s="44" t="n">
        <v>17</v>
      </c>
      <c r="E26" s="31">
        <f>(15+10+14+14+11+10+13+14+13+10+10)/11</f>
        <v>12.1818181818181994</v>
      </c>
      <c r="F26" s="44" t="n">
        <v>4</v>
      </c>
      <c r="G26" s="44" t="n">
        <v>2</v>
      </c>
      <c r="H26" s="40">
        <f>G26/F26</f>
        <v>0.5</v>
      </c>
    </row>
    <row r="27" spans="1:8">
      <c r="A27" s="115" t="n">
        <v>43643</v>
      </c>
      <c r="B27" s="44" t="s">
        <v>441</v>
      </c>
      <c r="C27" s="44" t="s">
        <v>656</v>
      </c>
      <c r="D27" s="44" t="n">
        <v>17</v>
      </c>
      <c r="E27" s="31">
        <f>(15+10+14+14+11+10+13+14+13+10+10)/11</f>
        <v>12.1818181818181994</v>
      </c>
      <c r="F27" s="44" t="n">
        <v>6</v>
      </c>
      <c r="G27" s="44" t="n">
        <v>1</v>
      </c>
      <c r="H27" s="40">
        <f>G27/F27</f>
        <v>0.16666666666666698</v>
      </c>
    </row>
    <row r="28" spans="1:8">
      <c r="A28" s="115" t="n">
        <v>43643</v>
      </c>
      <c r="B28" s="44" t="s">
        <v>657</v>
      </c>
      <c r="C28" s="44" t="s">
        <v>441</v>
      </c>
      <c r="D28" s="44" t="n">
        <v>17</v>
      </c>
      <c r="E28" s="31">
        <f>(15+10+14+14+11+10+13+14+13+10+10)/11</f>
        <v>12.1818181818181994</v>
      </c>
      <c r="F28" s="44" t="n">
        <v>7</v>
      </c>
      <c r="G28" s="44" t="n">
        <v>3</v>
      </c>
      <c r="H28" s="40">
        <f>G28/F28</f>
        <v>0.428571428571429003</v>
      </c>
    </row>
    <row r="29" spans="1:8">
      <c r="A29" s="115" t="n">
        <v>43642</v>
      </c>
      <c r="B29" s="44" t="s">
        <v>658</v>
      </c>
      <c r="C29" s="44" t="s">
        <v>441</v>
      </c>
      <c r="D29" s="44" t="n">
        <v>17</v>
      </c>
      <c r="E29" s="31">
        <f>(15+10+14+14+11+10+13+14+13+10+10)/11</f>
        <v>12.1818181818181994</v>
      </c>
      <c r="F29" s="44" t="n">
        <v>7</v>
      </c>
      <c r="G29" s="44" t="n">
        <v>1</v>
      </c>
      <c r="H29" s="40">
        <f>G29/F29</f>
        <v>0.142857142857142989</v>
      </c>
    </row>
    <row r="30" spans="1:8">
      <c r="A30" s="115" t="n">
        <v>43641</v>
      </c>
      <c r="B30" s="44" t="s">
        <v>441</v>
      </c>
      <c r="C30" s="44" t="s">
        <v>659</v>
      </c>
      <c r="D30" s="44" t="n">
        <v>17</v>
      </c>
      <c r="E30" s="31">
        <f>(15+10+14+14+11+10+13+14+13+10+10)/11</f>
        <v>12.1818181818181994</v>
      </c>
      <c r="F30" s="44" t="n">
        <v>8</v>
      </c>
      <c r="G30" s="44" t="n">
        <v>3</v>
      </c>
      <c r="H30" s="40">
        <f>G30/F30</f>
        <v>0.375</v>
      </c>
    </row>
    <row r="31" spans="1:8">
      <c r="A31" s="115" t="n">
        <v>43636</v>
      </c>
      <c r="B31" s="44" t="s">
        <v>660</v>
      </c>
      <c r="C31" s="44" t="s">
        <v>441</v>
      </c>
      <c r="D31" s="44" t="n">
        <v>17</v>
      </c>
      <c r="E31" s="31">
        <f>(15+10+14+14+11+10+13+14+13+10+10)/11</f>
        <v>12.1818181818181994</v>
      </c>
      <c r="F31" s="44" t="n">
        <v>8</v>
      </c>
      <c r="G31" s="44" t="n">
        <v>3</v>
      </c>
      <c r="H31" s="40">
        <f>G31/F31</f>
        <v>0.375</v>
      </c>
    </row>
    <row r="32" spans="1:8">
      <c r="A32" s="115" t="n">
        <v>43603</v>
      </c>
      <c r="B32" s="44" t="s">
        <v>661</v>
      </c>
      <c r="C32" s="44" t="s">
        <v>441</v>
      </c>
      <c r="D32" s="44" t="n">
        <v>17</v>
      </c>
      <c r="E32" s="31">
        <f>(15+11+11+14+14+10+14+13+13+9+9)/11</f>
        <v>12.0909090909091006</v>
      </c>
      <c r="F32" s="44" t="n">
        <v>9</v>
      </c>
      <c r="G32" s="44" t="n">
        <v>5</v>
      </c>
      <c r="H32" s="40">
        <f>G32/F32</f>
        <v>0.555555555555556069</v>
      </c>
    </row>
    <row r="33" spans="1:8">
      <c r="A33" s="115" t="n">
        <v>43596</v>
      </c>
      <c r="B33" s="44" t="s">
        <v>441</v>
      </c>
      <c r="C33" s="44" t="s">
        <v>634</v>
      </c>
      <c r="D33" s="44" t="n">
        <v>17</v>
      </c>
      <c r="E33" s="31">
        <f>(15+11+11+14+14+10+14+13+13+9+9)/11</f>
        <v>12.0909090909091006</v>
      </c>
      <c r="F33" s="44" t="n">
        <v>6</v>
      </c>
      <c r="G33" s="44" t="n">
        <v>1</v>
      </c>
      <c r="H33" s="40">
        <f>G33/F33</f>
        <v>0.16666666666666698</v>
      </c>
    </row>
    <row r="34" spans="1:8">
      <c r="A34" s="115" t="n">
        <v>43589</v>
      </c>
      <c r="B34" s="44" t="s">
        <v>662</v>
      </c>
      <c r="C34" s="44" t="s">
        <v>441</v>
      </c>
      <c r="D34" s="44" t="n">
        <v>17</v>
      </c>
      <c r="E34" s="31">
        <f>(15+11+11+14+14+10+14+11+13+9+9)/11</f>
        <v>11.9090909090908994</v>
      </c>
      <c r="F34" s="44" t="n">
        <v>8</v>
      </c>
      <c r="G34" s="44" t="n">
        <v>4</v>
      </c>
      <c r="H34" s="40">
        <f>G34/F34</f>
        <v>0.5</v>
      </c>
    </row>
    <row r="35" spans="1:8">
      <c r="A35" s="115" t="n">
        <v>43547</v>
      </c>
      <c r="B35" s="44" t="s">
        <v>441</v>
      </c>
      <c r="C35" s="44" t="s">
        <v>648</v>
      </c>
      <c r="D35" s="44" t="n">
        <v>17</v>
      </c>
      <c r="E35" s="31">
        <f>(15+11+14+11+14+10+13+11+14+9+9)/11</f>
        <v>11.9090909090908994</v>
      </c>
      <c r="F35" s="44" t="n">
        <v>5</v>
      </c>
      <c r="G35" s="44" t="n">
        <v>1</v>
      </c>
      <c r="H35" s="40">
        <f>G35/F35</f>
        <v>0.2</v>
      </c>
    </row>
    <row r="36" spans="1:8">
      <c r="A36" s="115" t="n">
        <v>43540</v>
      </c>
      <c r="B36" s="44" t="s">
        <v>663</v>
      </c>
      <c r="C36" s="44" t="s">
        <v>441</v>
      </c>
      <c r="D36" s="44" t="n">
        <v>17</v>
      </c>
      <c r="E36" s="31">
        <f>(15+8+9+11+14+11+14+9+13+13+12)/11</f>
        <v>11.7272727272727</v>
      </c>
      <c r="F36" s="44" t="n">
        <v>7</v>
      </c>
      <c r="G36" s="44" t="n">
        <v>3</v>
      </c>
      <c r="H36" s="40">
        <f>G36/F36</f>
        <v>0.428571428571429003</v>
      </c>
    </row>
    <row r="37" spans="1:8">
      <c r="A37" s="115" t="n">
        <v>43537</v>
      </c>
      <c r="B37" s="44" t="s">
        <v>664</v>
      </c>
      <c r="C37" s="44" t="s">
        <v>441</v>
      </c>
      <c r="D37" s="44" t="n">
        <v>17</v>
      </c>
      <c r="E37" s="31">
        <f>(15+8+9+11+14+11+14+9+13+13+12)/11</f>
        <v>11.7272727272727</v>
      </c>
      <c r="F37" s="44" t="n">
        <v>7</v>
      </c>
      <c r="G37" s="44" t="n">
        <v>4</v>
      </c>
      <c r="H37" s="40">
        <f>G37/F37</f>
        <v>0.571428571428571974</v>
      </c>
    </row>
    <row r="38" spans="1:8">
      <c r="A38" s="115" t="n">
        <v>43704</v>
      </c>
      <c r="B38" s="44" t="s">
        <v>441</v>
      </c>
      <c r="C38" s="44" t="s">
        <v>665</v>
      </c>
      <c r="D38" s="44" t="n">
        <v>18</v>
      </c>
      <c r="E38" s="31">
        <f>(15+12+15+11+12+12+13+13+14+12+9)/11</f>
        <v>12.5454545454545006</v>
      </c>
      <c r="F38" s="44" t="n">
        <v>4</v>
      </c>
      <c r="G38" s="44" t="n">
        <v>1</v>
      </c>
      <c r="H38" s="40">
        <f>G38/F38</f>
        <v>0.25</v>
      </c>
    </row>
    <row r="39" spans="1:8">
      <c r="A39" s="115" t="n">
        <v>43656</v>
      </c>
      <c r="B39" s="44" t="s">
        <v>666</v>
      </c>
      <c r="C39" s="44" t="s">
        <v>441</v>
      </c>
      <c r="D39" s="44" t="n">
        <v>18</v>
      </c>
      <c r="E39" s="31">
        <f>(12+10+14+13+14+10+12+10+14+10+15)/11</f>
        <v>12.1818181818181994</v>
      </c>
      <c r="F39" s="44" t="n">
        <v>6</v>
      </c>
      <c r="G39" s="44" t="n">
        <v>2</v>
      </c>
      <c r="H39" s="40">
        <f>G39/F39</f>
        <v>0.333333333333332993</v>
      </c>
    </row>
    <row r="40" spans="1:8">
      <c r="A40" s="115" t="n">
        <v>43656</v>
      </c>
      <c r="B40" s="44" t="s">
        <v>441</v>
      </c>
      <c r="C40" s="44" t="s">
        <v>667</v>
      </c>
      <c r="D40" s="44" t="n">
        <v>18</v>
      </c>
      <c r="E40" s="31">
        <f>(15+10+14+10+12+10+14+13+12+10+12)/11</f>
        <v>12</v>
      </c>
      <c r="F40" s="44" t="n">
        <v>3</v>
      </c>
      <c r="G40" s="44" t="n">
        <v>1</v>
      </c>
      <c r="H40" s="40">
        <f>G40/F40</f>
        <v>0.333333333333332993</v>
      </c>
    </row>
    <row r="41" spans="1:8">
      <c r="A41" s="115" t="n">
        <v>43655</v>
      </c>
      <c r="B41" s="44" t="s">
        <v>441</v>
      </c>
      <c r="C41" s="44" t="s">
        <v>668</v>
      </c>
      <c r="D41" s="44" t="n">
        <v>18</v>
      </c>
      <c r="E41" s="31">
        <f>(15+10+14+10+12+10+14+13+14+10+9)/11</f>
        <v>11.9090909090908994</v>
      </c>
      <c r="F41" s="44" t="n">
        <v>5</v>
      </c>
      <c r="G41" s="44" t="n">
        <v>1</v>
      </c>
      <c r="H41" s="40">
        <f>G41/F41</f>
        <v>0.2</v>
      </c>
    </row>
    <row r="42" spans="1:8">
      <c r="A42" s="115" t="n">
        <v>43582</v>
      </c>
      <c r="B42" s="44" t="s">
        <v>441</v>
      </c>
      <c r="C42" s="44" t="s">
        <v>662</v>
      </c>
      <c r="D42" s="44" t="n">
        <v>18</v>
      </c>
      <c r="E42" s="31">
        <f>(15+11+11+14+14+10+14+11+13+9+9)/11</f>
        <v>11.9090909090908994</v>
      </c>
      <c r="F42" s="44" t="n">
        <v>7</v>
      </c>
      <c r="G42" s="44" t="n">
        <v>2</v>
      </c>
      <c r="H42" s="40">
        <f>G42/F42</f>
        <v>0.285714285714285978</v>
      </c>
    </row>
    <row r="43" spans="1:8">
      <c r="A43" s="115" t="n">
        <v>43575</v>
      </c>
      <c r="B43" s="44" t="s">
        <v>634</v>
      </c>
      <c r="C43" s="44" t="s">
        <v>441</v>
      </c>
      <c r="D43" s="44" t="n">
        <v>18</v>
      </c>
      <c r="E43" s="31">
        <f>(15+11+11+14+14+10+14+11+13+9+9)/11</f>
        <v>11.9090909090908994</v>
      </c>
      <c r="F43" s="44" t="n">
        <v>9</v>
      </c>
      <c r="G43" s="44" t="n">
        <v>3</v>
      </c>
      <c r="H43" s="40">
        <f>G43/F43</f>
        <v>0.333333333333332993</v>
      </c>
    </row>
    <row r="44" spans="1:8">
      <c r="A44" s="115" t="n">
        <v>43568</v>
      </c>
      <c r="B44" s="44" t="s">
        <v>441</v>
      </c>
      <c r="C44" s="44" t="s">
        <v>661</v>
      </c>
      <c r="D44" s="44" t="n">
        <v>18</v>
      </c>
      <c r="E44" s="31">
        <f>(15+11+11+14+14+10+14+11+13+9+9)/11</f>
        <v>11.9090909090908994</v>
      </c>
      <c r="F44" s="44" t="n">
        <v>8</v>
      </c>
      <c r="G44" s="44" t="n">
        <v>3</v>
      </c>
      <c r="H44" s="40">
        <f>G44/F44</f>
        <v>0.375</v>
      </c>
    </row>
    <row r="45" spans="1:8">
      <c r="A45" s="115" t="n">
        <v>43561</v>
      </c>
      <c r="B45" s="44" t="s">
        <v>651</v>
      </c>
      <c r="C45" s="44" t="s">
        <v>441</v>
      </c>
      <c r="D45" s="44" t="n">
        <v>18</v>
      </c>
      <c r="E45" s="31">
        <f>(15+11+11+14+14+10+14+11+13+9+9)/11</f>
        <v>11.9090909090908994</v>
      </c>
      <c r="F45" s="44" t="n">
        <v>8</v>
      </c>
      <c r="G45" s="44" t="n">
        <v>3</v>
      </c>
      <c r="H45" s="40">
        <f>G45/F45</f>
        <v>0.375</v>
      </c>
    </row>
    <row r="46" spans="1:8">
      <c r="A46" s="115" t="n">
        <v>43554</v>
      </c>
      <c r="B46" s="44" t="s">
        <v>441</v>
      </c>
      <c r="C46" s="44" t="s">
        <v>649</v>
      </c>
      <c r="D46" s="44" t="n">
        <v>18</v>
      </c>
      <c r="E46" s="31">
        <f>(15+11+14+11+14+10+13+11+14+9+9)/11</f>
        <v>11.9090909090908994</v>
      </c>
      <c r="F46" s="44" t="n">
        <v>6</v>
      </c>
      <c r="G46" s="44" t="n">
        <v>1</v>
      </c>
      <c r="H46" s="40">
        <f>G46/F46</f>
        <v>0.16666666666666698</v>
      </c>
    </row>
    <row r="47" spans="1:8">
      <c r="A47" s="115" t="n">
        <v>43687</v>
      </c>
      <c r="B47" s="44" t="s">
        <v>669</v>
      </c>
      <c r="C47" s="44" t="s">
        <v>441</v>
      </c>
      <c r="D47" s="44" t="n">
        <v>18</v>
      </c>
      <c r="E47" s="31">
        <f>(15+12+13+11+14+12+13+13+14+9+12)/11</f>
        <v>12.5454545454545006</v>
      </c>
      <c r="F47" s="44" t="n">
        <v>5</v>
      </c>
      <c r="G47" s="44" t="n">
        <v>1</v>
      </c>
      <c r="H47" s="40">
        <f>G47/F47</f>
        <v>0.2</v>
      </c>
    </row>
    <row r="48" spans="1:8">
      <c r="A48" s="115" t="n">
        <v>43701</v>
      </c>
      <c r="B48" s="44" t="s">
        <v>441</v>
      </c>
      <c r="C48" s="44" t="s">
        <v>670</v>
      </c>
      <c r="D48" s="44" t="n">
        <v>18</v>
      </c>
      <c r="E48" s="31">
        <f>(15+12+15+12+12+12+13+13+11+14+12)/11</f>
        <v>12.8181818181818006</v>
      </c>
      <c r="F48" s="44" t="n">
        <v>8</v>
      </c>
      <c r="G48" s="44" t="n">
        <v>3</v>
      </c>
      <c r="H48" s="40">
        <f>G48/F48</f>
        <v>0.375</v>
      </c>
    </row>
    <row r="49" spans="1:8">
      <c r="A49" s="115" t="n">
        <v>43666</v>
      </c>
      <c r="B49" s="44" t="s">
        <v>648</v>
      </c>
      <c r="C49" s="44" t="s">
        <v>441</v>
      </c>
      <c r="D49" s="44" t="n">
        <v>19</v>
      </c>
      <c r="E49" s="31">
        <f>(15+9+9+12+10+14+12+10+13+12+10)/11</f>
        <v>11.4545454545454994</v>
      </c>
      <c r="F49" s="44" t="n">
        <v>5</v>
      </c>
      <c r="G49" s="44" t="n">
        <v>2</v>
      </c>
      <c r="H49" s="40">
        <f>G49/F49</f>
        <v>0.4</v>
      </c>
    </row>
    <row r="50" spans="1:8">
      <c r="A50" s="115" t="n">
        <v>43657</v>
      </c>
      <c r="B50" s="44" t="s">
        <v>441</v>
      </c>
      <c r="C50" s="44" t="s">
        <v>671</v>
      </c>
      <c r="D50" s="44" t="n">
        <v>19</v>
      </c>
      <c r="E50" s="31">
        <f>(15+10+14+10+12+10+14+13+14+10+9)/11</f>
        <v>11.9090909090908994</v>
      </c>
      <c r="F50" s="44" t="n">
        <v>12</v>
      </c>
      <c r="G50" s="44" t="n">
        <v>5</v>
      </c>
      <c r="H50" s="40">
        <f>G50/F50</f>
        <v>0.416666666666667052</v>
      </c>
    </row>
    <row r="51" spans="1:8">
      <c r="A51" s="115" t="n">
        <v>43652</v>
      </c>
      <c r="B51" s="44" t="s">
        <v>441</v>
      </c>
      <c r="C51" s="44" t="s">
        <v>672</v>
      </c>
      <c r="D51" s="44" t="n">
        <v>19</v>
      </c>
      <c r="E51" s="31">
        <f>(15+10+14+10+12+10+14+13+14+10+9)/11</f>
        <v>11.9090909090908994</v>
      </c>
      <c r="F51" s="44" t="n">
        <v>9</v>
      </c>
      <c r="G51" s="44" t="n">
        <v>5</v>
      </c>
      <c r="H51" s="40">
        <f>G51/F51</f>
        <v>0.555555555555556069</v>
      </c>
    </row>
    <row r="52" spans="1:8">
      <c r="A52" s="115" t="n">
        <v>43677</v>
      </c>
      <c r="B52" s="44" t="s">
        <v>441</v>
      </c>
      <c r="C52" s="44" t="s">
        <v>673</v>
      </c>
      <c r="D52" s="44" t="n">
        <v>20</v>
      </c>
      <c r="E52" s="31">
        <f>(15+11+14+10+12+12+13+13+14+12+9)/11</f>
        <v>12.2727272727273</v>
      </c>
      <c r="F52" s="44" t="n">
        <v>6</v>
      </c>
      <c r="G52" s="44" t="n">
        <v>2</v>
      </c>
      <c r="H52" s="40">
        <f>G52/F52</f>
        <v>0.333333333333332993</v>
      </c>
    </row>
    <row r="53" spans="1:8">
      <c r="A53" s="115" t="n">
        <v>43672</v>
      </c>
      <c r="B53" s="44" t="s">
        <v>674</v>
      </c>
      <c r="C53" s="44" t="s">
        <v>441</v>
      </c>
      <c r="D53" s="44" t="n">
        <v>20</v>
      </c>
      <c r="E53" s="31">
        <f>(15+12+12+10+14+10+13+13+14+10+12)/11</f>
        <v>12.2727272727273</v>
      </c>
      <c r="F53" s="44" t="n">
        <v>5</v>
      </c>
      <c r="G53" s="44" t="n">
        <v>3</v>
      </c>
      <c r="H53" s="40">
        <f>G53/F53</f>
        <v>0.6</v>
      </c>
    </row>
    <row r="54" spans="1:8">
      <c r="A54" s="115" t="n">
        <v>43663</v>
      </c>
      <c r="B54" s="44" t="s">
        <v>441</v>
      </c>
      <c r="C54" s="44" t="s">
        <v>675</v>
      </c>
      <c r="D54" s="44" t="n">
        <v>20</v>
      </c>
      <c r="E54" s="31">
        <f>(15+12+14.5+10+12+11+14+13+14+9+12)/11</f>
        <v>12.4090909090908994</v>
      </c>
      <c r="F54" s="44" t="n">
        <v>7</v>
      </c>
      <c r="G54" s="44" t="n">
        <v>4</v>
      </c>
      <c r="H54" s="40">
        <f>G54/F54</f>
        <v>0.571428571428571974</v>
      </c>
    </row>
    <row r="55" spans="1:8">
      <c r="A55" s="115" t="n">
        <v>43708</v>
      </c>
      <c r="B55" s="44" t="s">
        <v>441</v>
      </c>
      <c r="C55" s="44" t="s">
        <v>676</v>
      </c>
      <c r="D55" s="44" t="n">
        <v>17</v>
      </c>
      <c r="E55" s="31">
        <f>(15+11+15+11+13+12+13+14+13+9+12)/11</f>
        <v>12.5454545454545006</v>
      </c>
      <c r="F55" s="44" t="n">
        <v>4</v>
      </c>
      <c r="G55" s="44" t="n">
        <v>2</v>
      </c>
      <c r="H55" s="40">
        <f>G55/F55</f>
        <v>0.5</v>
      </c>
    </row>
    <row r="56" spans="1:8">
      <c r="A56" s="115" t="n">
        <v>43711</v>
      </c>
      <c r="B56" s="44" t="s">
        <v>677</v>
      </c>
      <c r="C56" s="44" t="s">
        <v>441</v>
      </c>
      <c r="D56" s="44" t="n">
        <v>16</v>
      </c>
      <c r="E56" s="31">
        <f>(15+11+15+13+13+12+14+13+13+9+12)/11</f>
        <v>12.7272727272727</v>
      </c>
      <c r="F56" s="44" t="n">
        <v>7</v>
      </c>
      <c r="G56" s="44" t="n">
        <v>4</v>
      </c>
      <c r="H56" s="40">
        <f>G56/F56</f>
        <v>0.571428571428571974</v>
      </c>
    </row>
    <row r="57" spans="1:8">
      <c r="A57" s="115" t="n">
        <v>43713</v>
      </c>
      <c r="B57" s="44" t="s">
        <v>441</v>
      </c>
      <c r="C57" s="44" t="s">
        <v>678</v>
      </c>
      <c r="D57" s="44" t="n">
        <v>19</v>
      </c>
      <c r="E57" s="31">
        <f>(15+12+15+13+13+12+13+13+14+12+12)/11</f>
        <v>13.0909090909091006</v>
      </c>
      <c r="F57" s="44" t="n">
        <v>10</v>
      </c>
      <c r="G57" s="44" t="n">
        <v>3</v>
      </c>
      <c r="H57" s="40">
        <f>G57/F57</f>
        <v>0.3</v>
      </c>
    </row>
    <row r="58" spans="1:8">
      <c r="A58" s="115" t="n">
        <v>43713</v>
      </c>
      <c r="B58" s="44" t="s">
        <v>441</v>
      </c>
      <c r="C58" s="44" t="s">
        <v>679</v>
      </c>
      <c r="D58" s="44" t="n">
        <v>18</v>
      </c>
      <c r="E58" s="31">
        <f>(15+12+15+13+13+12+13+13+14+12+12)/11</f>
        <v>13.0909090909091006</v>
      </c>
      <c r="F58" s="44" t="n">
        <v>4</v>
      </c>
      <c r="G58" s="44" t="n">
        <v>2</v>
      </c>
      <c r="H58" s="40">
        <f>G58/F58</f>
        <v>0.5</v>
      </c>
    </row>
    <row r="59" spans="1:8">
      <c r="A59" s="115" t="n">
        <v>43715</v>
      </c>
      <c r="B59" s="44" t="s">
        <v>634</v>
      </c>
      <c r="C59" s="44" t="s">
        <v>441</v>
      </c>
      <c r="D59" s="44" t="n">
        <v>19</v>
      </c>
      <c r="E59" s="31">
        <f>(15+12+15+13+13+12+13+13+14+12+9)/11</f>
        <v>12.8181818181818006</v>
      </c>
      <c r="F59" s="44" t="n">
        <v>7</v>
      </c>
      <c r="G59" s="44" t="n">
        <v>4</v>
      </c>
      <c r="H59" s="40">
        <f>G59/F59</f>
        <v>0.571428571428571974</v>
      </c>
    </row>
    <row r="60" spans="1:8">
      <c r="A60" s="115" t="n">
        <v>43717</v>
      </c>
      <c r="B60" s="44" t="s">
        <v>441</v>
      </c>
      <c r="C60" s="44" t="s">
        <v>680</v>
      </c>
      <c r="D60" s="44" t="n">
        <v>18</v>
      </c>
      <c r="E60" s="31">
        <f>(15+10+14+10+12+10+14+13+14+10+9)/11</f>
        <v>11.9090909090908994</v>
      </c>
      <c r="F60" s="44" t="n">
        <v>6</v>
      </c>
      <c r="G60" s="44" t="n">
        <v>3</v>
      </c>
      <c r="H60" s="40">
        <f>G60/F60</f>
        <v>0.5</v>
      </c>
    </row>
    <row r="61" spans="1:8">
      <c r="A61" s="115" t="n">
        <v>43719</v>
      </c>
      <c r="B61" s="44" t="s">
        <v>681</v>
      </c>
      <c r="C61" s="44" t="s">
        <v>441</v>
      </c>
      <c r="D61" s="44" t="n">
        <v>18</v>
      </c>
      <c r="E61" s="31">
        <f>(15+12+15+13+13+12+13+13+14+12+12)/11</f>
        <v>13.0909090909091006</v>
      </c>
      <c r="F61" s="44" t="n">
        <v>4</v>
      </c>
      <c r="G61" s="44" t="n">
        <v>1</v>
      </c>
      <c r="H61" s="40">
        <f>G61/F61</f>
        <v>0.25</v>
      </c>
    </row>
    <row r="62" spans="1:8">
      <c r="A62" s="115" t="n">
        <v>43722</v>
      </c>
      <c r="B62" s="44" t="s">
        <v>663</v>
      </c>
      <c r="C62" s="44" t="s">
        <v>441</v>
      </c>
      <c r="D62" s="44" t="n">
        <v>18</v>
      </c>
      <c r="E62" s="31">
        <f>(15+12+12+13+13+12+5+14+12+12+13)/11</f>
        <v>12.0909090909091006</v>
      </c>
      <c r="F62" s="44" t="n">
        <v>3</v>
      </c>
      <c r="G62" s="44" t="n">
        <v>1</v>
      </c>
      <c r="H62" s="40">
        <f>G62/F62</f>
        <v>0.333333333333332993</v>
      </c>
    </row>
    <row r="63" spans="1:8">
      <c r="A63" s="115" t="n">
        <v>43724</v>
      </c>
      <c r="B63" s="44" t="s">
        <v>441</v>
      </c>
      <c r="C63" s="44" t="s">
        <v>682</v>
      </c>
      <c r="D63" s="44" t="n">
        <v>19</v>
      </c>
      <c r="E63" s="31">
        <f>(13+12+15+13+15+13+13+13+13+9+12)/11</f>
        <v>12.8181818181818006</v>
      </c>
      <c r="F63" s="44" t="n">
        <v>6</v>
      </c>
      <c r="G63" s="44" t="n">
        <v>2</v>
      </c>
      <c r="H63" s="40">
        <f>G63/F63</f>
        <v>0.333333333333332993</v>
      </c>
    </row>
    <row r="64" spans="1:8">
      <c r="A64" s="115" t="n">
        <v>43731</v>
      </c>
      <c r="B64" s="44" t="s">
        <v>683</v>
      </c>
      <c r="C64" s="44" t="s">
        <v>441</v>
      </c>
      <c r="D64" s="44" t="n">
        <v>18</v>
      </c>
      <c r="E64" s="31">
        <f>(15+12+13+13+15+12+14+13+13+12+9)/11</f>
        <v>12.8181818181818006</v>
      </c>
      <c r="F64" s="44" t="n">
        <v>9</v>
      </c>
      <c r="G64" s="44" t="n">
        <v>4</v>
      </c>
      <c r="H64" s="40">
        <f>G64/F64</f>
        <v>0.444444444444443931</v>
      </c>
    </row>
    <row r="65" spans="1:8">
      <c r="A65" s="115" t="n">
        <v>43736</v>
      </c>
      <c r="B65" s="44" t="s">
        <v>684</v>
      </c>
      <c r="C65" s="44" t="s">
        <v>441</v>
      </c>
      <c r="D65" s="44" t="n">
        <v>19</v>
      </c>
      <c r="E65" s="31">
        <f>(15+15+13+13+15+13+13+13+13+5+12)/11</f>
        <v>12.7272727272727</v>
      </c>
      <c r="F65" s="44" t="n">
        <v>4</v>
      </c>
      <c r="G65" s="44" t="n">
        <v>2</v>
      </c>
      <c r="H65" s="40">
        <f>G65/F65</f>
        <v>0.5</v>
      </c>
    </row>
    <row r="66" spans="1:8">
      <c r="A66" s="115" t="n">
        <v>43738</v>
      </c>
      <c r="B66" s="44" t="s">
        <v>441</v>
      </c>
      <c r="C66" s="44" t="s">
        <v>685</v>
      </c>
      <c r="D66" s="44" t="n">
        <v>19</v>
      </c>
      <c r="E66" s="31">
        <f>(15+15+13+13+15+13+13+13+13+9+12)/11</f>
        <v>13.0909090909091006</v>
      </c>
      <c r="F66" s="44" t="n">
        <v>9</v>
      </c>
      <c r="G66" s="44" t="n">
        <v>5</v>
      </c>
      <c r="H66" s="40">
        <f>G66/F66</f>
        <v>0.555555555555556069</v>
      </c>
    </row>
    <row r="67" spans="1:8">
      <c r="A67" s="115" t="n">
        <v>43739</v>
      </c>
      <c r="B67" s="44" t="s">
        <v>686</v>
      </c>
      <c r="C67" s="44" t="s">
        <v>441</v>
      </c>
      <c r="D67" s="44" t="n">
        <v>18</v>
      </c>
      <c r="E67" s="31">
        <f>(15+13+13+13+15+12+14+13+13+12+12)/11</f>
        <v>13.1818181818181994</v>
      </c>
      <c r="F67" s="44" t="n">
        <v>7</v>
      </c>
      <c r="G67" s="44" t="n">
        <v>3</v>
      </c>
      <c r="H67" s="40">
        <f>G67/F67</f>
        <v>0.428571428571429003</v>
      </c>
    </row>
    <row r="68" spans="1:8">
      <c r="A68" s="115" t="n">
        <v>43742</v>
      </c>
      <c r="B68" s="44" t="s">
        <v>441</v>
      </c>
      <c r="C68" s="44" t="s">
        <v>687</v>
      </c>
      <c r="D68" s="44" t="n">
        <v>19</v>
      </c>
      <c r="E68" s="31">
        <f>(15+13+13+13+15+12+14+13+13+12+12)/11</f>
        <v>13.1818181818181994</v>
      </c>
      <c r="F68" s="44" t="n">
        <v>6</v>
      </c>
      <c r="G68" s="44" t="n">
        <v>3</v>
      </c>
      <c r="H68" s="40">
        <f>G68/F68</f>
        <v>0.5</v>
      </c>
    </row>
    <row r="69" spans="1:8">
      <c r="A69" s="115" t="n">
        <v>43743</v>
      </c>
      <c r="B69" s="44" t="s">
        <v>686</v>
      </c>
      <c r="C69" s="44" t="s">
        <v>441</v>
      </c>
      <c r="D69" s="44" t="n">
        <v>18</v>
      </c>
      <c r="E69" s="31">
        <f>(15+13+13+13+15+12+14+13+13+12+12)/11</f>
        <v>13.1818181818181994</v>
      </c>
      <c r="F69" s="44" t="n">
        <v>10</v>
      </c>
      <c r="G69" s="44" t="n">
        <v>3</v>
      </c>
      <c r="H69" s="40">
        <f>G69/F69</f>
        <v>0.3</v>
      </c>
    </row>
    <row r="70" spans="1:8">
      <c r="A70" s="115" t="n">
        <v>43745</v>
      </c>
      <c r="B70" s="44" t="s">
        <v>688</v>
      </c>
      <c r="C70" s="44" t="s">
        <v>441</v>
      </c>
      <c r="D70" s="44" t="n">
        <v>19</v>
      </c>
      <c r="E70" s="31">
        <f>(15+13+13+13+15+12+14+13+13+12+12)/11</f>
        <v>13.1818181818181994</v>
      </c>
      <c r="F70" s="44" t="n">
        <v>7</v>
      </c>
      <c r="G70" s="44" t="n">
        <v>4</v>
      </c>
      <c r="H70" s="40">
        <f>G70/F70</f>
        <v>0.571428571428571974</v>
      </c>
    </row>
    <row r="71" spans="1:8">
      <c r="A71" s="115" t="n">
        <v>43745</v>
      </c>
      <c r="B71" s="44" t="s">
        <v>689</v>
      </c>
      <c r="C71" s="44" t="s">
        <v>441</v>
      </c>
      <c r="D71" s="44" t="n">
        <v>19</v>
      </c>
      <c r="E71" s="31">
        <f>(15+13+13+13+15+12+14+13+13+12+12)/11</f>
        <v>13.1818181818181994</v>
      </c>
      <c r="F71" s="44" t="n">
        <v>7</v>
      </c>
      <c r="G71" s="44" t="n">
        <v>2</v>
      </c>
      <c r="H71" s="40">
        <f>G71/F71</f>
        <v>0.285714285714285978</v>
      </c>
    </row>
    <row r="72" spans="1:8">
      <c r="A72" s="115" t="n">
        <v>43745</v>
      </c>
      <c r="B72" s="44" t="s">
        <v>441</v>
      </c>
      <c r="C72" s="44" t="s">
        <v>690</v>
      </c>
      <c r="D72" s="44" t="n">
        <v>19</v>
      </c>
      <c r="E72" s="31">
        <f>(15+13+13+13+15+12+14+13+13+12+12)/11</f>
        <v>13.1818181818181994</v>
      </c>
      <c r="F72" s="44" t="n">
        <v>12</v>
      </c>
      <c r="G72" s="44" t="n">
        <v>3</v>
      </c>
      <c r="H72" s="40">
        <f>G72/F72</f>
        <v>0.25</v>
      </c>
    </row>
    <row r="73" spans="1:8">
      <c r="A73" s="115" t="n">
        <v>43745</v>
      </c>
      <c r="B73" s="44" t="s">
        <v>441</v>
      </c>
      <c r="C73" s="44" t="s">
        <v>691</v>
      </c>
      <c r="D73" s="44" t="n">
        <v>19</v>
      </c>
      <c r="E73" s="31">
        <f>(15+13+13+13+15+12+14+13+13+12+12)/11</f>
        <v>13.1818181818181994</v>
      </c>
      <c r="F73" s="44" t="n">
        <v>9</v>
      </c>
      <c r="G73" s="44" t="n">
        <v>5</v>
      </c>
      <c r="H73" s="40">
        <f>G73/F73</f>
        <v>0.555555555555556069</v>
      </c>
    </row>
    <row r="74" spans="1:8">
      <c r="A74" s="115" t="n">
        <v>43746</v>
      </c>
      <c r="B74" s="44" t="s">
        <v>692</v>
      </c>
      <c r="C74" s="44" t="s">
        <v>441</v>
      </c>
      <c r="D74" s="44" t="n">
        <v>18</v>
      </c>
      <c r="E74" s="31">
        <f>(15+13+13+13+15+12+13+13+14+12+12)/11</f>
        <v>13.1818181818181994</v>
      </c>
      <c r="F74" s="44" t="n">
        <v>9</v>
      </c>
      <c r="G74" s="44" t="n">
        <v>3</v>
      </c>
      <c r="H74" s="40">
        <f>G74/F74</f>
        <v>0.333333333333332993</v>
      </c>
    </row>
    <row r="75" spans="1:8">
      <c r="A75" s="115" t="n">
        <v>43746</v>
      </c>
      <c r="B75" s="44" t="s">
        <v>693</v>
      </c>
      <c r="C75" s="44" t="s">
        <v>441</v>
      </c>
      <c r="D75" s="44" t="n">
        <v>19</v>
      </c>
      <c r="E75" s="31">
        <f>(15+13+13+13+15+12+13+13+14+12+12)/11</f>
        <v>13.1818181818181994</v>
      </c>
      <c r="F75" s="44" t="n">
        <v>10</v>
      </c>
      <c r="G75" s="44" t="n">
        <v>5</v>
      </c>
      <c r="H75" s="40">
        <f>G75/F75</f>
        <v>0.5</v>
      </c>
    </row>
    <row r="76" spans="1:8">
      <c r="A76" s="115" t="n">
        <v>43747</v>
      </c>
      <c r="B76" s="44" t="s">
        <v>694</v>
      </c>
      <c r="C76" s="44" t="s">
        <v>441</v>
      </c>
      <c r="D76" s="44" t="n">
        <v>19</v>
      </c>
      <c r="E76" s="31">
        <f>(15+13+15+13+13+13+13+13+14+8+12)/11</f>
        <v>12.9090909090908994</v>
      </c>
      <c r="F76" s="44" t="n">
        <v>10</v>
      </c>
      <c r="G76" s="44" t="n">
        <v>2</v>
      </c>
      <c r="H76" s="40">
        <f>G76/F76</f>
        <v>0.2</v>
      </c>
    </row>
    <row r="77" spans="1:8">
      <c r="A77" s="115" t="n">
        <v>43748</v>
      </c>
      <c r="B77" s="44" t="s">
        <v>441</v>
      </c>
      <c r="C77" s="44" t="s">
        <v>695</v>
      </c>
      <c r="D77" s="44" t="n">
        <v>18</v>
      </c>
      <c r="E77" s="31">
        <f>(15+13+15+13+13+13+13+13+14+8+12)/11</f>
        <v>12.9090909090908994</v>
      </c>
      <c r="F77" s="44" t="n">
        <v>8</v>
      </c>
      <c r="G77" s="44" t="n">
        <v>3</v>
      </c>
      <c r="H77" s="40">
        <f>G77/F77</f>
        <v>0.375</v>
      </c>
    </row>
    <row r="78" spans="1:8">
      <c r="A78" s="115" t="n">
        <v>43748</v>
      </c>
      <c r="B78" s="44" t="s">
        <v>441</v>
      </c>
      <c r="C78" s="44" t="s">
        <v>696</v>
      </c>
      <c r="D78" s="44" t="n">
        <v>19</v>
      </c>
      <c r="E78" s="31">
        <f>(15+13+15+13+13+13+13+13+14+8+12)/11</f>
        <v>12.9090909090908994</v>
      </c>
      <c r="F78" s="44" t="n">
        <v>7</v>
      </c>
      <c r="G78" s="44" t="n">
        <v>3</v>
      </c>
      <c r="H78" s="40">
        <f>G78/F78</f>
        <v>0.428571428571429003</v>
      </c>
    </row>
    <row r="79" spans="1:8">
      <c r="A79" s="115" t="n">
        <v>43748</v>
      </c>
      <c r="B79" s="44" t="s">
        <v>441</v>
      </c>
      <c r="C79" s="44" t="s">
        <v>697</v>
      </c>
      <c r="D79" s="44" t="n">
        <v>19</v>
      </c>
      <c r="E79" s="31">
        <f>(15+13+15+13+13+13+13+13+14+8+12)/11</f>
        <v>12.9090909090908994</v>
      </c>
      <c r="F79" s="44" t="n">
        <v>8</v>
      </c>
      <c r="G79" s="44" t="n">
        <v>3</v>
      </c>
      <c r="H79" s="40">
        <f>G79/F79</f>
        <v>0.375</v>
      </c>
    </row>
    <row r="80" spans="1:8">
      <c r="A80" s="115" t="n">
        <v>43753</v>
      </c>
      <c r="B80" s="44" t="s">
        <v>698</v>
      </c>
      <c r="C80" s="44" t="s">
        <v>441</v>
      </c>
      <c r="D80" s="44" t="n">
        <v>18</v>
      </c>
      <c r="E80" s="31">
        <f>(15+13+15+13+13+13+13+13+14+8+12)/11</f>
        <v>12.9090909090908994</v>
      </c>
      <c r="F80" s="44" t="n">
        <v>8</v>
      </c>
      <c r="G80" s="44" t="n">
        <v>3</v>
      </c>
      <c r="H80" s="40">
        <f>G80/F80</f>
        <v>0.375</v>
      </c>
    </row>
    <row r="81" spans="1:8">
      <c r="A81" s="115" t="n">
        <v>43753</v>
      </c>
      <c r="B81" s="44" t="s">
        <v>699</v>
      </c>
      <c r="C81" s="44" t="s">
        <v>441</v>
      </c>
      <c r="D81" s="44" t="n">
        <v>19</v>
      </c>
      <c r="E81" s="31">
        <f>(15+13+15+13+13+13+13+13+14+8+12)/11</f>
        <v>12.9090909090908994</v>
      </c>
      <c r="F81" s="44" t="n">
        <v>6</v>
      </c>
      <c r="G81" s="44" t="n">
        <v>1</v>
      </c>
      <c r="H81" s="40">
        <f>G81/F81</f>
        <v>0.16666666666666698</v>
      </c>
    </row>
    <row r="82" spans="1:8">
      <c r="A82" s="115" t="n">
        <v>43753</v>
      </c>
      <c r="B82" s="44" t="s">
        <v>700</v>
      </c>
      <c r="C82" s="44" t="s">
        <v>441</v>
      </c>
      <c r="D82" s="44" t="n">
        <v>19</v>
      </c>
      <c r="E82" s="31">
        <f>(15+13+15+13+13+13+13+13+14+8+12)/11</f>
        <v>12.9090909090908994</v>
      </c>
      <c r="F82" s="44" t="n">
        <v>9</v>
      </c>
      <c r="G82" s="44" t="n">
        <v>4</v>
      </c>
      <c r="H82" s="40">
        <f>G82/F82</f>
        <v>0.444444444444443931</v>
      </c>
    </row>
    <row r="83" spans="1:8">
      <c r="A83" s="115" t="n">
        <v>43754</v>
      </c>
      <c r="B83" s="44" t="s">
        <v>441</v>
      </c>
      <c r="C83" s="44" t="s">
        <v>701</v>
      </c>
      <c r="D83" s="44" t="n">
        <v>19</v>
      </c>
      <c r="E83" s="31">
        <f>(15+13+15+13+13+13+13+13+14+8+12)/11</f>
        <v>12.9090909090908994</v>
      </c>
      <c r="F83" s="44" t="n">
        <v>9</v>
      </c>
      <c r="G83" s="44" t="n">
        <v>4</v>
      </c>
      <c r="H83" s="40">
        <f>G83/F83</f>
        <v>0.444444444444443931</v>
      </c>
    </row>
    <row r="84" spans="1:8">
      <c r="A84" s="115" t="n">
        <v>43754</v>
      </c>
      <c r="B84" s="44" t="s">
        <v>702</v>
      </c>
      <c r="C84" s="44" t="s">
        <v>441</v>
      </c>
      <c r="D84" s="44" t="n">
        <v>19</v>
      </c>
      <c r="E84" s="31">
        <f>(15+13+15+13+13+13+13+13+14+8+12)/11</f>
        <v>12.9090909090908994</v>
      </c>
      <c r="F84" s="44" t="n">
        <v>7</v>
      </c>
      <c r="G84" s="44" t="n">
        <v>3</v>
      </c>
      <c r="H84" s="40">
        <f>G84/F84</f>
        <v>0.428571428571429003</v>
      </c>
    </row>
    <row r="85" spans="1:8">
      <c r="A85" s="115" t="n">
        <v>43754</v>
      </c>
      <c r="B85" s="44" t="s">
        <v>441</v>
      </c>
      <c r="C85" s="44" t="s">
        <v>703</v>
      </c>
      <c r="D85" s="44" t="n">
        <v>19</v>
      </c>
      <c r="E85" s="31">
        <f>(15+13+15+13+13+13+13+13+14+8+12)/11</f>
        <v>12.9090909090908994</v>
      </c>
      <c r="F85" s="44" t="n">
        <v>6</v>
      </c>
      <c r="G85" s="44" t="n">
        <v>2</v>
      </c>
      <c r="H85" s="40">
        <f>G85/F85</f>
        <v>0.333333333333332993</v>
      </c>
    </row>
    <row r="86" spans="1:8">
      <c r="A86" s="115" t="n">
        <v>43755</v>
      </c>
      <c r="B86" s="44" t="s">
        <v>441</v>
      </c>
      <c r="C86" s="44" t="s">
        <v>704</v>
      </c>
      <c r="D86" s="44" t="n">
        <v>19</v>
      </c>
      <c r="E86" s="31">
        <f>(15+13+15+13+13+13+13+13+14+8+12)/11</f>
        <v>12.9090909090908994</v>
      </c>
      <c r="F86" s="44" t="n">
        <v>8</v>
      </c>
      <c r="G86" s="44" t="n">
        <v>4</v>
      </c>
      <c r="H86" s="40">
        <f>G86/F86</f>
        <v>0.5</v>
      </c>
    </row>
    <row r="87" spans="1:1">
      <c r="A87" s="115"/>
    </row>
  </sheetData>
  <autoFilter ref="A1:H1">
    <sortState ref="D2:D1">
      <sortCondition ref="D1"/>
    </sortState>
  </autoFilter>
  <printOptions>
    <extLst>
      <ext uri="smNativeData">
        <pm:pageFlags xmlns:pm="smNativeData" id="1591683921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91683921" l="56" r="56" t="56" b="56" borderId="0" fillId="0" vertical="0"/>
        <pm:footer xmlns:pm="smNativeData" id="1591683921" l="56" r="56" t="56" b="56" borderId="0" fillId="0" vertical="2"/>
      </ext>
    </extLst>
  </headerFooter>
  <drawing r:id="rId1"/>
  <extLst>
    <ext uri="smNativeData">
      <pm:sheetPrefs xmlns:pm="smNativeData" day="1591683921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rgb="B7DEE8"/>
  </sheetPr>
  <dimension ref="A1:AV38"/>
  <sheetViews>
    <sheetView view="normal" topLeftCell="A2" zoomScale="90" workbookViewId="0">
      <selection activeCell="N32" sqref="N32"/>
    </sheetView>
  </sheetViews>
  <sheetFormatPr baseColWidth="10" defaultColWidth="10.669643" defaultRowHeight="15.40"/>
  <cols>
    <col min="1" max="1" width="30.571429" customWidth="1"/>
    <col min="2" max="6" width="12.428571" customWidth="1"/>
    <col min="7" max="7" width="13.571429" customWidth="1"/>
    <col min="8" max="10" width="12.428571" customWidth="1"/>
    <col min="11" max="11" width="14.857143" customWidth="1"/>
    <col min="12" max="15" width="12.428571" customWidth="1"/>
    <col min="16" max="16" width="12.000000" customWidth="1"/>
    <col min="17" max="17" width="12.428571" customWidth="1"/>
    <col min="18" max="18" width="12.000000" customWidth="1"/>
    <col min="20" max="20" width="12.000000" customWidth="1"/>
    <col min="22" max="22" width="12.000000" customWidth="1"/>
    <col min="24" max="24" width="12.000000" customWidth="1"/>
    <col min="26" max="30" width="12.428571" customWidth="1"/>
    <col min="31" max="37" width="6.571429" customWidth="1"/>
  </cols>
  <sheetData>
    <row r="1" spans="13:21">
      <c r="M1" s="363" t="s">
        <v>705</v>
      </c>
      <c r="N1" s="363" t="s">
        <v>706</v>
      </c>
      <c r="O1" s="363" t="s">
        <v>707</v>
      </c>
      <c r="P1" s="363" t="s">
        <v>708</v>
      </c>
      <c r="Q1" s="363" t="s">
        <v>709</v>
      </c>
      <c r="R1" s="363" t="s">
        <v>710</v>
      </c>
      <c r="S1" s="363" t="s">
        <v>711</v>
      </c>
      <c r="U1" s="363" t="s">
        <v>712</v>
      </c>
    </row>
    <row r="2" spans="3:21">
      <c r="C2" s="364" t="s">
        <v>713</v>
      </c>
      <c r="D2" s="446" t="s">
        <v>714</v>
      </c>
      <c r="E2" s="446"/>
      <c r="F2" s="447" t="s">
        <v>715</v>
      </c>
      <c r="G2" s="447"/>
      <c r="H2" s="448" t="s">
        <v>716</v>
      </c>
      <c r="I2" s="448"/>
      <c r="K2" s="56"/>
      <c r="M2" s="365" t="n">
        <v>11</v>
      </c>
      <c r="N2" s="366" t="n">
        <v>14.9800000000000004</v>
      </c>
      <c r="O2" s="366" t="n">
        <v>5.95000000000000018</v>
      </c>
      <c r="P2" s="367">
        <f>U2*0.97</f>
        <v>5.32530000000000037</v>
      </c>
      <c r="Q2" s="366" t="n">
        <v>0.68000000000000016</v>
      </c>
      <c r="R2" s="368" t="n">
        <v>27.0899999999999999</v>
      </c>
      <c r="U2" s="366" t="n">
        <v>5.49000000000000021</v>
      </c>
    </row>
    <row r="3" spans="1:21">
      <c r="A3" s="369" t="s">
        <v>717</v>
      </c>
      <c r="B3" s="370">
        <f>B4+B5+B6+B7</f>
        <v>54000</v>
      </c>
      <c r="C3" s="371">
        <f>C4+C5+C6+C7</f>
        <v>58283</v>
      </c>
      <c r="D3" s="19" t="s">
        <v>718</v>
      </c>
      <c r="E3" s="19" t="s">
        <v>719</v>
      </c>
      <c r="F3" s="19" t="s">
        <v>718</v>
      </c>
      <c r="G3" s="19" t="s">
        <v>720</v>
      </c>
      <c r="H3" s="19" t="s">
        <v>718</v>
      </c>
      <c r="I3" s="372" t="s">
        <v>721</v>
      </c>
      <c r="J3" s="19" t="s">
        <v>722</v>
      </c>
      <c r="K3" s="19" t="s">
        <v>723</v>
      </c>
      <c r="M3" s="365" t="n">
        <v>10</v>
      </c>
      <c r="N3" s="373" t="n">
        <v>14.2300000000000004</v>
      </c>
      <c r="O3" s="373" t="n">
        <v>5.58999999999999986</v>
      </c>
      <c r="P3" s="367">
        <f>U3*0.97</f>
        <v>4.91790000000000038</v>
      </c>
      <c r="Q3" s="373" t="n">
        <v>0.620000000000000018</v>
      </c>
      <c r="R3" s="374" t="n">
        <v>25.5199999999999996</v>
      </c>
      <c r="U3" s="373" t="n">
        <v>5.07000000000000028</v>
      </c>
    </row>
    <row r="4" spans="1:21">
      <c r="A4" s="369" t="s">
        <v>724</v>
      </c>
      <c r="B4" s="370" t="n">
        <v>28944</v>
      </c>
      <c r="C4" s="375" t="n">
        <v>33353</v>
      </c>
      <c r="D4" s="376" t="n">
        <v>45</v>
      </c>
      <c r="E4" s="377">
        <f>D4*(C4-B4)</f>
        <v>198405</v>
      </c>
      <c r="F4" s="378" t="n">
        <v>0.5</v>
      </c>
      <c r="G4" s="377">
        <f>(C4-B4)*F4</f>
        <v>2204.5</v>
      </c>
      <c r="H4" s="378" t="n">
        <v>7</v>
      </c>
      <c r="I4" s="379">
        <f>(C4-B4)*H4</f>
        <v>30863</v>
      </c>
      <c r="J4" s="377">
        <f>H4*C4</f>
        <v>233471</v>
      </c>
      <c r="K4" s="19">
        <f>B4*F4</f>
        <v>14472</v>
      </c>
      <c r="L4" s="29">
        <f>5000*N13*F4</f>
        <v>1382.4289405684799</v>
      </c>
      <c r="M4" s="365" t="n">
        <v>9</v>
      </c>
      <c r="N4" s="366" t="n">
        <v>13.4900000000000002</v>
      </c>
      <c r="O4" s="366" t="n">
        <v>5.24000000000000021</v>
      </c>
      <c r="P4" s="367">
        <f>U4*0.97</f>
        <v>4.5202</v>
      </c>
      <c r="Q4" s="366" t="n">
        <v>0.569999999999999929</v>
      </c>
      <c r="R4" s="368" t="n">
        <v>23.9499999999999993</v>
      </c>
      <c r="U4" s="366" t="n">
        <v>4.66000000000000014</v>
      </c>
    </row>
    <row r="5" spans="1:21">
      <c r="A5" s="369" t="s">
        <v>725</v>
      </c>
      <c r="B5" s="370" t="n">
        <v>12420</v>
      </c>
      <c r="C5" s="380" t="n">
        <v>12802</v>
      </c>
      <c r="D5" s="381" t="n">
        <v>75</v>
      </c>
      <c r="E5" s="377">
        <f>D5*(C5-B5)</f>
        <v>28650</v>
      </c>
      <c r="F5" s="382" t="n">
        <v>0.7</v>
      </c>
      <c r="G5" s="377">
        <f>(C5-B5)*F5</f>
        <v>267.399999999999977</v>
      </c>
      <c r="H5" s="382" t="n">
        <v>10</v>
      </c>
      <c r="I5" s="379">
        <f>(C5-B5)*H5</f>
        <v>3820</v>
      </c>
      <c r="J5" s="377">
        <f>H5*C5</f>
        <v>128020</v>
      </c>
      <c r="K5" s="19">
        <f>B5*F5</f>
        <v>8694</v>
      </c>
      <c r="L5" s="29">
        <f>5000*O13*F5</f>
        <v>768.733850129203006</v>
      </c>
      <c r="M5" s="365" t="n">
        <v>8</v>
      </c>
      <c r="N5" s="373" t="n">
        <v>12.7400000000000002</v>
      </c>
      <c r="O5" s="373" t="n">
        <v>4.88999999999999968</v>
      </c>
      <c r="P5" s="367">
        <f>U5*0.97</f>
        <v>4.12249999999999961</v>
      </c>
      <c r="Q5" s="373" t="n">
        <v>0.509999999999999964</v>
      </c>
      <c r="R5" s="374" t="n">
        <v>22.3900000000000006</v>
      </c>
      <c r="U5" s="373" t="n">
        <v>4.25</v>
      </c>
    </row>
    <row r="6" spans="1:21">
      <c r="A6" s="369" t="s">
        <v>726</v>
      </c>
      <c r="B6" s="370" t="n">
        <v>11448</v>
      </c>
      <c r="C6" s="380" t="n">
        <v>10793</v>
      </c>
      <c r="D6" s="376" t="n">
        <v>90</v>
      </c>
      <c r="E6" s="377">
        <f>D6*(C6-B6)</f>
        <v>-58950</v>
      </c>
      <c r="F6" s="378" t="n">
        <v>1</v>
      </c>
      <c r="G6" s="377">
        <f>(C6-B6)*F6</f>
        <v>-655</v>
      </c>
      <c r="H6" s="378" t="n">
        <v>19</v>
      </c>
      <c r="I6" s="379">
        <f>(C6-B6)*H6</f>
        <v>-12445</v>
      </c>
      <c r="J6" s="377">
        <f>H6*C6</f>
        <v>205067</v>
      </c>
      <c r="K6" s="19">
        <f>B6*F6</f>
        <v>11448</v>
      </c>
      <c r="L6" s="29">
        <f>5000*P13*F6</f>
        <v>982.890365448505008</v>
      </c>
      <c r="M6" s="365" t="n">
        <v>7</v>
      </c>
      <c r="N6" s="366" t="n">
        <v>12</v>
      </c>
      <c r="O6" s="366" t="n">
        <v>4.53000000000000025</v>
      </c>
      <c r="P6" s="367">
        <f>U6*0.97</f>
        <v>3.72480000000000011</v>
      </c>
      <c r="Q6" s="366" t="n">
        <v>0.460000000000000053</v>
      </c>
      <c r="R6" s="368" t="n">
        <v>20.8299999999999983</v>
      </c>
      <c r="U6" s="366" t="n">
        <v>3.83999999999999986</v>
      </c>
    </row>
    <row r="7" spans="1:21">
      <c r="A7" s="369" t="s">
        <v>727</v>
      </c>
      <c r="B7" s="370" t="n">
        <v>1188</v>
      </c>
      <c r="C7" s="383" t="n">
        <v>1335</v>
      </c>
      <c r="D7" s="381" t="n">
        <v>300</v>
      </c>
      <c r="E7" s="377">
        <f>D7*(C7-B7)</f>
        <v>44100</v>
      </c>
      <c r="F7" s="382" t="n">
        <v>2.5</v>
      </c>
      <c r="G7" s="377">
        <f>(C7-B7)*F7</f>
        <v>367.5</v>
      </c>
      <c r="H7" s="382" t="n">
        <v>35</v>
      </c>
      <c r="I7" s="379">
        <f>(C7-B7)*H7</f>
        <v>5145</v>
      </c>
      <c r="J7" s="377">
        <f>H7*C7</f>
        <v>46725</v>
      </c>
      <c r="K7" s="19">
        <f>B7*F7</f>
        <v>2970</v>
      </c>
      <c r="L7" s="29">
        <f>5000*Q13*F7</f>
        <v>313.768918420088028</v>
      </c>
      <c r="M7" s="365" t="n">
        <v>6</v>
      </c>
      <c r="N7" s="373" t="n">
        <v>11.2599999999999998</v>
      </c>
      <c r="O7" s="373" t="n">
        <v>4.16999999999999993</v>
      </c>
      <c r="P7" s="367">
        <f>U7*0.97</f>
        <v>3.33680000000000021</v>
      </c>
      <c r="Q7" s="373" t="n">
        <v>0.409999999999999964</v>
      </c>
      <c r="R7" s="374" t="n">
        <v>19.2699999999999996</v>
      </c>
      <c r="U7" s="373" t="n">
        <v>3.43999999999999995</v>
      </c>
    </row>
    <row r="8" spans="3:21">
      <c r="C8" s="384">
        <f>C4/$C$3</f>
        <v>0.572259492476364962</v>
      </c>
      <c r="J8" s="377">
        <f>J7+J6+J5+J4</f>
        <v>613283</v>
      </c>
      <c r="K8" s="19">
        <f>K7+K6+K5+K4</f>
        <v>37584</v>
      </c>
      <c r="L8" s="19">
        <f>L7+L6+L5+L4</f>
        <v>3447.8220745662702</v>
      </c>
      <c r="M8" s="365" t="n">
        <v>5</v>
      </c>
      <c r="N8" s="366" t="n">
        <v>10.5199999999999996</v>
      </c>
      <c r="O8" s="366" t="n">
        <v>3.81000000000000014</v>
      </c>
      <c r="P8" s="367">
        <f>U8*0.97</f>
        <v>2.93909999999999982</v>
      </c>
      <c r="Q8" s="366" t="n">
        <v>0.35</v>
      </c>
      <c r="R8" s="368" t="n">
        <v>17.7199999999999953</v>
      </c>
      <c r="U8" s="366" t="n">
        <v>3.0299999999999998</v>
      </c>
    </row>
    <row r="9" spans="3:21">
      <c r="C9" s="385">
        <f>C5/$C$3</f>
        <v>0.219652385772866987</v>
      </c>
      <c r="E9" s="27">
        <f>C4-B4</f>
        <v>4409</v>
      </c>
      <c r="H9">
        <f>H10+H11+H12+H13</f>
        <v>71304</v>
      </c>
      <c r="M9" s="365" t="n">
        <v>4</v>
      </c>
      <c r="N9" s="373" t="n">
        <v>9.80000000000000071</v>
      </c>
      <c r="O9" s="373" t="n">
        <v>3.45999999999999996</v>
      </c>
      <c r="P9" s="367">
        <f>U9*0.97</f>
        <v>2.55109999999999992</v>
      </c>
      <c r="Q9" s="373" t="n">
        <v>0.3</v>
      </c>
      <c r="R9" s="374" t="n">
        <v>16.1700000000000017</v>
      </c>
      <c r="U9" s="373" t="n">
        <v>2.62999999999999989</v>
      </c>
    </row>
    <row r="10" spans="2:21">
      <c r="B10" s="386">
        <f>B11/B13</f>
        <v>0.0450034877703019998</v>
      </c>
      <c r="C10" s="385">
        <f>C6/$C$3</f>
        <v>0.185182643309370008</v>
      </c>
      <c r="E10" s="27">
        <f>C5-B5</f>
        <v>382</v>
      </c>
      <c r="H10" t="n">
        <v>40146</v>
      </c>
      <c r="I10" s="60">
        <f>H10/$H$9</f>
        <v>0.563025917199596027</v>
      </c>
      <c r="M10" s="365" t="n">
        <v>3</v>
      </c>
      <c r="N10" s="366" t="n">
        <v>9.08999999999999986</v>
      </c>
      <c r="O10" s="366" t="n">
        <v>3.10000000000000009</v>
      </c>
      <c r="P10" s="367">
        <f>U10*0.97</f>
        <v>2.14369999999999994</v>
      </c>
      <c r="Q10" s="366" t="n">
        <v>0.239999999999999991</v>
      </c>
      <c r="R10" s="368" t="n">
        <v>14.6300000000000008</v>
      </c>
      <c r="U10" s="366" t="n">
        <v>2.20999999999999996</v>
      </c>
    </row>
    <row r="11" spans="1:21">
      <c r="A11" s="343" t="s">
        <v>728</v>
      </c>
      <c r="B11" s="387" t="n">
        <v>10000</v>
      </c>
      <c r="C11" s="385">
        <f>C7/$C$3</f>
        <v>0.0229054784413980039</v>
      </c>
      <c r="E11" s="27">
        <f>C6-B6</f>
        <v>-655</v>
      </c>
      <c r="H11" t="n">
        <v>15594</v>
      </c>
      <c r="I11" s="60">
        <f>H11/$H$9</f>
        <v>0.218697408280040007</v>
      </c>
      <c r="M11" s="365" t="n">
        <v>2</v>
      </c>
      <c r="N11" s="373" t="n">
        <v>8.41999999999999993</v>
      </c>
      <c r="O11" s="373" t="n">
        <v>2.72999999999999998</v>
      </c>
      <c r="P11" s="367">
        <f>U11*0.97</f>
        <v>1.71690000000000005</v>
      </c>
      <c r="Q11" s="373" t="n">
        <v>0.179999999999999964</v>
      </c>
      <c r="R11" s="374" t="n">
        <v>13.0900000000000016</v>
      </c>
      <c r="U11" s="373" t="n">
        <v>1.77000000000000002</v>
      </c>
    </row>
    <row r="12" spans="1:21">
      <c r="A12" s="343" t="s">
        <v>729</v>
      </c>
      <c r="B12" s="388">
        <f>E7+E6+E5+E4</f>
        <v>212205</v>
      </c>
      <c r="E12" s="27">
        <f>C7-B7</f>
        <v>147</v>
      </c>
      <c r="H12" t="n">
        <v>13868</v>
      </c>
      <c r="I12" s="60">
        <f>H12/$H$9</f>
        <v>0.194491192639963995</v>
      </c>
      <c r="M12" s="365" t="n">
        <v>1</v>
      </c>
      <c r="N12" s="366" t="n">
        <v>7.84999999999999876</v>
      </c>
      <c r="O12" s="366" t="n">
        <v>2.33999999999999986</v>
      </c>
      <c r="P12" s="367">
        <f>U12*0.97</f>
        <v>1.19310000000000006</v>
      </c>
      <c r="Q12" s="366" t="n">
        <v>0.1</v>
      </c>
      <c r="R12" s="368" t="n">
        <v>11.5299999999999994</v>
      </c>
      <c r="U12" s="366" t="n">
        <v>1.22999999999999998</v>
      </c>
    </row>
    <row r="13" spans="1:17">
      <c r="A13" s="389" t="s">
        <v>593</v>
      </c>
      <c r="B13" s="390">
        <f>B11+B12</f>
        <v>222205</v>
      </c>
      <c r="H13" t="n">
        <v>1696</v>
      </c>
      <c r="I13" s="60">
        <f>H13/$H$9</f>
        <v>0.0237854818803989998</v>
      </c>
      <c r="N13">
        <f>N2/R2</f>
        <v>0.552971576227390038</v>
      </c>
      <c r="O13">
        <f>O2/R2</f>
        <v>0.219638242894057001</v>
      </c>
      <c r="P13" s="367">
        <f>P2/R2</f>
        <v>0.196578073089700993</v>
      </c>
      <c r="Q13">
        <f>Q2/R2</f>
        <v>0.0251015134736070022</v>
      </c>
    </row>
    <row r="15" spans="1:35">
      <c r="A15" s="45"/>
      <c r="B15" s="391" t="s">
        <v>512</v>
      </c>
      <c r="C15" s="391" t="s">
        <v>513</v>
      </c>
      <c r="D15" s="391" t="s">
        <v>514</v>
      </c>
      <c r="E15" s="391" t="s">
        <v>515</v>
      </c>
      <c r="F15" s="391" t="s">
        <v>516</v>
      </c>
      <c r="G15" s="391" t="s">
        <v>517</v>
      </c>
      <c r="H15" s="391" t="s">
        <v>518</v>
      </c>
      <c r="I15" s="391" t="s">
        <v>519</v>
      </c>
      <c r="J15" s="391" t="s">
        <v>520</v>
      </c>
      <c r="K15" s="391" t="s">
        <v>521</v>
      </c>
      <c r="L15" s="391" t="s">
        <v>522</v>
      </c>
      <c r="M15" s="391" t="s">
        <v>523</v>
      </c>
      <c r="N15" s="391" t="s">
        <v>524</v>
      </c>
      <c r="O15" s="391" t="s">
        <v>525</v>
      </c>
      <c r="P15" s="391" t="s">
        <v>526</v>
      </c>
      <c r="Q15" s="391" t="s">
        <v>527</v>
      </c>
      <c r="R15" s="391" t="s">
        <v>512</v>
      </c>
      <c r="S15" s="391" t="s">
        <v>513</v>
      </c>
      <c r="T15" s="391" t="s">
        <v>514</v>
      </c>
      <c r="U15" s="391" t="s">
        <v>515</v>
      </c>
      <c r="V15" s="391" t="s">
        <v>516</v>
      </c>
      <c r="W15" s="391" t="s">
        <v>517</v>
      </c>
      <c r="X15" s="391" t="s">
        <v>518</v>
      </c>
      <c r="Y15" s="391" t="s">
        <v>519</v>
      </c>
      <c r="Z15" s="391" t="s">
        <v>520</v>
      </c>
      <c r="AA15" s="391" t="s">
        <v>521</v>
      </c>
      <c r="AB15" s="391" t="s">
        <v>522</v>
      </c>
      <c r="AC15" s="391" t="s">
        <v>523</v>
      </c>
      <c r="AD15" s="391" t="s">
        <v>524</v>
      </c>
      <c r="AE15" s="391" t="s">
        <v>525</v>
      </c>
      <c r="AF15" s="391" t="s">
        <v>526</v>
      </c>
      <c r="AG15" s="391" t="s">
        <v>527</v>
      </c>
      <c r="AH15" s="391"/>
      <c r="AI15" s="391"/>
    </row>
    <row r="16" spans="1:36">
      <c r="A16" s="392" t="s">
        <v>730</v>
      </c>
      <c r="B16" s="393" t="n">
        <v>2588</v>
      </c>
      <c r="C16" s="393">
        <f>B16+2</f>
        <v>2590</v>
      </c>
      <c r="D16" s="393">
        <f>C16+2</f>
        <v>2592</v>
      </c>
      <c r="E16" s="393">
        <f>D16+2</f>
        <v>2594</v>
      </c>
      <c r="F16" s="393">
        <f>E16+2</f>
        <v>2596</v>
      </c>
      <c r="G16" s="393">
        <f>F16+2</f>
        <v>2598</v>
      </c>
      <c r="H16" s="393">
        <f>G16+2</f>
        <v>2600</v>
      </c>
      <c r="I16" s="393">
        <f>H16+2</f>
        <v>2602</v>
      </c>
      <c r="J16" s="393">
        <f>I16+2</f>
        <v>2604</v>
      </c>
      <c r="K16" s="393">
        <f>J16+2</f>
        <v>2606</v>
      </c>
      <c r="L16" s="393">
        <f>K16+2</f>
        <v>2608</v>
      </c>
      <c r="M16" s="393">
        <f>L16+2</f>
        <v>2610</v>
      </c>
      <c r="N16" s="393">
        <f>M16+2</f>
        <v>2612</v>
      </c>
      <c r="O16" s="393">
        <f>N16+2</f>
        <v>2614</v>
      </c>
      <c r="P16" s="393">
        <f>O16+2</f>
        <v>2616</v>
      </c>
      <c r="Q16" s="393">
        <f>P16+2</f>
        <v>2618</v>
      </c>
      <c r="R16" s="393">
        <f>Q16+2</f>
        <v>2620</v>
      </c>
      <c r="S16" s="393">
        <f>R16+2</f>
        <v>2622</v>
      </c>
      <c r="T16" s="393">
        <f>S16+2</f>
        <v>2624</v>
      </c>
      <c r="U16" s="393">
        <f>T16+2</f>
        <v>2626</v>
      </c>
      <c r="V16" s="393">
        <f>U16+2</f>
        <v>2628</v>
      </c>
      <c r="W16" s="393">
        <f>V16+2</f>
        <v>2630</v>
      </c>
      <c r="X16" s="393">
        <f>W16+2</f>
        <v>2632</v>
      </c>
      <c r="Y16" s="393">
        <f>X16+2</f>
        <v>2634</v>
      </c>
      <c r="Z16" s="393">
        <f>Y16+2</f>
        <v>2636</v>
      </c>
      <c r="AA16" s="393">
        <f>Z16+2</f>
        <v>2638</v>
      </c>
      <c r="AB16" s="393">
        <f>AA16+2</f>
        <v>2640</v>
      </c>
      <c r="AC16" s="393">
        <f>AB16+2</f>
        <v>2642</v>
      </c>
      <c r="AD16" s="393">
        <f>AC16+2</f>
        <v>2644</v>
      </c>
      <c r="AE16" s="393">
        <f>AD16+2</f>
        <v>2646</v>
      </c>
      <c r="AF16" s="393">
        <f>AE16+2</f>
        <v>2648</v>
      </c>
      <c r="AG16" s="393">
        <f>AF16+2</f>
        <v>2650</v>
      </c>
      <c r="AH16" s="393">
        <f>AG16+4</f>
        <v>2654</v>
      </c>
      <c r="AI16" s="393">
        <f>AH16+4</f>
        <v>2658</v>
      </c>
      <c r="AJ16" s="393">
        <f>AI16+4</f>
        <v>2662</v>
      </c>
    </row>
    <row r="17" spans="1:35" s="43" customFormat="1">
      <c r="A17" s="403"/>
      <c r="B17" s="404">
        <f>B18+B19+B20+B21</f>
        <v>57615.3499999999985</v>
      </c>
      <c r="C17" s="404">
        <f>C18+C19+C20+C21</f>
        <v>57659.875</v>
      </c>
      <c r="D17" s="404">
        <f>D18+D19+D20+D21</f>
        <v>57704.4000000000015</v>
      </c>
      <c r="E17" s="404">
        <f>E18+E19+E20+E21</f>
        <v>57748.9250000000029</v>
      </c>
      <c r="F17" s="404">
        <f>F18+F19+F20+F21</f>
        <v>57793.4499999999971</v>
      </c>
      <c r="G17" s="404">
        <f>G18+G19+G20+G21</f>
        <v>57837.9749999999985</v>
      </c>
      <c r="H17" s="404">
        <f>H18+H19+H20+H21</f>
        <v>57882.5</v>
      </c>
      <c r="I17" s="404">
        <f>I18+I19+I20+I21</f>
        <v>57927.0250000000015</v>
      </c>
      <c r="J17" s="404">
        <f>J18+J19+J20+J21</f>
        <v>57971.5500000000029</v>
      </c>
      <c r="K17" s="404">
        <f>K18+K19+K20+K21</f>
        <v>58016.0749999999971</v>
      </c>
      <c r="L17" s="404">
        <f>L18+L19+L20+L21</f>
        <v>58060.5999999999985</v>
      </c>
      <c r="M17" s="404">
        <f>M18+M19+M20+M21</f>
        <v>58105.125</v>
      </c>
      <c r="N17" s="404">
        <f>N18+N19+N20+N21</f>
        <v>58149.6500000000015</v>
      </c>
      <c r="O17" s="404">
        <f>O18+O19+O20+O21</f>
        <v>58194.1750000000029</v>
      </c>
      <c r="P17" s="404">
        <f>P18+P19+P20+P21</f>
        <v>58238.6999999999971</v>
      </c>
      <c r="Q17" s="404">
        <f>Q18+Q19+Q20+Q21</f>
        <v>58283.2249999999985</v>
      </c>
      <c r="R17" s="404">
        <f>R18+R19+R20+R21</f>
        <v>58327.75</v>
      </c>
      <c r="S17" s="404">
        <f>S18+S19+S20+S21</f>
        <v>58372.2750000000015</v>
      </c>
      <c r="T17" s="404">
        <f>T18+T19+T20+T21</f>
        <v>58416.8000000000029</v>
      </c>
      <c r="U17" s="404">
        <f>U18+U19+U20+U21</f>
        <v>58461.3249999999971</v>
      </c>
      <c r="V17" s="404">
        <f>V18+V19+V20+V21</f>
        <v>58505.8499999999985</v>
      </c>
      <c r="W17" s="404">
        <f>W18+W19+W20+W21</f>
        <v>58550.375</v>
      </c>
      <c r="X17" s="404">
        <f>X18+X19+X20+X21</f>
        <v>58594.9000000000015</v>
      </c>
      <c r="Y17" s="404">
        <f>Y18+Y19+Y20+Y21</f>
        <v>58639.4250000000029</v>
      </c>
      <c r="Z17" s="404">
        <f>Z18+Z19+Z20+Z21</f>
        <v>58683.9499999999971</v>
      </c>
      <c r="AA17" s="404">
        <f>AA18+AA19+AA20+AA21</f>
        <v>58728.4749999999985</v>
      </c>
      <c r="AB17" s="404">
        <f>AB18+AB19+AB20+AB21</f>
        <v>58773</v>
      </c>
      <c r="AC17" s="404">
        <f>AC18+AC19+AC20+AC21</f>
        <v>58817.5250000000015</v>
      </c>
      <c r="AD17" s="404">
        <f>AD18+AD19+AD20+AD21</f>
        <v>58862.0500000000029</v>
      </c>
      <c r="AE17" s="404"/>
      <c r="AF17" s="404"/>
      <c r="AG17" s="404"/>
      <c r="AH17" s="404"/>
      <c r="AI17" s="404"/>
    </row>
    <row r="18" spans="1:48">
      <c r="A18" s="394" t="s">
        <v>731</v>
      </c>
      <c r="B18" s="395">
        <f>B16*$N$5</f>
        <v>32971.1200000000026</v>
      </c>
      <c r="C18" s="395">
        <f>C16*$N$5</f>
        <v>32996.5999999999985</v>
      </c>
      <c r="D18" s="395">
        <f>D16*$N$5</f>
        <v>33022.0800000000017</v>
      </c>
      <c r="E18" s="395">
        <f>E16*$N$5</f>
        <v>33047.5599999999977</v>
      </c>
      <c r="F18" s="395">
        <f>F16*$N$5</f>
        <v>33073.0400000000009</v>
      </c>
      <c r="G18" s="395">
        <f>G16*$N$5</f>
        <v>33098.5199999999968</v>
      </c>
      <c r="H18" s="395">
        <f>H16*$N$5</f>
        <v>33124</v>
      </c>
      <c r="I18" s="395">
        <f>I16*$N$5</f>
        <v>33149.4800000000032</v>
      </c>
      <c r="J18" s="395">
        <f>J16*$N$5</f>
        <v>33174.9599999999991</v>
      </c>
      <c r="K18" s="395">
        <f>K16*$N$5</f>
        <v>33200.4400000000023</v>
      </c>
      <c r="L18" s="395">
        <f>L16*$N$5</f>
        <v>33225.9199999999983</v>
      </c>
      <c r="M18" s="395">
        <f>M16*$N$5</f>
        <v>33251.4000000000015</v>
      </c>
      <c r="N18" s="395">
        <f>N16*$N$5</f>
        <v>33276.8799999999974</v>
      </c>
      <c r="O18" s="395">
        <f>O16*$N$5</f>
        <v>33302.3600000000006</v>
      </c>
      <c r="P18" s="395">
        <f>P16*$N$5</f>
        <v>33327.8399999999965</v>
      </c>
      <c r="Q18" s="395">
        <f>Q16*$N$5</f>
        <v>33353.3199999999997</v>
      </c>
      <c r="R18" s="395">
        <f>R16*$N$5</f>
        <v>33378.8000000000029</v>
      </c>
      <c r="S18" s="395">
        <f>S16*$N$5</f>
        <v>33404.2799999999988</v>
      </c>
      <c r="T18" s="395">
        <f>T16*$N$5</f>
        <v>33429.760000000002</v>
      </c>
      <c r="U18" s="395">
        <f>U16*$N$5</f>
        <v>33455.239999999998</v>
      </c>
      <c r="V18" s="395">
        <f>V16*$N$5</f>
        <v>33480.7200000000012</v>
      </c>
      <c r="W18" s="395">
        <f>W16*$N$5</f>
        <v>33506.1999999999971</v>
      </c>
      <c r="X18" s="395">
        <f>X16*$N$5</f>
        <v>33531.6800000000003</v>
      </c>
      <c r="Y18" s="395">
        <f>Y16*$N$5</f>
        <v>33557.1600000000035</v>
      </c>
      <c r="Z18" s="395">
        <f>Z16*$N$5</f>
        <v>33582.6399999999994</v>
      </c>
      <c r="AA18" s="395">
        <f>AA16*$N$5</f>
        <v>33608.1200000000026</v>
      </c>
      <c r="AB18" s="395">
        <f>AB16*$N$5</f>
        <v>33633.5999999999985</v>
      </c>
      <c r="AC18" s="395">
        <f>AC16*$N$5</f>
        <v>33659.0800000000017</v>
      </c>
      <c r="AD18" s="395">
        <f>AD16*$N$5</f>
        <v>33684.5599999999977</v>
      </c>
      <c r="AE18" s="395">
        <f>AE16*$N$5</f>
        <v>33710.0400000000009</v>
      </c>
      <c r="AF18" s="395">
        <f>AF16*$N$5</f>
        <v>33735.5199999999968</v>
      </c>
      <c r="AG18" s="395">
        <f>AG16*$N$5</f>
        <v>33761</v>
      </c>
      <c r="AH18" s="395">
        <f>AH16*$N$5</f>
        <v>33811.9599999999991</v>
      </c>
      <c r="AI18" s="395">
        <f>AI16*$N$5</f>
        <v>33862.9199999999983</v>
      </c>
      <c r="AJ18" s="395">
        <f>AJ16*$N$5</f>
        <v>33913.8799999999974</v>
      </c>
      <c r="AK18" s="395">
        <f>AK16*$N$5</f>
        <v>0</v>
      </c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</row>
    <row r="19" spans="1:37">
      <c r="A19" s="394" t="s">
        <v>732</v>
      </c>
      <c r="B19" s="395">
        <f>B16*$O$5</f>
        <v>12655.3199999999997</v>
      </c>
      <c r="C19" s="395">
        <f>C16*$O$5</f>
        <v>12665.1000000000004</v>
      </c>
      <c r="D19" s="395">
        <f>D16*$O$5</f>
        <v>12674.8799999999992</v>
      </c>
      <c r="E19" s="395">
        <f>E16*$O$5</f>
        <v>12684.6599999999999</v>
      </c>
      <c r="F19" s="395">
        <f>F16*$O$5</f>
        <v>12694.4400000000005</v>
      </c>
      <c r="G19" s="395">
        <f>G16*$O$5</f>
        <v>12704.2199999999993</v>
      </c>
      <c r="H19" s="395">
        <f>H16*$O$5</f>
        <v>12714</v>
      </c>
      <c r="I19" s="395">
        <f>I16*$O$5</f>
        <v>12723.7800000000007</v>
      </c>
      <c r="J19" s="395">
        <f>J16*$O$5</f>
        <v>12733.5599999999995</v>
      </c>
      <c r="K19" s="395">
        <f>K16*$O$5</f>
        <v>12743.3400000000001</v>
      </c>
      <c r="L19" s="395">
        <f>L16*$O$5</f>
        <v>12753.1200000000008</v>
      </c>
      <c r="M19" s="395">
        <f>M16*$O$5</f>
        <v>12762.8999999999996</v>
      </c>
      <c r="N19" s="395">
        <f>N16*$O$5</f>
        <v>12772.6800000000003</v>
      </c>
      <c r="O19" s="395">
        <f>O16*$O$5</f>
        <v>12782.4599999999991</v>
      </c>
      <c r="P19" s="395">
        <f>P16*$O$5</f>
        <v>12792.2399999999998</v>
      </c>
      <c r="Q19" s="395">
        <f>Q16*$O$5</f>
        <v>12802.0200000000004</v>
      </c>
      <c r="R19" s="395">
        <f>R16*$O$5</f>
        <v>12811.7999999999993</v>
      </c>
      <c r="S19" s="395">
        <f>S16*$O$5</f>
        <v>12821.5799999999999</v>
      </c>
      <c r="T19" s="395">
        <f>T16*$O$5</f>
        <v>12831.3600000000006</v>
      </c>
      <c r="U19" s="395">
        <f>U16*$O$5</f>
        <v>12841.1399999999994</v>
      </c>
      <c r="V19" s="395">
        <f>V16*$O$5</f>
        <v>12850.9200000000001</v>
      </c>
      <c r="W19" s="395">
        <f>W16*$O$5</f>
        <v>12860.7000000000007</v>
      </c>
      <c r="X19" s="395">
        <f>X16*$O$5</f>
        <v>12870.4799999999996</v>
      </c>
      <c r="Y19" s="395">
        <f>Y16*$O$5</f>
        <v>12880.2600000000002</v>
      </c>
      <c r="Z19" s="395">
        <f>Z16*$O$5</f>
        <v>12890.0400000000009</v>
      </c>
      <c r="AA19" s="395">
        <f>AA16*$O$5</f>
        <v>12899.8199999999997</v>
      </c>
      <c r="AB19" s="395">
        <f>AB16*$O$5</f>
        <v>12909.6000000000004</v>
      </c>
      <c r="AC19" s="395">
        <f>AC16*$O$5</f>
        <v>12919.3799999999992</v>
      </c>
      <c r="AD19" s="395">
        <f>AD16*$O$5</f>
        <v>12929.1599999999999</v>
      </c>
      <c r="AE19" s="395">
        <f>AE16*$O$5</f>
        <v>12938.9400000000005</v>
      </c>
      <c r="AF19" s="395">
        <f>AF16*$O$5</f>
        <v>12948.7199999999993</v>
      </c>
      <c r="AG19" s="395">
        <f>AG16*$O$5</f>
        <v>12958.5</v>
      </c>
      <c r="AH19" s="395">
        <f>AH16*$O$5</f>
        <v>12978.0599999999995</v>
      </c>
      <c r="AI19" s="395">
        <f>AI16*$O$5</f>
        <v>12997.6200000000008</v>
      </c>
      <c r="AJ19" s="395">
        <f>AJ16*$O$5</f>
        <v>13017.1800000000003</v>
      </c>
      <c r="AK19" s="395">
        <f>AK16*$O$5</f>
        <v>0</v>
      </c>
    </row>
    <row r="20" spans="1:37">
      <c r="A20" s="394" t="s">
        <v>733</v>
      </c>
      <c r="B20" s="395">
        <f>B16*$P$5</f>
        <v>10669.0300000000007</v>
      </c>
      <c r="C20" s="395">
        <f>C16*$P$5</f>
        <v>10677.2749999999996</v>
      </c>
      <c r="D20" s="395">
        <f>D16*$P$5</f>
        <v>10685.5200000000004</v>
      </c>
      <c r="E20" s="395">
        <f>E16*$P$5</f>
        <v>10693.7649999999994</v>
      </c>
      <c r="F20" s="395">
        <f>F16*$P$5</f>
        <v>10702.0100000000002</v>
      </c>
      <c r="G20" s="395">
        <f>G16*$P$5</f>
        <v>10710.2549999999992</v>
      </c>
      <c r="H20" s="395">
        <f>H16*$P$5</f>
        <v>10718.5</v>
      </c>
      <c r="I20" s="395">
        <f>I16*$P$5</f>
        <v>10726.7450000000008</v>
      </c>
      <c r="J20" s="395">
        <f>J16*$P$5</f>
        <v>10734.9899999999998</v>
      </c>
      <c r="K20" s="395">
        <f>K16*$P$5</f>
        <v>10743.2350000000006</v>
      </c>
      <c r="L20" s="395">
        <f>L16*$P$5</f>
        <v>10751.4799999999996</v>
      </c>
      <c r="M20" s="395">
        <f>M16*$P$5</f>
        <v>10759.7250000000004</v>
      </c>
      <c r="N20" s="395">
        <f>N16*$P$5</f>
        <v>10767.9699999999993</v>
      </c>
      <c r="O20" s="395">
        <f>O16*$P$5</f>
        <v>10776.2150000000001</v>
      </c>
      <c r="P20" s="395">
        <f>P16*$P$5</f>
        <v>10784.4599999999991</v>
      </c>
      <c r="Q20" s="395">
        <f>Q16*$P$5</f>
        <v>10792.7049999999999</v>
      </c>
      <c r="R20" s="395">
        <f>R16*$P$5</f>
        <v>10800.9500000000007</v>
      </c>
      <c r="S20" s="395">
        <f>S16*$P$5</f>
        <v>10809.1949999999997</v>
      </c>
      <c r="T20" s="395">
        <f>T16*$P$5</f>
        <v>10817.4400000000005</v>
      </c>
      <c r="U20" s="395">
        <f>U16*$P$5</f>
        <v>10825.6849999999995</v>
      </c>
      <c r="V20" s="395">
        <f>V16*$P$5</f>
        <v>10833.9300000000003</v>
      </c>
      <c r="W20" s="395">
        <f>W16*$P$5</f>
        <v>10842.1749999999993</v>
      </c>
      <c r="X20" s="395">
        <f>X16*$P$5</f>
        <v>10850.4200000000001</v>
      </c>
      <c r="Y20" s="395">
        <f>Y16*$P$5</f>
        <v>10858.6650000000009</v>
      </c>
      <c r="Z20" s="395">
        <f>Z16*$P$5</f>
        <v>10866.9099999999999</v>
      </c>
      <c r="AA20" s="395">
        <f>AA16*$P$5</f>
        <v>10875.1550000000007</v>
      </c>
      <c r="AB20" s="395">
        <f>AB16*$P$5</f>
        <v>10883.3999999999996</v>
      </c>
      <c r="AC20" s="395">
        <f>AC16*$P$5</f>
        <v>10891.6450000000004</v>
      </c>
      <c r="AD20" s="395">
        <f>AD16*$P$5</f>
        <v>10899.8899999999994</v>
      </c>
      <c r="AE20" s="395">
        <f>AE16*$P$5</f>
        <v>10908.1350000000002</v>
      </c>
      <c r="AF20" s="395">
        <f>AF16*$P$5</f>
        <v>10916.3799999999992</v>
      </c>
      <c r="AG20" s="395">
        <f>AG16*$P$5</f>
        <v>10924.625</v>
      </c>
      <c r="AH20" s="395">
        <f>AH16*$P$5</f>
        <v>10941.1149999999998</v>
      </c>
      <c r="AI20" s="395">
        <f>AI16*$P$5</f>
        <v>10957.6049999999996</v>
      </c>
      <c r="AJ20" s="395">
        <f>AJ16*$P$5</f>
        <v>10974.0949999999993</v>
      </c>
      <c r="AK20" s="395">
        <f>AK16*$P$5</f>
        <v>0</v>
      </c>
    </row>
    <row r="21" spans="1:37">
      <c r="A21" s="394" t="s">
        <v>734</v>
      </c>
      <c r="B21" s="395">
        <f>B16*$Q$5</f>
        <v>1319.88000000000011</v>
      </c>
      <c r="C21" s="395">
        <f>C16*$Q$5</f>
        <v>1320.90000000000009</v>
      </c>
      <c r="D21" s="395">
        <f>D16*$Q$5</f>
        <v>1321.92000000000007</v>
      </c>
      <c r="E21" s="395">
        <f>E16*$Q$5</f>
        <v>1322.94000000000005</v>
      </c>
      <c r="F21" s="395">
        <f>F16*$Q$5</f>
        <v>1323.96000000000004</v>
      </c>
      <c r="G21" s="395">
        <f>G16*$Q$5</f>
        <v>1324.98000000000002</v>
      </c>
      <c r="H21" s="395">
        <f>H16*$Q$5</f>
        <v>1326</v>
      </c>
      <c r="I21" s="395">
        <f>I16*$Q$5</f>
        <v>1327.01999999999998</v>
      </c>
      <c r="J21" s="395">
        <f>J16*$Q$5</f>
        <v>1328.03999999999996</v>
      </c>
      <c r="K21" s="395">
        <f>K16*$Q$5</f>
        <v>1329.05999999999995</v>
      </c>
      <c r="L21" s="395">
        <f>L16*$Q$5</f>
        <v>1330.07999999999993</v>
      </c>
      <c r="M21" s="395">
        <f>M16*$Q$5</f>
        <v>1331.09999999999991</v>
      </c>
      <c r="N21" s="395">
        <f>N16*$Q$5</f>
        <v>1332.11999999999989</v>
      </c>
      <c r="O21" s="395">
        <f>O16*$Q$5</f>
        <v>1333.1400000000001</v>
      </c>
      <c r="P21" s="395">
        <f>P16*$Q$5</f>
        <v>1334.16000000000008</v>
      </c>
      <c r="Q21" s="395">
        <f>Q16*$Q$5</f>
        <v>1335.18000000000006</v>
      </c>
      <c r="R21" s="395">
        <f>R16*$Q$5</f>
        <v>1336.20000000000005</v>
      </c>
      <c r="S21" s="395">
        <f>S16*$Q$5</f>
        <v>1337.22000000000003</v>
      </c>
      <c r="T21" s="395">
        <f>T16*$Q$5</f>
        <v>1338.24000000000001</v>
      </c>
      <c r="U21" s="395">
        <f>U16*$Q$5</f>
        <v>1339.25999999999999</v>
      </c>
      <c r="V21" s="395">
        <f>V16*$Q$5</f>
        <v>1340.27999999999997</v>
      </c>
      <c r="W21" s="395">
        <f>W16*$Q$5</f>
        <v>1341.29999999999995</v>
      </c>
      <c r="X21" s="395">
        <f>X16*$Q$5</f>
        <v>1342.31999999999994</v>
      </c>
      <c r="Y21" s="395">
        <f>Y16*$Q$5</f>
        <v>1343.33999999999992</v>
      </c>
      <c r="Z21" s="395">
        <f>Z16*$Q$5</f>
        <v>1344.3599999999999</v>
      </c>
      <c r="AA21" s="395">
        <f>AA16*$Q$5</f>
        <v>1345.38000000000011</v>
      </c>
      <c r="AB21" s="395">
        <f>AB16*$Q$5</f>
        <v>1346.40000000000009</v>
      </c>
      <c r="AC21" s="395">
        <f>AC16*$Q$5</f>
        <v>1347.42000000000007</v>
      </c>
      <c r="AD21" s="395">
        <f>AD16*$Q$5</f>
        <v>1348.44000000000005</v>
      </c>
      <c r="AE21" s="395">
        <f>AE16*$Q$5</f>
        <v>1349.46000000000004</v>
      </c>
      <c r="AF21" s="395">
        <f>AF16*$Q$5</f>
        <v>1350.48000000000002</v>
      </c>
      <c r="AG21" s="395">
        <f>AG16*$Q$5</f>
        <v>1351.5</v>
      </c>
      <c r="AH21" s="395">
        <f>AH16*$Q$5</f>
        <v>1353.53999999999996</v>
      </c>
      <c r="AI21" s="395">
        <f>AI16*$Q$5</f>
        <v>1355.57999999999993</v>
      </c>
      <c r="AJ21" s="395">
        <f>AJ16*$Q$5</f>
        <v>1357.61999999999989</v>
      </c>
      <c r="AK21" s="395">
        <f>AK16*$Q$5</f>
        <v>0</v>
      </c>
    </row>
    <row r="22" spans="1:35">
      <c r="A22" s="394" t="s">
        <v>735</v>
      </c>
      <c r="B22" s="395">
        <f>MIN(B$18,$C$4)</f>
        <v>32971.1200000000026</v>
      </c>
      <c r="C22" s="395">
        <f>MIN(C$18,$C$4)</f>
        <v>32996.5999999999985</v>
      </c>
      <c r="D22" s="395">
        <f>MIN(D$18,$C$4)</f>
        <v>33022.0800000000017</v>
      </c>
      <c r="E22" s="395">
        <f>MIN(E$18,$C$4)</f>
        <v>33047.5599999999977</v>
      </c>
      <c r="F22" s="395">
        <f>MIN(F$18,$C$4)</f>
        <v>33073.0400000000009</v>
      </c>
      <c r="G22" s="395">
        <f>MIN(G$18,$C$4)</f>
        <v>33098.5199999999968</v>
      </c>
      <c r="H22" s="395">
        <f>MIN(H$18,$C$4)</f>
        <v>33124</v>
      </c>
      <c r="I22" s="395">
        <f>MIN(I$18,$C$4)</f>
        <v>33149.4800000000032</v>
      </c>
      <c r="J22" s="395">
        <f>MIN(J$18,$C$4)</f>
        <v>33174.9599999999991</v>
      </c>
      <c r="K22" s="395">
        <f>MIN(K$18,$C$4)</f>
        <v>33200.4400000000023</v>
      </c>
      <c r="L22" s="395">
        <f>MIN(L$18,$C$4)</f>
        <v>33225.9199999999983</v>
      </c>
      <c r="M22" s="395">
        <f>MIN(M$18,$C$4)</f>
        <v>33251.4000000000015</v>
      </c>
      <c r="N22" s="395">
        <f>MIN(N$18,$C$4)</f>
        <v>33276.8799999999974</v>
      </c>
      <c r="O22" s="395">
        <f>MIN(O$18,$C$4)</f>
        <v>33302.3600000000006</v>
      </c>
      <c r="P22" s="395">
        <f>MIN(P$18,$C$4)</f>
        <v>33327.8399999999965</v>
      </c>
      <c r="Q22" s="395">
        <f>MIN(Q$18,$C$4)</f>
        <v>33353</v>
      </c>
      <c r="R22" s="395">
        <f>MIN(R$18,$C$4)</f>
        <v>33353</v>
      </c>
      <c r="S22" s="395">
        <f>MIN(S$18,$C$4)</f>
        <v>33353</v>
      </c>
      <c r="T22" s="395">
        <f>MIN(T$18,$C$4)</f>
        <v>33353</v>
      </c>
      <c r="U22" s="395">
        <f>MIN(U$18,$C$4)</f>
        <v>33353</v>
      </c>
      <c r="V22" s="395">
        <f>MIN(V$18,$C$4)</f>
        <v>33353</v>
      </c>
      <c r="W22" s="395">
        <f>MIN(W$18,$C$4)</f>
        <v>33353</v>
      </c>
      <c r="X22" s="395">
        <f>MIN(X$18,$C$4)</f>
        <v>33353</v>
      </c>
      <c r="Y22" s="395">
        <f>MIN(Y$18,$C$4)</f>
        <v>33353</v>
      </c>
      <c r="Z22" s="395">
        <f>MIN(Z$18,$C$4)</f>
        <v>33353</v>
      </c>
      <c r="AA22" s="395">
        <f>MIN(AA$18,$C$4)</f>
        <v>33353</v>
      </c>
      <c r="AB22" s="395">
        <f>MIN(AB$18,$C$4)</f>
        <v>33353</v>
      </c>
      <c r="AC22" s="395">
        <f>MIN(AC$18,$C$4)</f>
        <v>33353</v>
      </c>
      <c r="AD22" s="395">
        <f>MIN(AD$18,$C$4)</f>
        <v>33353</v>
      </c>
      <c r="AE22" s="395"/>
      <c r="AF22" s="395"/>
      <c r="AG22" s="395"/>
      <c r="AH22" s="395"/>
      <c r="AI22" s="395"/>
    </row>
    <row r="23" spans="1:35">
      <c r="A23" s="394" t="s">
        <v>736</v>
      </c>
      <c r="B23" s="395">
        <f>MIN(B$19,$C$5)</f>
        <v>12655.3199999999997</v>
      </c>
      <c r="C23" s="395">
        <f>MIN(C$19,$C$5)</f>
        <v>12665.1000000000004</v>
      </c>
      <c r="D23" s="395">
        <f>MIN(D$19,$C$5)</f>
        <v>12674.8799999999992</v>
      </c>
      <c r="E23" s="395">
        <f>MIN(E$19,$C$5)</f>
        <v>12684.6599999999999</v>
      </c>
      <c r="F23" s="395">
        <f>MIN(F$19,$C$5)</f>
        <v>12694.4400000000005</v>
      </c>
      <c r="G23" s="395">
        <f>MIN(G$19,$C$5)</f>
        <v>12704.2199999999993</v>
      </c>
      <c r="H23" s="395">
        <f>MIN(H$19,$C$5)</f>
        <v>12714</v>
      </c>
      <c r="I23" s="395">
        <f>MIN(I$19,$C$5)</f>
        <v>12723.7800000000007</v>
      </c>
      <c r="J23" s="395">
        <f>MIN(J$19,$C$5)</f>
        <v>12733.5599999999995</v>
      </c>
      <c r="K23" s="395">
        <f>MIN(K$19,$C$5)</f>
        <v>12743.3400000000001</v>
      </c>
      <c r="L23" s="395">
        <f>MIN(L$19,$C$5)</f>
        <v>12753.1200000000008</v>
      </c>
      <c r="M23" s="395">
        <f>MIN(M$19,$C$5)</f>
        <v>12762.8999999999996</v>
      </c>
      <c r="N23" s="395">
        <f>MIN(N$19,$C$5)</f>
        <v>12772.6800000000003</v>
      </c>
      <c r="O23" s="395">
        <f>MIN(O$19,$C$5)</f>
        <v>12782.4599999999991</v>
      </c>
      <c r="P23" s="395">
        <f>MIN(P$19,$C$5)</f>
        <v>12792.2399999999998</v>
      </c>
      <c r="Q23" s="395">
        <f>MIN(Q$19,$C$5)</f>
        <v>12802</v>
      </c>
      <c r="R23" s="395">
        <f>MIN(R$19,$C$5)</f>
        <v>12802</v>
      </c>
      <c r="S23" s="395">
        <f>MIN(S$19,$C$5)</f>
        <v>12802</v>
      </c>
      <c r="T23" s="395">
        <f>MIN(T$19,$C$5)</f>
        <v>12802</v>
      </c>
      <c r="U23" s="395">
        <f>MIN(U$19,$C$5)</f>
        <v>12802</v>
      </c>
      <c r="V23" s="395">
        <f>MIN(V$19,$C$5)</f>
        <v>12802</v>
      </c>
      <c r="W23" s="395">
        <f>MIN(W$19,$C$5)</f>
        <v>12802</v>
      </c>
      <c r="X23" s="395">
        <f>MIN(X$19,$C$5)</f>
        <v>12802</v>
      </c>
      <c r="Y23" s="395">
        <f>MIN(Y$19,$C$5)</f>
        <v>12802</v>
      </c>
      <c r="Z23" s="395">
        <f>MIN(Z$19,$C$5)</f>
        <v>12802</v>
      </c>
      <c r="AA23" s="395">
        <f>MIN(AA$19,$C$5)</f>
        <v>12802</v>
      </c>
      <c r="AB23" s="395">
        <f>MIN(AB$19,$C$5)</f>
        <v>12802</v>
      </c>
      <c r="AC23" s="395">
        <f>MIN(AC$19,$C$5)</f>
        <v>12802</v>
      </c>
      <c r="AD23" s="395">
        <f>MIN(AD$19,$C$5)</f>
        <v>12802</v>
      </c>
      <c r="AE23" s="395"/>
      <c r="AF23" s="395"/>
      <c r="AG23" s="395"/>
      <c r="AH23" s="395"/>
      <c r="AI23" s="395"/>
    </row>
    <row r="24" spans="1:35">
      <c r="A24" s="394" t="s">
        <v>737</v>
      </c>
      <c r="B24" s="395">
        <f>MIN(B$20,$C$6)</f>
        <v>10669.0300000000007</v>
      </c>
      <c r="C24" s="395">
        <f>MIN(C$20,$C$6)</f>
        <v>10677.2749999999996</v>
      </c>
      <c r="D24" s="395">
        <f>MIN(D$20,$C$6)</f>
        <v>10685.5200000000004</v>
      </c>
      <c r="E24" s="395">
        <f>MIN(E$20,$C$6)</f>
        <v>10693.7649999999994</v>
      </c>
      <c r="F24" s="395">
        <f>MIN(F$20,$C$6)</f>
        <v>10702.0100000000002</v>
      </c>
      <c r="G24" s="395">
        <f>MIN(G$20,$C$6)</f>
        <v>10710.2549999999992</v>
      </c>
      <c r="H24" s="395">
        <f>MIN(H$20,$C$6)</f>
        <v>10718.5</v>
      </c>
      <c r="I24" s="395">
        <f>MIN(I$20,$C$6)</f>
        <v>10726.7450000000008</v>
      </c>
      <c r="J24" s="395">
        <f>MIN(J$20,$C$6)</f>
        <v>10734.9899999999998</v>
      </c>
      <c r="K24" s="395">
        <f>MIN(K$20,$C$6)</f>
        <v>10743.2350000000006</v>
      </c>
      <c r="L24" s="395">
        <f>MIN(L$20,$C$6)</f>
        <v>10751.4799999999996</v>
      </c>
      <c r="M24" s="395">
        <f>MIN(M$20,$C$6)</f>
        <v>10759.7250000000004</v>
      </c>
      <c r="N24" s="395">
        <f>MIN(N$20,$C$6)</f>
        <v>10767.9699999999993</v>
      </c>
      <c r="O24" s="395">
        <f>MIN(O$20,$C$6)</f>
        <v>10776.2150000000001</v>
      </c>
      <c r="P24" s="395">
        <f>MIN(P$20,$C$6)</f>
        <v>10784.4599999999991</v>
      </c>
      <c r="Q24" s="395">
        <f>MIN(Q$20,$C$6)</f>
        <v>10792.7049999999999</v>
      </c>
      <c r="R24" s="395">
        <f>MIN(R$20,$C$6)</f>
        <v>10793</v>
      </c>
      <c r="S24" s="395">
        <f>MIN(S$20,$C$6)</f>
        <v>10793</v>
      </c>
      <c r="T24" s="395">
        <f>MIN(T$20,$C$6)</f>
        <v>10793</v>
      </c>
      <c r="U24" s="395">
        <f>MIN(U$20,$C$6)</f>
        <v>10793</v>
      </c>
      <c r="V24" s="395">
        <f>MIN(V$20,$C$6)</f>
        <v>10793</v>
      </c>
      <c r="W24" s="395">
        <f>MIN(W$20,$C$6)</f>
        <v>10793</v>
      </c>
      <c r="X24" s="395">
        <f>MIN(X$20,$C$6)</f>
        <v>10793</v>
      </c>
      <c r="Y24" s="395">
        <f>MIN(Y$20,$C$6)</f>
        <v>10793</v>
      </c>
      <c r="Z24" s="395">
        <f>MIN(Z$20,$C$6)</f>
        <v>10793</v>
      </c>
      <c r="AA24" s="395">
        <f>MIN(AA$20,$C$6)</f>
        <v>10793</v>
      </c>
      <c r="AB24" s="395">
        <f>MIN(AB$20,$C$6)</f>
        <v>10793</v>
      </c>
      <c r="AC24" s="395">
        <f>MIN(AC$20,$C$6)</f>
        <v>10793</v>
      </c>
      <c r="AD24" s="395">
        <f>MIN(AD$20,$C$6)</f>
        <v>10793</v>
      </c>
      <c r="AE24" s="395"/>
      <c r="AF24" s="395"/>
      <c r="AG24" s="395"/>
      <c r="AH24" s="395"/>
      <c r="AI24" s="395"/>
    </row>
    <row r="25" spans="1:35">
      <c r="A25" s="394" t="s">
        <v>738</v>
      </c>
      <c r="B25" s="395">
        <f>MIN(B$21,$C$7)</f>
        <v>1319.88000000000011</v>
      </c>
      <c r="C25" s="395">
        <f>MIN(C$21,$C$7)</f>
        <v>1320.90000000000009</v>
      </c>
      <c r="D25" s="395">
        <f>MIN(D$21,$C$7)</f>
        <v>1321.92000000000007</v>
      </c>
      <c r="E25" s="395">
        <f>MIN(E$21,$C$7)</f>
        <v>1322.94000000000005</v>
      </c>
      <c r="F25" s="395">
        <f>MIN(F$21,$C$7)</f>
        <v>1323.96000000000004</v>
      </c>
      <c r="G25" s="395">
        <f>MIN(G$21,$C$7)</f>
        <v>1324.98000000000002</v>
      </c>
      <c r="H25" s="395">
        <f>MIN(H$21,$C$7)</f>
        <v>1326</v>
      </c>
      <c r="I25" s="395">
        <f>MIN(I$21,$C$7)</f>
        <v>1327.01999999999998</v>
      </c>
      <c r="J25" s="395">
        <f>MIN(J$21,$C$7)</f>
        <v>1328.03999999999996</v>
      </c>
      <c r="K25" s="395">
        <f>MIN(K$21,$C$7)</f>
        <v>1329.05999999999995</v>
      </c>
      <c r="L25" s="395">
        <f>MIN(L$21,$C$7)</f>
        <v>1330.07999999999993</v>
      </c>
      <c r="M25" s="395">
        <f>MIN(M$21,$C$7)</f>
        <v>1331.09999999999991</v>
      </c>
      <c r="N25" s="395">
        <f>MIN(N$21,$C$7)</f>
        <v>1332.11999999999989</v>
      </c>
      <c r="O25" s="395">
        <f>MIN(O$21,$C$7)</f>
        <v>1333.1400000000001</v>
      </c>
      <c r="P25" s="395">
        <f>MIN(P$21,$C$7)</f>
        <v>1334.16000000000008</v>
      </c>
      <c r="Q25" s="395">
        <f>MIN(Q$21,$C$7)</f>
        <v>1335</v>
      </c>
      <c r="R25" s="395">
        <f>MIN(R$21,$C$7)</f>
        <v>1335</v>
      </c>
      <c r="S25" s="395">
        <f>MIN(S$21,$C$7)</f>
        <v>1335</v>
      </c>
      <c r="T25" s="395">
        <f>MIN(T$21,$C$7)</f>
        <v>1335</v>
      </c>
      <c r="U25" s="395">
        <f>MIN(U$21,$C$7)</f>
        <v>1335</v>
      </c>
      <c r="V25" s="395">
        <f>MIN(V$21,$C$7)</f>
        <v>1335</v>
      </c>
      <c r="W25" s="395">
        <f>MIN(W$21,$C$7)</f>
        <v>1335</v>
      </c>
      <c r="X25" s="395">
        <f>MIN(X$21,$C$7)</f>
        <v>1335</v>
      </c>
      <c r="Y25" s="395">
        <f>MIN(Y$21,$C$7)</f>
        <v>1335</v>
      </c>
      <c r="Z25" s="395">
        <f>MIN(Z$21,$C$7)</f>
        <v>1335</v>
      </c>
      <c r="AA25" s="395">
        <f>MIN(AA$21,$C$7)</f>
        <v>1335</v>
      </c>
      <c r="AB25" s="395">
        <f>MIN(AB$21,$C$7)</f>
        <v>1335</v>
      </c>
      <c r="AC25" s="395">
        <f>MIN(AC$21,$C$7)</f>
        <v>1335</v>
      </c>
      <c r="AD25" s="395">
        <f>MIN(AD$21,$C$7)</f>
        <v>1335</v>
      </c>
      <c r="AE25" s="395"/>
      <c r="AF25" s="395"/>
      <c r="AG25" s="395"/>
      <c r="AH25" s="395"/>
      <c r="AI25" s="395"/>
    </row>
    <row r="26" spans="1:37">
      <c r="A26" s="396" t="s">
        <v>739</v>
      </c>
      <c r="B26" s="397">
        <f>IF(B22&gt;$B$4,(B22-$B$4)*$H$4,0)</f>
        <v>28189.8400000000001</v>
      </c>
      <c r="C26" s="397" t="n">
        <v>0</v>
      </c>
      <c r="D26" s="397">
        <f>IF(D22&gt;$B$4,(D22-$B$4)*$H$4,0)</f>
        <v>28546.5600000000013</v>
      </c>
      <c r="E26" s="397" t="n">
        <v>0</v>
      </c>
      <c r="F26" s="397">
        <f>IF(F22&gt;$B$4,(F22-$B$4)*$H$4,0)</f>
        <v>28903.2799999999988</v>
      </c>
      <c r="G26" s="397" t="n">
        <v>0</v>
      </c>
      <c r="H26" s="397">
        <f>IF(H22&gt;$B$4,(H22-$B$4)*$H$4,0)</f>
        <v>29260</v>
      </c>
      <c r="I26" s="397" t="n">
        <v>0</v>
      </c>
      <c r="J26" s="397">
        <f>IF(J22&gt;$B$4,(J22-$B$4)*$H$4,0)</f>
        <v>29616.7200000000012</v>
      </c>
      <c r="K26" s="397" t="n">
        <v>0</v>
      </c>
      <c r="L26" s="397">
        <f>IF(L22&gt;$B$4,(L22-$B$4)*$H$4,0)</f>
        <v>29973.4399999999987</v>
      </c>
      <c r="M26" s="397" t="n">
        <v>0</v>
      </c>
      <c r="N26" s="397">
        <f>IF(N22&gt;$B$4,(N22-$B$4)*$H$4,0)</f>
        <v>30330.1599999999999</v>
      </c>
      <c r="O26" s="397" t="n">
        <v>0</v>
      </c>
      <c r="P26" s="397">
        <f>IF(P22&gt;$B$4,(P22-$B$4)*$H$4,0)</f>
        <v>30686.880000000001</v>
      </c>
      <c r="Q26" s="397" t="n">
        <v>0</v>
      </c>
      <c r="R26" s="397">
        <f>IF(R22&gt;$B$4,(R22-$B$4)*$H$4,0)</f>
        <v>30863</v>
      </c>
      <c r="S26" s="397" t="n">
        <v>0</v>
      </c>
      <c r="T26" s="397">
        <f>IF(T22&gt;$B$4,(T22-$B$4)*$H$4,0)</f>
        <v>30863</v>
      </c>
      <c r="U26" s="397" t="n">
        <v>0</v>
      </c>
      <c r="V26" s="397">
        <f>IF(V22&gt;$B$4,(V22-$B$4)*$H$4,0)</f>
        <v>30863</v>
      </c>
      <c r="W26" s="397" t="n">
        <v>0</v>
      </c>
      <c r="X26" s="397">
        <f>IF(X22&gt;$B$4,(X22-$B$4)*$H$4,0)</f>
        <v>30863</v>
      </c>
      <c r="Y26" s="397" t="n">
        <v>0</v>
      </c>
      <c r="Z26" s="397">
        <f>IF(Z22&gt;$B$4,(Z22-$B$4)*$H$4,0)</f>
        <v>30863</v>
      </c>
      <c r="AA26" s="397" t="n">
        <v>0</v>
      </c>
      <c r="AB26" s="397">
        <f>IF(AB22&gt;$B$4,(AB22-$B$4)*$H$4,0)</f>
        <v>30863</v>
      </c>
      <c r="AC26" s="397" t="n">
        <v>0</v>
      </c>
      <c r="AD26" s="397">
        <f>IF(AD22&gt;$B$4,(AD22-$B$4)*$H$4,0)</f>
        <v>30863</v>
      </c>
      <c r="AE26" s="397" t="n">
        <v>0</v>
      </c>
      <c r="AF26" s="397">
        <f>IF(AF22&gt;$B$4,(AF22-$B$4)*$H$4,0)</f>
        <v>0</v>
      </c>
      <c r="AG26" s="397" t="n">
        <v>0</v>
      </c>
      <c r="AH26" s="397">
        <f>IF(AH22&gt;$B$4,(AH22-$B$4)*$H$4,0)</f>
        <v>0</v>
      </c>
      <c r="AI26" s="397" t="n">
        <v>0</v>
      </c>
      <c r="AJ26" s="397">
        <f>IF(AJ22&gt;$B$4,(AJ22-$B$4)*$H$4,0)</f>
        <v>0</v>
      </c>
      <c r="AK26" s="397" t="n">
        <v>0</v>
      </c>
    </row>
    <row r="27" spans="1:37">
      <c r="A27" s="396" t="s">
        <v>740</v>
      </c>
      <c r="B27" s="397">
        <f>IF(B23&gt;$B$5,(B23-$B$5)*$H$5,0)</f>
        <v>2353.19999999999982</v>
      </c>
      <c r="C27" s="397" t="n">
        <v>0</v>
      </c>
      <c r="D27" s="397">
        <f>IF(D23&gt;$B$5,(D23-$B$5)*$H$5,0)</f>
        <v>2548.79999999999018</v>
      </c>
      <c r="E27" s="397" t="n">
        <v>0</v>
      </c>
      <c r="F27" s="397">
        <f>IF(F23&gt;$B$5,(F23-$B$5)*$H$5,0)</f>
        <v>2744.4000000000101</v>
      </c>
      <c r="G27" s="397" t="n">
        <v>0</v>
      </c>
      <c r="H27" s="397">
        <f>IF(H23&gt;$B$5,(H23-$B$5)*$H$5,0)</f>
        <v>2940</v>
      </c>
      <c r="I27" s="397" t="n">
        <v>0</v>
      </c>
      <c r="J27" s="397">
        <f>IF(J23&gt;$B$5,(J23-$B$5)*$H$5,0)</f>
        <v>3135.59999999999991</v>
      </c>
      <c r="K27" s="397" t="n">
        <v>0</v>
      </c>
      <c r="L27" s="397">
        <f>IF(L23&gt;$B$5,(L23-$B$5)*$H$5,0)</f>
        <v>3331.20000000000982</v>
      </c>
      <c r="M27" s="397" t="n">
        <v>0</v>
      </c>
      <c r="N27" s="397">
        <f>IF(N23&gt;$B$5,(N23-$B$5)*$H$5,0)</f>
        <v>3526.80000000000018</v>
      </c>
      <c r="O27" s="397" t="n">
        <v>0</v>
      </c>
      <c r="P27" s="397">
        <f>IF(P23&gt;$B$5,(P23-$B$5)*$H$5,0)</f>
        <v>3722.40000000000009</v>
      </c>
      <c r="Q27" s="397" t="n">
        <v>0</v>
      </c>
      <c r="R27" s="397">
        <f>IF(R23&gt;$B$5,(R23-$B$5)*$H$5,0)</f>
        <v>3820</v>
      </c>
      <c r="S27" s="397" t="n">
        <v>0</v>
      </c>
      <c r="T27" s="397">
        <f>IF(T23&gt;$B$5,(T23-$B$5)*$H$5,0)</f>
        <v>3820</v>
      </c>
      <c r="U27" s="397" t="n">
        <v>0</v>
      </c>
      <c r="V27" s="397">
        <f>IF(V23&gt;$B$5,(V23-$B$5)*$H$5,0)</f>
        <v>3820</v>
      </c>
      <c r="W27" s="397" t="n">
        <v>0</v>
      </c>
      <c r="X27" s="397">
        <f>IF(X23&gt;$B$5,(X23-$B$5)*$H$5,0)</f>
        <v>3820</v>
      </c>
      <c r="Y27" s="397" t="n">
        <v>0</v>
      </c>
      <c r="Z27" s="397">
        <f>IF(Z23&gt;$B$5,(Z23-$B$5)*$H$5,0)</f>
        <v>3820</v>
      </c>
      <c r="AA27" s="397" t="n">
        <v>0</v>
      </c>
      <c r="AB27" s="397">
        <f>IF(AB23&gt;$B$5,(AB23-$B$5)*$H$5,0)</f>
        <v>3820</v>
      </c>
      <c r="AC27" s="397" t="n">
        <v>0</v>
      </c>
      <c r="AD27" s="397">
        <f>IF(AD23&gt;$B$5,(AD23-$B$5)*$H$5,0)</f>
        <v>3820</v>
      </c>
      <c r="AE27" s="397" t="n">
        <v>0</v>
      </c>
      <c r="AF27" s="397">
        <f>IF(AF23&gt;$B$5,(AF23-$B$5)*$H$5,0)</f>
        <v>0</v>
      </c>
      <c r="AG27" s="397" t="n">
        <v>0</v>
      </c>
      <c r="AH27" s="397">
        <f>IF(AH23&gt;$B$5,(AH23-$B$5)*$H$5,0)</f>
        <v>0</v>
      </c>
      <c r="AI27" s="397" t="n">
        <v>0</v>
      </c>
      <c r="AJ27" s="397">
        <f>IF(AJ23&gt;$B$5,(AJ23-$B$5)*$H$5,0)</f>
        <v>0</v>
      </c>
      <c r="AK27" s="397" t="n">
        <v>0</v>
      </c>
    </row>
    <row r="28" spans="1:37">
      <c r="A28" s="396" t="s">
        <v>741</v>
      </c>
      <c r="B28" s="397">
        <f>IF(B24&gt;$B$6,(B24-$B$6)*$H$6,0)</f>
        <v>0</v>
      </c>
      <c r="C28" s="397" t="n">
        <v>0</v>
      </c>
      <c r="D28" s="397">
        <f>IF(D24&gt;$B$6,(D24-$B$6)*$H$6,0)</f>
        <v>0</v>
      </c>
      <c r="E28" s="397" t="n">
        <v>0</v>
      </c>
      <c r="F28" s="397">
        <f>IF(F24&gt;$B$6,(F24-$B$6)*$H$6,0)</f>
        <v>0</v>
      </c>
      <c r="G28" s="397" t="n">
        <v>0</v>
      </c>
      <c r="H28" s="397">
        <f>IF(H24&gt;$B$6,(H24-$B$6)*$H$6,0)</f>
        <v>0</v>
      </c>
      <c r="I28" s="397" t="n">
        <v>0</v>
      </c>
      <c r="J28" s="397">
        <f>IF(J24&gt;$B$6,(J24-$B$6)*$H$6,0)</f>
        <v>0</v>
      </c>
      <c r="K28" s="397" t="n">
        <v>0</v>
      </c>
      <c r="L28" s="397">
        <f>IF(L24&gt;$B$6,(L24-$B$6)*$H$6,0)</f>
        <v>0</v>
      </c>
      <c r="M28" s="397" t="n">
        <v>0</v>
      </c>
      <c r="N28" s="397">
        <f>IF(N24&gt;$B$6,(N24-$B$6)*$H$6,0)</f>
        <v>0</v>
      </c>
      <c r="O28" s="397" t="n">
        <v>0</v>
      </c>
      <c r="P28" s="397">
        <f>IF(P24&gt;$B$6,(P24-$B$6)*$H$6,0)</f>
        <v>0</v>
      </c>
      <c r="Q28" s="397" t="n">
        <v>0</v>
      </c>
      <c r="R28" s="397">
        <f>IF(R24&gt;$B$6,(R24-$B$6)*$H$6,0)</f>
        <v>0</v>
      </c>
      <c r="S28" s="397" t="n">
        <v>0</v>
      </c>
      <c r="T28" s="397">
        <f>IF(T24&gt;$B$6,(T24-$B$6)*$H$6,0)</f>
        <v>0</v>
      </c>
      <c r="U28" s="397" t="n">
        <v>0</v>
      </c>
      <c r="V28" s="397">
        <f>IF(V24&gt;$B$6,(V24-$B$6)*$H$6,0)</f>
        <v>0</v>
      </c>
      <c r="W28" s="397" t="n">
        <v>0</v>
      </c>
      <c r="X28" s="397">
        <f>IF(X24&gt;$B$6,(X24-$B$6)*$H$6,0)</f>
        <v>0</v>
      </c>
      <c r="Y28" s="397" t="n">
        <v>0</v>
      </c>
      <c r="Z28" s="397">
        <f>IF(Z24&gt;$B$6,(Z24-$B$6)*$H$6,0)</f>
        <v>0</v>
      </c>
      <c r="AA28" s="397" t="n">
        <v>0</v>
      </c>
      <c r="AB28" s="397">
        <f>IF(AB24&gt;$B$6,(AB24-$B$6)*$H$6,0)</f>
        <v>0</v>
      </c>
      <c r="AC28" s="397" t="n">
        <v>0</v>
      </c>
      <c r="AD28" s="397">
        <f>IF(AD24&gt;$B$6,(AD24-$B$6)*$H$6,0)</f>
        <v>0</v>
      </c>
      <c r="AE28" s="397" t="n">
        <v>0</v>
      </c>
      <c r="AF28" s="397">
        <f>IF(AF24&gt;$B$6,(AF24-$B$6)*$H$6,0)</f>
        <v>0</v>
      </c>
      <c r="AG28" s="397" t="n">
        <v>0</v>
      </c>
      <c r="AH28" s="397">
        <f>IF(AH24&gt;$B$6,(AH24-$B$6)*$H$6,0)</f>
        <v>0</v>
      </c>
      <c r="AI28" s="397" t="n">
        <v>0</v>
      </c>
      <c r="AJ28" s="397">
        <f>IF(AJ24&gt;$B$6,(AJ24-$B$6)*$H$6,0)</f>
        <v>0</v>
      </c>
      <c r="AK28" s="397" t="n">
        <v>0</v>
      </c>
    </row>
    <row r="29" spans="1:37">
      <c r="A29" s="396" t="s">
        <v>742</v>
      </c>
      <c r="B29" s="397">
        <f>IF(B25&gt;$B$7,(B25-$B$7)*$H$7,0)</f>
        <v>4615.80000000000018</v>
      </c>
      <c r="C29" s="397" t="n">
        <v>0</v>
      </c>
      <c r="D29" s="397">
        <f>IF(D25&gt;$B$7,(D25-$B$7)*$H$7,0)</f>
        <v>4687.19999999999982</v>
      </c>
      <c r="E29" s="397" t="n">
        <v>0</v>
      </c>
      <c r="F29" s="397">
        <f>IF(F25&gt;$B$7,(F25-$B$7)*$H$7,0)</f>
        <v>4758.60000000000036</v>
      </c>
      <c r="G29" s="397" t="n">
        <v>0</v>
      </c>
      <c r="H29" s="397">
        <f>IF(H25&gt;$B$7,(H25-$B$7)*$H$7,0)</f>
        <v>4830</v>
      </c>
      <c r="I29" s="397" t="n">
        <v>0</v>
      </c>
      <c r="J29" s="397">
        <f>IF(J25&gt;$B$7,(J25-$B$7)*$H$7,0)</f>
        <v>4901.39999999999964</v>
      </c>
      <c r="K29" s="397" t="n">
        <v>0</v>
      </c>
      <c r="L29" s="397">
        <f>IF(L25&gt;$B$7,(L25-$B$7)*$H$7,0)</f>
        <v>4972.80000000000018</v>
      </c>
      <c r="M29" s="397" t="n">
        <v>0</v>
      </c>
      <c r="N29" s="397">
        <f>IF(N25&gt;$B$7,(N25-$B$7)*$H$7,0)</f>
        <v>5044.19999999999982</v>
      </c>
      <c r="O29" s="397" t="n">
        <v>0</v>
      </c>
      <c r="P29" s="397">
        <f>IF(P25&gt;$B$7,(P25-$B$7)*$H$7,0)</f>
        <v>5115.60000000000036</v>
      </c>
      <c r="Q29" s="397" t="n">
        <v>0</v>
      </c>
      <c r="R29" s="397">
        <f>IF(R25&gt;$B$7,(R25-$B$7)*$H$7,0)</f>
        <v>5145</v>
      </c>
      <c r="S29" s="397" t="n">
        <v>0</v>
      </c>
      <c r="T29" s="397">
        <f>IF(T25&gt;$B$7,(T25-$B$7)*$H$7,0)</f>
        <v>5145</v>
      </c>
      <c r="U29" s="397" t="n">
        <v>0</v>
      </c>
      <c r="V29" s="397">
        <f>IF(V25&gt;$B$7,(V25-$B$7)*$H$7,0)</f>
        <v>5145</v>
      </c>
      <c r="W29" s="397" t="n">
        <v>0</v>
      </c>
      <c r="X29" s="397">
        <f>IF(X25&gt;$B$7,(X25-$B$7)*$H$7,0)</f>
        <v>5145</v>
      </c>
      <c r="Y29" s="397" t="n">
        <v>0</v>
      </c>
      <c r="Z29" s="397">
        <f>IF(Z25&gt;$B$7,(Z25-$B$7)*$H$7,0)</f>
        <v>5145</v>
      </c>
      <c r="AA29" s="397" t="n">
        <v>0</v>
      </c>
      <c r="AB29" s="397">
        <f>IF(AB25&gt;$B$7,(AB25-$B$7)*$H$7,0)</f>
        <v>5145</v>
      </c>
      <c r="AC29" s="397" t="n">
        <v>0</v>
      </c>
      <c r="AD29" s="397">
        <f>IF(AD25&gt;$B$7,(AD25-$B$7)*$H$7,0)</f>
        <v>5145</v>
      </c>
      <c r="AE29" s="397" t="n">
        <v>0</v>
      </c>
      <c r="AF29" s="397">
        <f>IF(AF25&gt;$B$7,(AF25-$B$7)*$H$7,0)</f>
        <v>0</v>
      </c>
      <c r="AG29" s="397" t="n">
        <v>0</v>
      </c>
      <c r="AH29" s="397">
        <f>IF(AH25&gt;$B$7,(AH25-$B$7)*$H$7,0)</f>
        <v>0</v>
      </c>
      <c r="AI29" s="397" t="n">
        <v>0</v>
      </c>
      <c r="AJ29" s="397">
        <f>IF(AJ25&gt;$B$7,(AJ25-$B$7)*$H$7,0)</f>
        <v>0</v>
      </c>
      <c r="AK29" s="397" t="n">
        <v>0</v>
      </c>
    </row>
    <row r="30" spans="1:35">
      <c r="A30" s="398" t="s">
        <v>743</v>
      </c>
      <c r="B30" s="399">
        <f>G4+G5+G6+G7</f>
        <v>2184.40000000000009</v>
      </c>
      <c r="C30" s="399">
        <f>B30</f>
        <v>2184.40000000000009</v>
      </c>
      <c r="D30" s="399">
        <f>C30</f>
        <v>2184.40000000000009</v>
      </c>
      <c r="E30" s="399">
        <f>D30</f>
        <v>2184.40000000000009</v>
      </c>
      <c r="F30" s="399">
        <f>E30</f>
        <v>2184.40000000000009</v>
      </c>
      <c r="G30" s="399">
        <f>F30</f>
        <v>2184.40000000000009</v>
      </c>
      <c r="H30" s="399">
        <f>G30</f>
        <v>2184.40000000000009</v>
      </c>
      <c r="I30" s="399">
        <f>H30</f>
        <v>2184.40000000000009</v>
      </c>
      <c r="J30" s="399">
        <f>I30</f>
        <v>2184.40000000000009</v>
      </c>
      <c r="K30" s="399">
        <f>J30</f>
        <v>2184.40000000000009</v>
      </c>
      <c r="L30" s="399">
        <f>K30</f>
        <v>2184.40000000000009</v>
      </c>
      <c r="M30" s="399">
        <f>L30</f>
        <v>2184.40000000000009</v>
      </c>
      <c r="N30" s="399">
        <f>M30</f>
        <v>2184.40000000000009</v>
      </c>
      <c r="O30" s="399">
        <f>N30</f>
        <v>2184.40000000000009</v>
      </c>
      <c r="P30" s="399">
        <f>O30</f>
        <v>2184.40000000000009</v>
      </c>
      <c r="Q30" s="399">
        <f>P30</f>
        <v>2184.40000000000009</v>
      </c>
      <c r="R30" s="399">
        <f>Q30</f>
        <v>2184.40000000000009</v>
      </c>
      <c r="S30" s="399">
        <f>R30</f>
        <v>2184.40000000000009</v>
      </c>
      <c r="T30" s="399">
        <f>S30</f>
        <v>2184.40000000000009</v>
      </c>
      <c r="U30" s="399">
        <f>T30</f>
        <v>2184.40000000000009</v>
      </c>
      <c r="V30" s="399">
        <f>U30</f>
        <v>2184.40000000000009</v>
      </c>
      <c r="W30" s="399">
        <f>V30</f>
        <v>2184.40000000000009</v>
      </c>
      <c r="X30" s="399">
        <f>W30</f>
        <v>2184.40000000000009</v>
      </c>
      <c r="Y30" s="399">
        <f>X30</f>
        <v>2184.40000000000009</v>
      </c>
      <c r="Z30" s="399">
        <f>Y30</f>
        <v>2184.40000000000009</v>
      </c>
      <c r="AA30" s="399">
        <f>Z30</f>
        <v>2184.40000000000009</v>
      </c>
      <c r="AB30" s="399">
        <f>AA30</f>
        <v>2184.40000000000009</v>
      </c>
      <c r="AC30" s="399">
        <f>AB30</f>
        <v>2184.40000000000009</v>
      </c>
      <c r="AD30" s="399">
        <f>AC30</f>
        <v>2184.40000000000009</v>
      </c>
      <c r="AE30" s="399"/>
      <c r="AF30" s="399"/>
      <c r="AG30" s="399"/>
      <c r="AH30" s="399"/>
      <c r="AI30" s="399"/>
    </row>
    <row r="31" spans="1:48">
      <c r="A31" s="400" t="s">
        <v>744</v>
      </c>
      <c r="B31" s="401">
        <f>B26+B27+B28+B29-B30</f>
        <v>32974.4400000000023</v>
      </c>
      <c r="C31" s="401">
        <f>C26+C27+C28+C29-C30</f>
        <v>-2184.40000000000009</v>
      </c>
      <c r="D31" s="401">
        <f>D26+D27+D28+D29-D30</f>
        <v>33598.1600000000035</v>
      </c>
      <c r="E31" s="401">
        <f>E26+E27+E28+E29-E30</f>
        <v>-2184.40000000000009</v>
      </c>
      <c r="F31" s="401">
        <f>F26+F27+F28+F29-F30</f>
        <v>34221.8799999999974</v>
      </c>
      <c r="G31" s="401">
        <f>G26+G27+G28+G29-G30</f>
        <v>-2184.40000000000009</v>
      </c>
      <c r="H31" s="401">
        <f>H26+H27+H28+H29-H30</f>
        <v>34845.5999999999985</v>
      </c>
      <c r="I31" s="401">
        <f>I26+I27+I28+I29-I30</f>
        <v>-2184.40000000000009</v>
      </c>
      <c r="J31" s="401">
        <f>J26+J27+J28+J29-J30</f>
        <v>35469.3199999999997</v>
      </c>
      <c r="K31" s="401">
        <f>K26+K27+K28+K29-K30</f>
        <v>-2184.40000000000009</v>
      </c>
      <c r="L31" s="401">
        <f>L26+L27+L28+L29-L30</f>
        <v>36093.0400000000009</v>
      </c>
      <c r="M31" s="401">
        <f>M26+M27+M28+M29-M30</f>
        <v>-2184.40000000000009</v>
      </c>
      <c r="N31" s="401">
        <f>N26+N27+N28+N29-N30</f>
        <v>36716.760000000002</v>
      </c>
      <c r="O31" s="401">
        <f>O26+O27+O28+O29-O30</f>
        <v>-2184.40000000000009</v>
      </c>
      <c r="P31" s="401">
        <f>P26+P27+P28+P29-P30</f>
        <v>37340.4800000000032</v>
      </c>
      <c r="Q31" s="401">
        <f>Q26+Q27+Q28+Q29-Q30</f>
        <v>-2184.40000000000009</v>
      </c>
      <c r="R31" s="401">
        <f>R26+R27+R28+R29-R30</f>
        <v>37643.5999999999985</v>
      </c>
      <c r="S31" s="401">
        <f>S26+S27+S28+S29-S30</f>
        <v>-2184.40000000000009</v>
      </c>
      <c r="T31" s="401">
        <f>T26+T27+T28+T29-T30</f>
        <v>37643.5999999999985</v>
      </c>
      <c r="U31" s="401">
        <f>U26+U27+U28+U29-U30</f>
        <v>-2184.40000000000009</v>
      </c>
      <c r="V31" s="401">
        <f>V26+V27+V28+V29-V30</f>
        <v>37643.5999999999985</v>
      </c>
      <c r="W31" s="401">
        <f>W26+W27+W28+W29-W30</f>
        <v>-2184.40000000000009</v>
      </c>
      <c r="X31" s="401">
        <f>X26+X27+X28+X29-X30</f>
        <v>37643.5999999999985</v>
      </c>
      <c r="Y31" s="401">
        <f>Y26+Y27+Y28+Y29-Y30</f>
        <v>-2184.40000000000009</v>
      </c>
      <c r="Z31" s="401">
        <f>Z26+Z27+Z28+Z29-Z30</f>
        <v>37643.5999999999985</v>
      </c>
      <c r="AA31" s="401">
        <f>AA26+AA27+AA28+AA29-AA30</f>
        <v>-2184.40000000000009</v>
      </c>
      <c r="AB31" s="401">
        <f>AB26+AB27+AB28+AB29-AB30</f>
        <v>37643.5999999999985</v>
      </c>
      <c r="AC31" s="401">
        <f>AC26+AC27+AC28+AC29-AC30</f>
        <v>-2184.40000000000009</v>
      </c>
      <c r="AD31" s="401">
        <f>AD26+AD27+AD28+AD29-AD30</f>
        <v>37643.5999999999985</v>
      </c>
      <c r="AE31" s="401"/>
      <c r="AF31" s="401"/>
      <c r="AG31" s="401"/>
      <c r="AH31" s="401"/>
      <c r="AI31" s="401"/>
      <c r="AJ31" s="72"/>
      <c r="AK31" s="72"/>
      <c r="AL31" s="72"/>
      <c r="AM31" s="72"/>
      <c r="AN31" s="72"/>
      <c r="AO31" s="72"/>
      <c r="AP31" s="72"/>
      <c r="AQ31" s="72"/>
      <c r="AR31" s="72"/>
      <c r="AS31" s="72"/>
      <c r="AT31" s="72"/>
      <c r="AU31" s="72"/>
      <c r="AV31" s="72"/>
    </row>
    <row r="32" spans="1:48">
      <c r="A32" s="402" t="s">
        <v>745</v>
      </c>
      <c r="B32" s="401">
        <f>-B12-B11+B31</f>
        <v>-189230.559999999998</v>
      </c>
      <c r="C32" s="401">
        <f>B32+C31</f>
        <v>-191414.959999999992</v>
      </c>
      <c r="D32" s="401">
        <f>C32+D31</f>
        <v>-157816.799999999988</v>
      </c>
      <c r="E32" s="401">
        <f>D32+E31</f>
        <v>-160001.200000000012</v>
      </c>
      <c r="F32" s="401">
        <f>E32+F31</f>
        <v>-125779.320000000007</v>
      </c>
      <c r="G32" s="401">
        <f>F32+G31</f>
        <v>-127963.720000000001</v>
      </c>
      <c r="H32" s="401">
        <f>G32+H31</f>
        <v>-93118.1199999999953</v>
      </c>
      <c r="I32" s="401">
        <f>H32+I31</f>
        <v>-95302.5200000000041</v>
      </c>
      <c r="J32" s="401">
        <f>I32+J31</f>
        <v>-59833.1999999999971</v>
      </c>
      <c r="K32" s="401">
        <f>J32+K31</f>
        <v>-62017.5999999999985</v>
      </c>
      <c r="L32" s="401">
        <f>K32+L31</f>
        <v>-25924.5600000000013</v>
      </c>
      <c r="M32" s="401">
        <f>L32+M31</f>
        <v>-28108.9599999999991</v>
      </c>
      <c r="N32" s="401">
        <f>M32+N31</f>
        <v>8607.79999999999927</v>
      </c>
      <c r="O32" s="401">
        <f>N32+O31</f>
        <v>6423.39999999999964</v>
      </c>
      <c r="P32" s="401">
        <f>O32+P31</f>
        <v>43763.8799999999974</v>
      </c>
      <c r="Q32" s="401">
        <f>P32+Q31</f>
        <v>41579.4800000000032</v>
      </c>
      <c r="R32" s="401">
        <f>Q32+R31</f>
        <v>79223.0800000000017</v>
      </c>
      <c r="S32" s="401">
        <f>R32+S31</f>
        <v>77038.679999999993</v>
      </c>
      <c r="T32" s="401">
        <f>S32+T31</f>
        <v>114682.279999999999</v>
      </c>
      <c r="U32" s="401">
        <f>T32+U31</f>
        <v>112497.880000000005</v>
      </c>
      <c r="V32" s="401">
        <f>U32+V31</f>
        <v>150141.48000000001</v>
      </c>
      <c r="W32" s="401">
        <f>V32+W31</f>
        <v>147957.079999999987</v>
      </c>
      <c r="X32" s="401">
        <f>W32+X31</f>
        <v>185600.679999999993</v>
      </c>
      <c r="Y32" s="401">
        <f>X32+Y31</f>
        <v>183416.279999999999</v>
      </c>
      <c r="Z32" s="401">
        <f>Y32+Z31</f>
        <v>221059.880000000005</v>
      </c>
      <c r="AA32" s="401">
        <f>Z32+AA31</f>
        <v>218875.48000000001</v>
      </c>
      <c r="AB32" s="401">
        <f>AA32+AB31</f>
        <v>256519.079999999987</v>
      </c>
      <c r="AC32" s="401">
        <f>AB32+AC31</f>
        <v>254334.679999999993</v>
      </c>
      <c r="AD32" s="401">
        <f>AC32+AD31</f>
        <v>291978.280000000028</v>
      </c>
      <c r="AE32" s="401"/>
      <c r="AF32" s="401"/>
      <c r="AG32" s="401"/>
      <c r="AH32" s="401"/>
      <c r="AI32" s="401"/>
      <c r="AJ32" s="72"/>
      <c r="AK32" s="72"/>
      <c r="AL32" s="72"/>
      <c r="AM32" s="72"/>
      <c r="AN32" s="72"/>
      <c r="AO32" s="72"/>
      <c r="AP32" s="72"/>
      <c r="AQ32" s="72"/>
      <c r="AR32" s="72"/>
      <c r="AS32" s="72"/>
      <c r="AT32" s="72"/>
      <c r="AU32" s="72"/>
      <c r="AV32" s="72"/>
    </row>
    <row r="33" spans="2:35">
      <c r="B33" s="60">
        <f>B32/$B$13</f>
        <v>-0.851603519272743981</v>
      </c>
      <c r="C33" s="60">
        <f>C32/$B$13</f>
        <v>-0.861434081141289099</v>
      </c>
      <c r="D33" s="60">
        <f>D32/$B$13</f>
        <v>-0.710230642874822937</v>
      </c>
      <c r="E33" s="60">
        <f>E32/$B$13</f>
        <v>-0.720061204743367966</v>
      </c>
      <c r="F33" s="60">
        <f>F32/$B$13</f>
        <v>-0.566050808937692995</v>
      </c>
      <c r="G33" s="60">
        <f>G32/$B$13</f>
        <v>-0.575881370806238024</v>
      </c>
      <c r="H33" s="60">
        <f>H32/$B$13</f>
        <v>-0.419064017461353</v>
      </c>
      <c r="I33" s="60">
        <f>I32/$B$13</f>
        <v>-0.428894579329898029</v>
      </c>
      <c r="J33" s="60">
        <f>J32/$B$13</f>
        <v>-0.269270268445804994</v>
      </c>
      <c r="K33" s="60">
        <f>K32/$B$13</f>
        <v>-0.279100830314349002</v>
      </c>
      <c r="L33" s="60">
        <f>L32/$B$13</f>
        <v>-0.116669561891047002</v>
      </c>
      <c r="M33" s="60">
        <f>M32/$B$13</f>
        <v>-0.126500123759590988</v>
      </c>
      <c r="N33" s="60">
        <f>N32/$B$13</f>
        <v>0.0387381022029210023</v>
      </c>
      <c r="O33" s="60">
        <f>O32/$B$13</f>
        <v>0.0289075403343760051</v>
      </c>
      <c r="P33" s="60">
        <f>P32/$B$13</f>
        <v>0.196952723836096979</v>
      </c>
      <c r="Q33" s="60">
        <f>Q32/$B$13</f>
        <v>0.18712216196755298</v>
      </c>
      <c r="R33" s="60">
        <f>R32/$B$13</f>
        <v>0.356531491190566996</v>
      </c>
      <c r="S33" s="60">
        <f>S32/$B$13</f>
        <v>0.346700929322022011</v>
      </c>
      <c r="T33" s="60">
        <f>T32/$B$13</f>
        <v>0.516110258545037048</v>
      </c>
      <c r="U33" s="60">
        <f>U32/$B$13</f>
        <v>0.506279696676492996</v>
      </c>
      <c r="V33" s="60">
        <f>V32/$B$13</f>
        <v>0.675689025899506923</v>
      </c>
      <c r="W33" s="60">
        <f>W32/$B$13</f>
        <v>0.665858464030963049</v>
      </c>
      <c r="X33" s="60">
        <f>X32/$B$13</f>
        <v>0.835267793253976976</v>
      </c>
      <c r="Y33" s="60">
        <f>Y32/$B$13</f>
        <v>0.825437231385432035</v>
      </c>
      <c r="Z33" s="60">
        <f>Z32/$B$13</f>
        <v>0.994846560608447028</v>
      </c>
      <c r="AA33" s="60">
        <f>AA32/$B$13</f>
        <v>0.98501599873990191</v>
      </c>
      <c r="AB33" s="60">
        <f>AB32/$B$13</f>
        <v>1.15442532796291997</v>
      </c>
      <c r="AC33" s="60">
        <f>AC32/$B$13</f>
        <v>1.14459476609437005</v>
      </c>
      <c r="AD33" s="60">
        <f>AD32/$B$13</f>
        <v>1.31400409531738993</v>
      </c>
      <c r="AE33" s="60"/>
      <c r="AF33" s="60"/>
      <c r="AG33" s="60"/>
      <c r="AH33" s="60"/>
      <c r="AI33" s="60"/>
    </row>
    <row r="36" spans="11:11">
      <c r="K36" s="60"/>
    </row>
    <row r="37" spans="11:11">
      <c r="K37" s="60"/>
    </row>
    <row r="38" spans="11:11">
      <c r="K38" s="60"/>
    </row>
  </sheetData>
  <mergeCells count="3">
    <mergeCell ref="D2:E2"/>
    <mergeCell ref="F2:G2"/>
    <mergeCell ref="H2:I2"/>
  </mergeCells>
  <conditionalFormatting sqref="B32:AD32">
    <cfRule type="cellIs" dxfId="45" priority="1" operator="lessThan">
      <formula>0</formula>
    </cfRule>
  </conditionalFormatting>
  <conditionalFormatting sqref="B32:AD32">
    <cfRule type="cellIs" dxfId="46" priority="2" operator="greaterThan">
      <formula>0</formula>
    </cfRule>
  </conditionalFormatting>
  <printOptions>
    <extLst>
      <ext uri="smNativeData">
        <pm:pageFlags xmlns:pm="smNativeData" id="1591683921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91683921" l="56" r="56" t="56" b="56" borderId="0" fillId="0" vertical="0"/>
        <pm:footer xmlns:pm="smNativeData" id="1591683921" l="56" r="56" t="56" b="56" borderId="0" fillId="0" vertical="2"/>
      </ext>
    </extLst>
  </headerFooter>
  <extLst>
    <ext uri="smNativeData">
      <pm:sheetPrefs xmlns:pm="smNativeData" day="1591683921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rgb="B1A0C7"/>
  </sheetPr>
  <dimension ref="A1:U76"/>
  <sheetViews>
    <sheetView view="normal" zoomScale="90" workbookViewId="0">
      <pane ySplit="1" topLeftCell="A2" activePane="bottomLeft" state="frozen"/>
      <selection pane="bottomLeft" activeCell="P13" sqref="P13"/>
    </sheetView>
  </sheetViews>
  <sheetFormatPr baseColWidth="10" defaultColWidth="11.428571" defaultRowHeight="15.40"/>
  <cols>
    <col min="1" max="1" width="17.142857" customWidth="1"/>
    <col min="2" max="3" width="17.714286" customWidth="1"/>
    <col min="4" max="4" width="20.857143" customWidth="1"/>
    <col min="5" max="5" width="3.142857" customWidth="1"/>
    <col min="6" max="6" width="38.714286" customWidth="1"/>
    <col min="7" max="7" width="5.714286" customWidth="1"/>
    <col min="8" max="8" width="5.285714" customWidth="1"/>
    <col min="9" max="9" width="4.571429" customWidth="1"/>
    <col min="10" max="10" width="4.142857" customWidth="1"/>
    <col min="11" max="11" width="10.000000" customWidth="1"/>
    <col min="12" max="12" width="12.714286" customWidth="1"/>
    <col min="13" max="13" width="5.285714" customWidth="1"/>
    <col min="14" max="14" width="17.571429" customWidth="1"/>
    <col min="15" max="15" width="21.285714" customWidth="1"/>
    <col min="16" max="16" width="9.714286" customWidth="1"/>
    <col min="17" max="18" width="13.571429" customWidth="1"/>
    <col min="19" max="19" width="17.142857" customWidth="1"/>
    <col min="20" max="20" width="9.714286" customWidth="1"/>
    <col min="21" max="21" width="13.571429" customWidth="1"/>
  </cols>
  <sheetData>
    <row r="1" spans="1:21">
      <c r="A1" s="449" t="s">
        <v>746</v>
      </c>
      <c r="B1" s="449"/>
      <c r="C1" s="449"/>
      <c r="D1" s="449"/>
      <c r="F1" s="14" t="s">
        <v>195</v>
      </c>
      <c r="G1" s="14" t="s">
        <v>119</v>
      </c>
      <c r="H1" s="14" t="s">
        <v>120</v>
      </c>
      <c r="I1" s="28" t="s">
        <v>747</v>
      </c>
      <c r="J1" s="28" t="s">
        <v>122</v>
      </c>
      <c r="K1" s="28" t="s">
        <v>480</v>
      </c>
      <c r="L1" s="28" t="s">
        <v>748</v>
      </c>
      <c r="M1" s="28" t="s">
        <v>749</v>
      </c>
      <c r="N1" s="66" t="s">
        <v>750</v>
      </c>
      <c r="O1" s="66" t="s">
        <v>751</v>
      </c>
      <c r="P1" s="66" t="s">
        <v>752</v>
      </c>
      <c r="Q1" s="66" t="s">
        <v>753</v>
      </c>
      <c r="R1" s="67" t="s">
        <v>754</v>
      </c>
      <c r="S1" s="67" t="s">
        <v>755</v>
      </c>
      <c r="T1" s="67" t="s">
        <v>752</v>
      </c>
      <c r="U1" s="67" t="s">
        <v>753</v>
      </c>
    </row>
    <row r="2" spans="1:21">
      <c r="A2" s="450" t="s">
        <v>756</v>
      </c>
      <c r="B2" s="76" t="s">
        <v>757</v>
      </c>
      <c r="C2" s="76" t="s">
        <v>758</v>
      </c>
      <c r="D2" s="76" t="s">
        <v>759</v>
      </c>
      <c r="F2" s="90" t="s">
        <v>760</v>
      </c>
      <c r="G2" t="n">
        <v>36</v>
      </c>
      <c r="H2" t="n">
        <v>92</v>
      </c>
      <c r="I2" s="57" t="n">
        <v>14.3000000000000007</v>
      </c>
      <c r="J2" s="58" t="n">
        <v>4</v>
      </c>
      <c r="K2" s="47" t="n">
        <v>2448</v>
      </c>
      <c r="L2" s="47" t="n">
        <v>1000</v>
      </c>
      <c r="M2" s="63" t="n">
        <v>3</v>
      </c>
      <c r="N2" s="47" t="n">
        <v>325000</v>
      </c>
      <c r="O2" s="47">
        <f>L2+N2</f>
        <v>326000</v>
      </c>
      <c r="P2" s="68" t="n">
        <v>6.5</v>
      </c>
      <c r="Q2" s="78">
        <f>O2/P2</f>
        <v>50153.8461538461997</v>
      </c>
      <c r="R2" s="47" t="n">
        <v>2375000</v>
      </c>
      <c r="S2" s="47">
        <f>R2+L2</f>
        <v>2376000</v>
      </c>
      <c r="T2" s="69">
        <f>P2</f>
        <v>6.5</v>
      </c>
      <c r="U2" s="78">
        <f>S2/T2</f>
        <v>365538.461538462027</v>
      </c>
    </row>
    <row r="3" spans="1:21">
      <c r="A3" s="450"/>
      <c r="B3" s="76"/>
      <c r="C3" s="76"/>
      <c r="D3" s="76"/>
      <c r="F3" s="90" t="s">
        <v>761</v>
      </c>
      <c r="G3" t="n">
        <v>40</v>
      </c>
      <c r="H3" t="n">
        <v>26</v>
      </c>
      <c r="I3" s="57" t="n">
        <v>14.0999999999999996</v>
      </c>
      <c r="J3" s="58" t="n">
        <v>5</v>
      </c>
      <c r="K3" s="47" t="n">
        <v>468</v>
      </c>
      <c r="L3" s="47" t="n">
        <v>410000</v>
      </c>
      <c r="M3" s="63" t="n">
        <v>3</v>
      </c>
      <c r="N3" s="47" t="n">
        <v>335000</v>
      </c>
      <c r="O3" s="47">
        <f>L3+N3</f>
        <v>745000</v>
      </c>
      <c r="P3" s="68" t="n">
        <v>8</v>
      </c>
      <c r="Q3" s="78">
        <f>O3/P3</f>
        <v>93125</v>
      </c>
      <c r="R3" s="47" t="n">
        <v>2390000</v>
      </c>
      <c r="S3" s="47">
        <f>R3+L3</f>
        <v>2800000</v>
      </c>
      <c r="T3" s="69">
        <f>P3</f>
        <v>8</v>
      </c>
      <c r="U3" s="78">
        <f>S3/T3</f>
        <v>350000</v>
      </c>
    </row>
    <row r="4" spans="1:21">
      <c r="A4" s="74" t="s">
        <v>757</v>
      </c>
      <c r="B4" s="75" t="s">
        <v>762</v>
      </c>
      <c r="C4" s="75" t="s">
        <v>763</v>
      </c>
      <c r="D4" s="75" t="s">
        <v>763</v>
      </c>
      <c r="F4" s="90" t="s">
        <v>764</v>
      </c>
      <c r="G4" t="n">
        <v>35</v>
      </c>
      <c r="H4" t="n">
        <v>85</v>
      </c>
      <c r="I4" s="57" t="n">
        <v>18.1999999999999993</v>
      </c>
      <c r="J4" s="58" t="n">
        <v>4</v>
      </c>
      <c r="K4" s="47" t="n">
        <v>14808</v>
      </c>
      <c r="L4" s="47" t="n">
        <v>1245000</v>
      </c>
      <c r="M4" s="63" t="n">
        <v>3</v>
      </c>
      <c r="N4" s="47" t="n">
        <v>259000</v>
      </c>
      <c r="O4" s="47">
        <f>L4+N4</f>
        <v>1504000</v>
      </c>
      <c r="P4" s="68" t="n">
        <v>6.5</v>
      </c>
      <c r="Q4" s="78">
        <f>O4/P4</f>
        <v>231384.615384614997</v>
      </c>
      <c r="R4" s="47" t="n">
        <v>1850000</v>
      </c>
      <c r="S4" s="47">
        <f>R4+L4</f>
        <v>3095000</v>
      </c>
      <c r="T4" s="69">
        <f>P4</f>
        <v>6.5</v>
      </c>
      <c r="U4" s="78">
        <f>S4/T4</f>
        <v>476153.846153846011</v>
      </c>
    </row>
    <row r="5" spans="1:21">
      <c r="A5" s="76" t="s">
        <v>758</v>
      </c>
      <c r="B5" s="77" t="s">
        <v>765</v>
      </c>
      <c r="C5" s="77" t="s">
        <v>766</v>
      </c>
      <c r="D5" s="77" t="s">
        <v>763</v>
      </c>
      <c r="F5" s="90" t="s">
        <v>767</v>
      </c>
      <c r="G5" t="n">
        <v>36</v>
      </c>
      <c r="H5" t="n">
        <v>97</v>
      </c>
      <c r="I5" s="57" t="n">
        <v>14</v>
      </c>
      <c r="J5" s="58" t="n">
        <v>5</v>
      </c>
      <c r="K5" s="47" t="n">
        <v>4956</v>
      </c>
      <c r="L5" s="47" t="n">
        <v>405000</v>
      </c>
      <c r="M5" s="63" t="n">
        <v>3</v>
      </c>
      <c r="N5" s="70" t="n">
        <v>337500</v>
      </c>
      <c r="O5" s="47">
        <f>L5+N5</f>
        <v>742500</v>
      </c>
      <c r="P5" s="68" t="n">
        <v>8</v>
      </c>
      <c r="Q5" s="78">
        <f>O5/P5</f>
        <v>92812.5</v>
      </c>
      <c r="R5" s="47" t="n">
        <v>2400000</v>
      </c>
      <c r="S5" s="47">
        <f>R5+L5</f>
        <v>2805000</v>
      </c>
      <c r="T5" s="69">
        <f>P5</f>
        <v>8</v>
      </c>
      <c r="U5" s="78">
        <f>S5/T5</f>
        <v>350625</v>
      </c>
    </row>
    <row r="6" spans="1:21">
      <c r="A6" s="74" t="s">
        <v>759</v>
      </c>
      <c r="B6" s="75" t="s">
        <v>768</v>
      </c>
      <c r="C6" s="75" t="s">
        <v>769</v>
      </c>
      <c r="D6" s="75" t="s">
        <v>770</v>
      </c>
      <c r="F6" s="90" t="s">
        <v>771</v>
      </c>
      <c r="G6" t="n">
        <v>40</v>
      </c>
      <c r="H6" t="n">
        <v>71</v>
      </c>
      <c r="I6" s="57" t="n">
        <v>15.3000000000000007</v>
      </c>
      <c r="J6" s="58" t="n">
        <v>5</v>
      </c>
      <c r="K6" s="47" t="n">
        <v>840</v>
      </c>
      <c r="L6" s="47" t="n">
        <v>325000</v>
      </c>
      <c r="M6" s="63" t="n">
        <v>3</v>
      </c>
      <c r="N6" s="47" t="n">
        <v>305000</v>
      </c>
      <c r="O6" s="47">
        <f>L6+N6</f>
        <v>630000</v>
      </c>
      <c r="P6" s="68" t="n">
        <v>8</v>
      </c>
      <c r="Q6" s="78">
        <f>O6/P6</f>
        <v>78750</v>
      </c>
      <c r="R6" s="47" t="n">
        <v>2200000</v>
      </c>
      <c r="S6" s="47">
        <f>R6+L6</f>
        <v>2525000</v>
      </c>
      <c r="T6" s="69">
        <f>P6</f>
        <v>8</v>
      </c>
      <c r="U6" s="78">
        <f>S6/T6</f>
        <v>315625</v>
      </c>
    </row>
    <row r="7" spans="1:21">
      <c r="A7" s="76" t="s">
        <v>772</v>
      </c>
      <c r="B7" s="77" t="s">
        <v>773</v>
      </c>
      <c r="C7" s="77" t="s">
        <v>774</v>
      </c>
      <c r="D7" s="77" t="s">
        <v>775</v>
      </c>
      <c r="I7" s="57" t="n">
        <v>0</v>
      </c>
      <c r="J7" s="58" t="n">
        <v>0</v>
      </c>
      <c r="K7" s="47"/>
      <c r="L7" s="47"/>
      <c r="M7" s="63" t="n">
        <v>3</v>
      </c>
      <c r="N7" s="47"/>
      <c r="O7" s="47">
        <f>L7+N7</f>
        <v>0</v>
      </c>
      <c r="P7" s="68" t="n">
        <v>9</v>
      </c>
      <c r="Q7" s="78">
        <f>O7/P7</f>
        <v>0</v>
      </c>
      <c r="R7" s="47"/>
      <c r="S7" s="47">
        <f>R7+L7</f>
        <v>0</v>
      </c>
      <c r="T7" s="69">
        <f>P7</f>
        <v>9</v>
      </c>
      <c r="U7" s="78">
        <f>S7/T7</f>
        <v>0</v>
      </c>
    </row>
    <row r="8" spans="1:21">
      <c r="A8" s="74" t="s">
        <v>776</v>
      </c>
      <c r="B8" s="75" t="s">
        <v>777</v>
      </c>
      <c r="C8" s="75" t="s">
        <v>778</v>
      </c>
      <c r="D8" s="75" t="s">
        <v>779</v>
      </c>
      <c r="F8" s="90" t="s">
        <v>780</v>
      </c>
      <c r="G8" t="n">
        <v>38</v>
      </c>
      <c r="H8" t="n">
        <v>105</v>
      </c>
      <c r="I8" s="57" t="n">
        <v>17.8000000000000007</v>
      </c>
      <c r="J8" s="58" t="n">
        <v>4</v>
      </c>
      <c r="K8" s="47" t="n">
        <v>1080</v>
      </c>
      <c r="L8" s="47" t="n">
        <v>320000</v>
      </c>
      <c r="M8" s="63" t="n">
        <v>3</v>
      </c>
      <c r="N8" s="47" t="n">
        <v>269000</v>
      </c>
      <c r="O8" s="47">
        <f>L8+N8</f>
        <v>589000</v>
      </c>
      <c r="P8" s="68" t="n">
        <v>6.5</v>
      </c>
      <c r="Q8" s="78">
        <f>O8/P8</f>
        <v>90615.3846153845952</v>
      </c>
      <c r="R8" s="47" t="n">
        <v>1900000</v>
      </c>
      <c r="S8" s="47">
        <f>R8+L8</f>
        <v>2220000</v>
      </c>
      <c r="T8" s="69">
        <f>P8</f>
        <v>6.5</v>
      </c>
      <c r="U8" s="78">
        <f>S8/T8</f>
        <v>341538.461538462027</v>
      </c>
    </row>
    <row r="9" spans="1:21">
      <c r="A9" s="76" t="s">
        <v>781</v>
      </c>
      <c r="B9" s="77" t="s">
        <v>782</v>
      </c>
      <c r="C9" s="77" t="s">
        <v>783</v>
      </c>
      <c r="D9" s="77" t="s">
        <v>784</v>
      </c>
      <c r="F9" s="90" t="s">
        <v>785</v>
      </c>
      <c r="G9" t="n">
        <v>40</v>
      </c>
      <c r="H9" t="n">
        <v>43</v>
      </c>
      <c r="I9" s="57" t="n">
        <v>33.3999999999999986</v>
      </c>
      <c r="J9" s="58" t="n">
        <v>4</v>
      </c>
      <c r="K9" s="47">
        <f>470*1.2</f>
        <v>564</v>
      </c>
      <c r="L9" s="47" t="n">
        <v>920000</v>
      </c>
      <c r="M9" s="63" t="n">
        <v>3</v>
      </c>
      <c r="N9" s="47" t="n">
        <v>125000</v>
      </c>
      <c r="O9" s="47">
        <f>L9+N9</f>
        <v>1045000</v>
      </c>
      <c r="P9" s="68" t="n">
        <v>6.5</v>
      </c>
      <c r="Q9" s="78">
        <f>O9/P9</f>
        <v>160769.230769231013</v>
      </c>
      <c r="R9" s="47" t="n">
        <v>1050000</v>
      </c>
      <c r="S9" s="47">
        <f>R9+L9</f>
        <v>1970000</v>
      </c>
      <c r="T9" s="69">
        <f>P9</f>
        <v>6.5</v>
      </c>
      <c r="U9" s="78">
        <f>S9/T9</f>
        <v>303076.923076923005</v>
      </c>
    </row>
    <row r="10" spans="1:21">
      <c r="A10" s="74" t="s">
        <v>786</v>
      </c>
      <c r="B10" s="75" t="s">
        <v>787</v>
      </c>
      <c r="C10" s="75" t="s">
        <v>788</v>
      </c>
      <c r="D10" s="75" t="s">
        <v>789</v>
      </c>
      <c r="F10" s="90" t="s">
        <v>790</v>
      </c>
      <c r="G10" t="n">
        <v>38</v>
      </c>
      <c r="H10" t="n">
        <v>73</v>
      </c>
      <c r="I10" s="57" t="n">
        <v>15.5</v>
      </c>
      <c r="J10" s="58" t="n">
        <v>4</v>
      </c>
      <c r="K10" s="47" t="n">
        <v>1280</v>
      </c>
      <c r="L10" s="47" t="n">
        <v>10000</v>
      </c>
      <c r="M10" s="63" t="n">
        <v>3</v>
      </c>
      <c r="N10" s="47" t="n">
        <v>305000</v>
      </c>
      <c r="O10" s="47">
        <f>L10+N10</f>
        <v>315000</v>
      </c>
      <c r="P10" s="68" t="n">
        <v>6.5</v>
      </c>
      <c r="Q10" s="78">
        <f>O10/P10</f>
        <v>48461.5384615384974</v>
      </c>
      <c r="R10" s="47" t="n">
        <v>2200000</v>
      </c>
      <c r="S10" s="47">
        <f>R10+L10</f>
        <v>2210000</v>
      </c>
      <c r="T10" s="69">
        <f>P10</f>
        <v>6.5</v>
      </c>
      <c r="U10" s="78">
        <f>S10/T10</f>
        <v>340000</v>
      </c>
    </row>
    <row r="11" spans="1:21">
      <c r="A11" s="76" t="s">
        <v>791</v>
      </c>
      <c r="B11" s="77" t="s">
        <v>792</v>
      </c>
      <c r="C11" s="77" t="s">
        <v>793</v>
      </c>
      <c r="D11" s="77" t="s">
        <v>794</v>
      </c>
      <c r="F11" s="90" t="s">
        <v>795</v>
      </c>
      <c r="G11" t="n">
        <v>38</v>
      </c>
      <c r="H11" t="n">
        <v>33</v>
      </c>
      <c r="I11" s="57" t="n">
        <v>16.6999999999999993</v>
      </c>
      <c r="J11" s="58" t="n">
        <v>4</v>
      </c>
      <c r="K11" s="47" t="n">
        <v>1224</v>
      </c>
      <c r="L11" s="47" t="n">
        <v>10000</v>
      </c>
      <c r="M11" s="63" t="n">
        <v>3</v>
      </c>
      <c r="N11" s="70" t="n">
        <v>283000</v>
      </c>
      <c r="O11" s="47">
        <f>L11+N11</f>
        <v>293000</v>
      </c>
      <c r="P11" s="68" t="n">
        <v>6.5</v>
      </c>
      <c r="Q11" s="78">
        <f>O11/P11</f>
        <v>45076.9230769230999</v>
      </c>
      <c r="R11" s="47" t="n">
        <v>2005000</v>
      </c>
      <c r="S11" s="47">
        <f>R11+L11</f>
        <v>2015000</v>
      </c>
      <c r="T11" s="69">
        <f>P11</f>
        <v>6.5</v>
      </c>
      <c r="U11" s="78">
        <f>S11/T11</f>
        <v>310000</v>
      </c>
    </row>
    <row r="12" spans="1:21">
      <c r="A12" s="74" t="s">
        <v>796</v>
      </c>
      <c r="B12" s="75" t="s">
        <v>797</v>
      </c>
      <c r="C12" s="75" t="s">
        <v>798</v>
      </c>
      <c r="D12" s="75" t="s">
        <v>799</v>
      </c>
      <c r="F12" s="90" t="s">
        <v>800</v>
      </c>
      <c r="G12" t="n">
        <v>38</v>
      </c>
      <c r="H12" t="n">
        <v>106</v>
      </c>
      <c r="I12" s="57" t="n">
        <v>15.0999999999999996</v>
      </c>
      <c r="J12" s="58" t="n">
        <v>4</v>
      </c>
      <c r="K12" s="47" t="n">
        <v>1368</v>
      </c>
      <c r="L12" s="47" t="n">
        <v>5000</v>
      </c>
      <c r="M12" s="63" t="n">
        <v>3</v>
      </c>
      <c r="N12" s="47" t="n">
        <v>315000</v>
      </c>
      <c r="O12" s="47">
        <f>L12+N12</f>
        <v>320000</v>
      </c>
      <c r="P12" s="68" t="n">
        <v>6.5</v>
      </c>
      <c r="Q12" s="78">
        <f>O12/P12</f>
        <v>49230.7692307691977</v>
      </c>
      <c r="R12" s="47" t="n">
        <v>2242290</v>
      </c>
      <c r="S12" s="47">
        <f>R12+L12</f>
        <v>2247290</v>
      </c>
      <c r="T12" s="69">
        <f>P12</f>
        <v>6.5</v>
      </c>
      <c r="U12" s="78">
        <f>S12/T12</f>
        <v>345736.923076923005</v>
      </c>
    </row>
    <row r="13" spans="1:21">
      <c r="A13" s="76" t="s">
        <v>801</v>
      </c>
      <c r="B13" s="77" t="s">
        <v>802</v>
      </c>
      <c r="C13" s="77" t="s">
        <v>803</v>
      </c>
      <c r="D13" s="77" t="s">
        <v>804</v>
      </c>
      <c r="F13" s="90" t="s">
        <v>805</v>
      </c>
      <c r="G13" t="n">
        <v>58</v>
      </c>
      <c r="H13" t="n">
        <v>49</v>
      </c>
      <c r="I13" s="57" t="n">
        <v>16</v>
      </c>
      <c r="J13" s="58" t="n">
        <v>4</v>
      </c>
      <c r="K13" s="47" t="n">
        <v>300</v>
      </c>
      <c r="L13" s="47" t="n">
        <v>125000</v>
      </c>
      <c r="M13" s="63" t="n">
        <v>3</v>
      </c>
      <c r="N13" s="47" t="n">
        <v>296000</v>
      </c>
      <c r="O13" s="47">
        <f>L13+N13</f>
        <v>421000</v>
      </c>
      <c r="P13" s="68" t="n">
        <v>6.5</v>
      </c>
      <c r="Q13" s="78">
        <f>O13/P13</f>
        <v>64769.2307692308023</v>
      </c>
      <c r="R13" s="47" t="n">
        <v>2105000</v>
      </c>
      <c r="S13" s="47">
        <f>R13+L13</f>
        <v>2230000</v>
      </c>
      <c r="T13" s="69">
        <f>P13</f>
        <v>6.5</v>
      </c>
      <c r="U13" s="78">
        <f>S13/T13</f>
        <v>343076.923076923005</v>
      </c>
    </row>
    <row r="14" spans="1:21">
      <c r="A14" s="74" t="s">
        <v>806</v>
      </c>
      <c r="B14" s="75" t="s">
        <v>807</v>
      </c>
      <c r="C14" s="75" t="s">
        <v>808</v>
      </c>
      <c r="D14" s="75" t="s">
        <v>809</v>
      </c>
      <c r="I14" s="57" t="n">
        <v>0</v>
      </c>
      <c r="J14" s="58" t="n">
        <v>0</v>
      </c>
      <c r="K14" s="47"/>
      <c r="L14" s="47"/>
      <c r="M14" s="63" t="n">
        <v>3</v>
      </c>
      <c r="N14" s="47"/>
      <c r="O14" s="47">
        <f>L14+N14</f>
        <v>0</v>
      </c>
      <c r="P14" s="68" t="n">
        <v>9</v>
      </c>
      <c r="Q14" s="78">
        <f>O14/P14</f>
        <v>0</v>
      </c>
      <c r="R14" s="47"/>
      <c r="S14" s="47">
        <f>R14+L14</f>
        <v>0</v>
      </c>
      <c r="T14" s="69">
        <f>P14</f>
        <v>9</v>
      </c>
      <c r="U14" s="78">
        <f>S14/T14</f>
        <v>0</v>
      </c>
    </row>
    <row r="15" spans="1:21">
      <c r="A15" s="76" t="s">
        <v>810</v>
      </c>
      <c r="B15" s="77" t="s">
        <v>811</v>
      </c>
      <c r="C15" s="77" t="s">
        <v>812</v>
      </c>
      <c r="D15" s="77" t="s">
        <v>813</v>
      </c>
      <c r="F15" s="90" t="s">
        <v>814</v>
      </c>
      <c r="G15" t="n">
        <v>40</v>
      </c>
      <c r="H15" t="n">
        <v>1</v>
      </c>
      <c r="I15" s="57" t="n">
        <v>16.1000000000000014</v>
      </c>
      <c r="J15" s="58" t="n">
        <v>5</v>
      </c>
      <c r="K15" s="47" t="n">
        <v>492</v>
      </c>
      <c r="L15" s="47" t="n">
        <v>1100000</v>
      </c>
      <c r="M15" s="63" t="n">
        <v>2</v>
      </c>
      <c r="N15" s="47" t="n">
        <v>296000</v>
      </c>
      <c r="O15" s="47">
        <f>L15+N15</f>
        <v>1396000</v>
      </c>
      <c r="P15" s="68" t="n">
        <v>8</v>
      </c>
      <c r="Q15" s="78">
        <f>O15/P15</f>
        <v>174500</v>
      </c>
      <c r="R15" s="47" t="n">
        <v>2100000</v>
      </c>
      <c r="S15" s="47">
        <f>R15+L15</f>
        <v>3200000</v>
      </c>
      <c r="T15" s="69">
        <f>P15</f>
        <v>8</v>
      </c>
      <c r="U15" s="78">
        <f>S15/T15</f>
        <v>400000</v>
      </c>
    </row>
    <row r="16" spans="1:21">
      <c r="A16" s="74" t="s">
        <v>815</v>
      </c>
      <c r="B16" s="75" t="s">
        <v>816</v>
      </c>
      <c r="C16" s="75" t="s">
        <v>817</v>
      </c>
      <c r="D16" s="75" t="s">
        <v>818</v>
      </c>
      <c r="F16" s="90" t="s">
        <v>819</v>
      </c>
      <c r="G16" t="n">
        <v>36</v>
      </c>
      <c r="H16" t="n">
        <v>0</v>
      </c>
      <c r="I16" s="57" t="n">
        <v>27</v>
      </c>
      <c r="J16" s="58" t="n">
        <v>5</v>
      </c>
      <c r="K16" s="47" t="n">
        <v>7812</v>
      </c>
      <c r="L16" s="47" t="n">
        <v>3500000</v>
      </c>
      <c r="M16" s="63" t="n">
        <v>3</v>
      </c>
      <c r="N16" s="70" t="n">
        <v>161800</v>
      </c>
      <c r="O16" s="47">
        <f>L16+N16</f>
        <v>3661800</v>
      </c>
      <c r="P16" s="68" t="n">
        <v>8</v>
      </c>
      <c r="Q16" s="78">
        <f>O16/P16</f>
        <v>457725</v>
      </c>
      <c r="R16" s="47" t="n">
        <v>1150800</v>
      </c>
      <c r="S16" s="47">
        <f>R16+L16</f>
        <v>4650800</v>
      </c>
      <c r="T16" s="69">
        <f>P16</f>
        <v>8</v>
      </c>
      <c r="U16" s="78">
        <f>S16/T16</f>
        <v>581350</v>
      </c>
    </row>
    <row r="17" spans="1:21">
      <c r="A17" s="76" t="s">
        <v>820</v>
      </c>
      <c r="B17" s="77" t="s">
        <v>821</v>
      </c>
      <c r="C17" s="77" t="s">
        <v>822</v>
      </c>
      <c r="D17" s="77" t="s">
        <v>823</v>
      </c>
      <c r="F17" s="90" t="s">
        <v>824</v>
      </c>
      <c r="G17" t="n">
        <v>39</v>
      </c>
      <c r="H17" t="n">
        <v>78</v>
      </c>
      <c r="I17" s="57" t="n">
        <v>20.1000000000000014</v>
      </c>
      <c r="J17" s="58" t="n">
        <v>5</v>
      </c>
      <c r="K17" s="47" t="n">
        <v>300</v>
      </c>
      <c r="L17" s="47" t="n">
        <v>1475000</v>
      </c>
      <c r="M17" s="63" t="n">
        <v>3</v>
      </c>
      <c r="N17" s="47" t="n">
        <v>231100</v>
      </c>
      <c r="O17" s="47">
        <f>L17+N17</f>
        <v>1706100</v>
      </c>
      <c r="P17" s="68" t="n">
        <v>8</v>
      </c>
      <c r="Q17" s="78">
        <f>O17/P17</f>
        <v>213262.5</v>
      </c>
      <c r="R17" s="47" t="n">
        <v>1643000</v>
      </c>
      <c r="S17" s="47">
        <f>R17+L17</f>
        <v>3118000</v>
      </c>
      <c r="T17" s="69">
        <f>P17</f>
        <v>8</v>
      </c>
      <c r="U17" s="78">
        <f>S17/T17</f>
        <v>389750</v>
      </c>
    </row>
    <row r="18" spans="1:21">
      <c r="A18" s="74" t="s">
        <v>825</v>
      </c>
      <c r="B18" s="75" t="s">
        <v>826</v>
      </c>
      <c r="C18" s="75" t="s">
        <v>827</v>
      </c>
      <c r="D18" s="75" t="s">
        <v>828</v>
      </c>
      <c r="I18" s="57" t="n">
        <v>0</v>
      </c>
      <c r="J18" s="58" t="n">
        <v>0</v>
      </c>
      <c r="K18" s="47"/>
      <c r="L18" s="47"/>
      <c r="M18" s="63" t="n">
        <v>3</v>
      </c>
      <c r="N18" s="47"/>
      <c r="O18" s="47">
        <f>L18+N18</f>
        <v>0</v>
      </c>
      <c r="P18" s="68" t="n">
        <v>9</v>
      </c>
      <c r="Q18" s="78">
        <f>O18/P18</f>
        <v>0</v>
      </c>
      <c r="R18" s="47"/>
      <c r="S18" s="47">
        <f>R18+L18</f>
        <v>0</v>
      </c>
      <c r="T18" s="69">
        <f>P18</f>
        <v>9</v>
      </c>
      <c r="U18" s="78">
        <f>S18/T18</f>
        <v>0</v>
      </c>
    </row>
    <row r="19" spans="9:21">
      <c r="I19" s="57" t="n">
        <v>0</v>
      </c>
      <c r="J19" s="58" t="n">
        <v>0</v>
      </c>
      <c r="K19" s="47"/>
      <c r="L19" s="47"/>
      <c r="M19" s="63" t="n">
        <v>3</v>
      </c>
      <c r="N19" s="47"/>
      <c r="O19" s="47">
        <f>L19+N19</f>
        <v>0</v>
      </c>
      <c r="P19" s="68" t="n">
        <v>9</v>
      </c>
      <c r="Q19" s="78">
        <f>O19/P19</f>
        <v>0</v>
      </c>
      <c r="R19" s="47"/>
      <c r="S19" s="47">
        <f>R19+L19</f>
        <v>0</v>
      </c>
      <c r="T19" s="69">
        <f>P19</f>
        <v>9</v>
      </c>
      <c r="U19" s="78">
        <f>S19/T19</f>
        <v>0</v>
      </c>
    </row>
    <row r="20" spans="1:21">
      <c r="A20" s="14" t="s">
        <v>829</v>
      </c>
      <c r="B20" s="14" t="s">
        <v>830</v>
      </c>
      <c r="I20" s="57" t="n">
        <v>0</v>
      </c>
      <c r="J20" s="58" t="n">
        <v>0</v>
      </c>
      <c r="K20" s="47"/>
      <c r="L20" s="47"/>
      <c r="M20" s="63" t="n">
        <v>3</v>
      </c>
      <c r="N20" s="47"/>
      <c r="O20" s="47">
        <f>L20+N20</f>
        <v>0</v>
      </c>
      <c r="P20" s="68" t="n">
        <v>9</v>
      </c>
      <c r="Q20" s="78">
        <f>O20/P20</f>
        <v>0</v>
      </c>
      <c r="R20" s="47"/>
      <c r="S20" s="47">
        <f>R20+L20</f>
        <v>0</v>
      </c>
      <c r="T20" s="69">
        <f>P20</f>
        <v>9</v>
      </c>
      <c r="U20" s="78">
        <f>S20/T20</f>
        <v>0</v>
      </c>
    </row>
    <row r="21" spans="1:21">
      <c r="A21" s="44" t="s">
        <v>831</v>
      </c>
      <c r="B21" s="44" t="n">
        <v>2</v>
      </c>
      <c r="I21" s="57" t="n">
        <v>0</v>
      </c>
      <c r="J21" s="58" t="n">
        <v>0</v>
      </c>
      <c r="K21" s="47"/>
      <c r="L21" s="47"/>
      <c r="M21" s="63" t="n">
        <v>3</v>
      </c>
      <c r="N21" s="70"/>
      <c r="O21" s="47">
        <f>L21+N21</f>
        <v>0</v>
      </c>
      <c r="P21" s="68" t="n">
        <v>9</v>
      </c>
      <c r="Q21" s="78">
        <f>O21/P21</f>
        <v>0</v>
      </c>
      <c r="R21" s="47"/>
      <c r="S21" s="47">
        <f>R21+L21</f>
        <v>0</v>
      </c>
      <c r="T21" s="69">
        <f>P21</f>
        <v>9</v>
      </c>
      <c r="U21" s="78">
        <f>S21/T21</f>
        <v>0</v>
      </c>
    </row>
    <row r="22" spans="1:21">
      <c r="A22" s="44" t="s">
        <v>832</v>
      </c>
      <c r="B22" s="44" t="n">
        <v>1.5</v>
      </c>
      <c r="I22" s="57" t="n">
        <v>0</v>
      </c>
      <c r="J22" s="58" t="n">
        <v>0</v>
      </c>
      <c r="K22" s="47"/>
      <c r="L22" s="47"/>
      <c r="M22" s="63" t="n">
        <v>3</v>
      </c>
      <c r="N22" s="47"/>
      <c r="O22" s="47">
        <f>L22+N22</f>
        <v>0</v>
      </c>
      <c r="P22" s="68" t="n">
        <v>9</v>
      </c>
      <c r="Q22" s="78">
        <f>O22/P22</f>
        <v>0</v>
      </c>
      <c r="R22" s="47"/>
      <c r="S22" s="47">
        <f>R22+L22</f>
        <v>0</v>
      </c>
      <c r="T22" s="69">
        <f>P22</f>
        <v>9</v>
      </c>
      <c r="U22" s="78">
        <f>S22/T22</f>
        <v>0</v>
      </c>
    </row>
    <row r="23" spans="1:21">
      <c r="A23" s="44" t="s">
        <v>833</v>
      </c>
      <c r="B23" s="44" t="n">
        <v>1.5</v>
      </c>
      <c r="I23" s="57" t="n">
        <v>0</v>
      </c>
      <c r="J23" s="58" t="n">
        <v>0</v>
      </c>
      <c r="K23" s="47"/>
      <c r="L23" s="47"/>
      <c r="M23" s="63" t="n">
        <v>3</v>
      </c>
      <c r="N23" s="47"/>
      <c r="O23" s="47">
        <f>L23+N23</f>
        <v>0</v>
      </c>
      <c r="P23" s="68" t="n">
        <v>9</v>
      </c>
      <c r="Q23" s="78">
        <f>O23/P23</f>
        <v>0</v>
      </c>
      <c r="R23" s="47"/>
      <c r="S23" s="47">
        <f>R23+L23</f>
        <v>0</v>
      </c>
      <c r="T23" s="69">
        <f>P23</f>
        <v>9</v>
      </c>
      <c r="U23" s="78">
        <f>S23/T23</f>
        <v>0</v>
      </c>
    </row>
    <row r="24" spans="1:21">
      <c r="A24" s="44" t="s">
        <v>834</v>
      </c>
      <c r="B24" s="44" t="n">
        <v>1.5</v>
      </c>
      <c r="I24" s="57" t="n">
        <v>0</v>
      </c>
      <c r="J24" s="58" t="n">
        <v>0</v>
      </c>
      <c r="K24" s="47"/>
      <c r="L24" s="47"/>
      <c r="M24" s="63" t="n">
        <v>3</v>
      </c>
      <c r="N24" s="47"/>
      <c r="O24" s="47">
        <f>L24+N24</f>
        <v>0</v>
      </c>
      <c r="P24" s="68" t="n">
        <v>9</v>
      </c>
      <c r="Q24" s="78">
        <f>O24/P24</f>
        <v>0</v>
      </c>
      <c r="R24" s="47"/>
      <c r="S24" s="47">
        <f>R24+L24</f>
        <v>0</v>
      </c>
      <c r="T24" s="69">
        <f>P24</f>
        <v>9</v>
      </c>
      <c r="U24" s="78">
        <f>S24/T24</f>
        <v>0</v>
      </c>
    </row>
    <row r="25" spans="1:21">
      <c r="A25" s="44" t="s">
        <v>835</v>
      </c>
      <c r="B25" s="44" t="n">
        <v>1.5</v>
      </c>
      <c r="I25" s="57" t="n">
        <v>0</v>
      </c>
      <c r="J25" s="58" t="n">
        <v>0</v>
      </c>
      <c r="K25" s="47"/>
      <c r="L25" s="47"/>
      <c r="M25" s="63" t="n">
        <v>3</v>
      </c>
      <c r="N25" s="47"/>
      <c r="O25" s="47">
        <f>L25+N25</f>
        <v>0</v>
      </c>
      <c r="P25" s="68" t="n">
        <v>9</v>
      </c>
      <c r="Q25" s="78">
        <f>O25/P25</f>
        <v>0</v>
      </c>
      <c r="R25" s="47"/>
      <c r="S25" s="47">
        <f>R25+L25</f>
        <v>0</v>
      </c>
      <c r="T25" s="69">
        <f>P25</f>
        <v>9</v>
      </c>
      <c r="U25" s="78">
        <f>S25/T25</f>
        <v>0</v>
      </c>
    </row>
    <row r="26" spans="1:21">
      <c r="A26" s="44" t="s">
        <v>836</v>
      </c>
      <c r="B26" s="44" t="n">
        <v>1.5</v>
      </c>
      <c r="I26" s="57" t="n">
        <v>0</v>
      </c>
      <c r="J26" s="58" t="n">
        <v>0</v>
      </c>
      <c r="K26" s="47"/>
      <c r="L26" s="47"/>
      <c r="M26" s="63" t="n">
        <v>3</v>
      </c>
      <c r="N26" s="70"/>
      <c r="O26" s="47">
        <f>L26+N26</f>
        <v>0</v>
      </c>
      <c r="P26" s="68" t="n">
        <v>9</v>
      </c>
      <c r="Q26" s="78">
        <f>O26/P26</f>
        <v>0</v>
      </c>
      <c r="R26" s="47"/>
      <c r="S26" s="47">
        <f>R26+L26</f>
        <v>0</v>
      </c>
      <c r="T26" s="69">
        <f>P26</f>
        <v>9</v>
      </c>
      <c r="U26" s="78">
        <f>S26/T26</f>
        <v>0</v>
      </c>
    </row>
    <row r="27" spans="1:21">
      <c r="A27" s="44"/>
      <c r="B27" s="44"/>
      <c r="I27" s="57" t="n">
        <v>0</v>
      </c>
      <c r="J27" s="58" t="n">
        <v>0</v>
      </c>
      <c r="K27" s="47"/>
      <c r="L27" s="47"/>
      <c r="M27" s="63" t="n">
        <v>3</v>
      </c>
      <c r="N27" s="47"/>
      <c r="O27" s="47">
        <f>L27+N27</f>
        <v>0</v>
      </c>
      <c r="P27" s="68" t="n">
        <v>9</v>
      </c>
      <c r="Q27" s="78">
        <f>O27/P27</f>
        <v>0</v>
      </c>
      <c r="R27" s="47"/>
      <c r="S27" s="47">
        <f>R27+L27</f>
        <v>0</v>
      </c>
      <c r="T27" s="69">
        <f>P27</f>
        <v>9</v>
      </c>
      <c r="U27" s="78">
        <f>S27/T27</f>
        <v>0</v>
      </c>
    </row>
    <row r="28" spans="1:21">
      <c r="A28" s="14" t="s">
        <v>837</v>
      </c>
      <c r="B28" s="14" t="s">
        <v>838</v>
      </c>
      <c r="I28" s="57" t="n">
        <v>0</v>
      </c>
      <c r="J28" s="58" t="n">
        <v>0</v>
      </c>
      <c r="K28" s="47"/>
      <c r="L28" s="47"/>
      <c r="M28" s="63" t="n">
        <v>3</v>
      </c>
      <c r="N28" s="47"/>
      <c r="O28" s="47">
        <f>L28+N28</f>
        <v>0</v>
      </c>
      <c r="P28" s="68" t="n">
        <v>9</v>
      </c>
      <c r="Q28" s="78">
        <f>O28/P28</f>
        <v>0</v>
      </c>
      <c r="R28" s="47"/>
      <c r="S28" s="47">
        <f>R28+L28</f>
        <v>0</v>
      </c>
      <c r="T28" s="69">
        <f>P28</f>
        <v>9</v>
      </c>
      <c r="U28" s="78">
        <f>S28/T28</f>
        <v>0</v>
      </c>
    </row>
    <row r="29" spans="1:21">
      <c r="A29" s="44" t="s">
        <v>839</v>
      </c>
      <c r="B29" s="31" t="n">
        <v>9.5</v>
      </c>
      <c r="I29" s="57" t="n">
        <v>0</v>
      </c>
      <c r="J29" s="58" t="n">
        <v>0</v>
      </c>
      <c r="K29" s="47"/>
      <c r="L29" s="47"/>
      <c r="M29" s="63" t="n">
        <v>3</v>
      </c>
      <c r="N29" s="47"/>
      <c r="O29" s="47">
        <f>L29+N29</f>
        <v>0</v>
      </c>
      <c r="P29" s="68" t="n">
        <v>9</v>
      </c>
      <c r="Q29" s="78">
        <f>O29/P29</f>
        <v>0</v>
      </c>
      <c r="R29" s="47"/>
      <c r="S29" s="47">
        <f>R29+L29</f>
        <v>0</v>
      </c>
      <c r="T29" s="69">
        <f>P29</f>
        <v>9</v>
      </c>
      <c r="U29" s="78">
        <f>S29/T29</f>
        <v>0</v>
      </c>
    </row>
    <row r="30" spans="1:21">
      <c r="A30" s="44" t="s">
        <v>840</v>
      </c>
      <c r="B30" s="31" t="n">
        <v>8</v>
      </c>
      <c r="I30" s="57" t="n">
        <v>0</v>
      </c>
      <c r="J30" s="58" t="n">
        <v>0</v>
      </c>
      <c r="K30" s="47"/>
      <c r="L30" s="47"/>
      <c r="M30" s="63" t="n">
        <v>3</v>
      </c>
      <c r="N30" s="47"/>
      <c r="O30" s="47">
        <f>L30+N30</f>
        <v>0</v>
      </c>
      <c r="P30" s="68" t="n">
        <v>9</v>
      </c>
      <c r="Q30" s="78">
        <f>O30/P30</f>
        <v>0</v>
      </c>
      <c r="R30" s="47"/>
      <c r="S30" s="47">
        <f>R30+L30</f>
        <v>0</v>
      </c>
      <c r="T30" s="69">
        <f>P30</f>
        <v>9</v>
      </c>
      <c r="U30" s="78">
        <f>S30/T30</f>
        <v>0</v>
      </c>
    </row>
    <row r="31" spans="1:21">
      <c r="A31" s="44" t="s">
        <v>841</v>
      </c>
      <c r="B31" s="31">
        <f>B30-1.5</f>
        <v>6.5</v>
      </c>
      <c r="I31" s="57" t="n">
        <v>0</v>
      </c>
      <c r="J31" s="58" t="n">
        <v>0</v>
      </c>
      <c r="K31" s="47"/>
      <c r="L31" s="47"/>
      <c r="M31" s="63" t="n">
        <v>3</v>
      </c>
      <c r="N31" s="70"/>
      <c r="O31" s="47">
        <f>L31+N31</f>
        <v>0</v>
      </c>
      <c r="P31" s="68" t="n">
        <v>9</v>
      </c>
      <c r="Q31" s="78">
        <f>O31/P31</f>
        <v>0</v>
      </c>
      <c r="R31" s="47"/>
      <c r="S31" s="47">
        <f>R31+L31</f>
        <v>0</v>
      </c>
      <c r="T31" s="69">
        <f>P31</f>
        <v>9</v>
      </c>
      <c r="U31" s="78">
        <f>S31/T31</f>
        <v>0</v>
      </c>
    </row>
    <row r="32" spans="1:21">
      <c r="A32" s="44" t="s">
        <v>842</v>
      </c>
      <c r="B32" s="31">
        <f>B31-1.5</f>
        <v>5</v>
      </c>
      <c r="I32" s="57" t="n">
        <v>0</v>
      </c>
      <c r="J32" s="58" t="n">
        <v>0</v>
      </c>
      <c r="K32" s="47"/>
      <c r="L32" s="47"/>
      <c r="M32" s="63" t="n">
        <v>3</v>
      </c>
      <c r="N32" s="47"/>
      <c r="O32" s="47">
        <f>L32+N32</f>
        <v>0</v>
      </c>
      <c r="P32" s="68" t="n">
        <v>9</v>
      </c>
      <c r="Q32" s="78">
        <f>O32/P32</f>
        <v>0</v>
      </c>
      <c r="R32" s="47"/>
      <c r="S32" s="47">
        <f>R32+L32</f>
        <v>0</v>
      </c>
      <c r="T32" s="69">
        <f>P32</f>
        <v>9</v>
      </c>
      <c r="U32" s="78">
        <f>S32/T32</f>
        <v>0</v>
      </c>
    </row>
    <row r="33" spans="1:21">
      <c r="A33" s="44" t="s">
        <v>843</v>
      </c>
      <c r="B33" s="31">
        <f>2+1.5</f>
        <v>3.5</v>
      </c>
      <c r="I33" s="57" t="n">
        <v>0</v>
      </c>
      <c r="J33" s="58" t="n">
        <v>0</v>
      </c>
      <c r="K33" s="47"/>
      <c r="L33" s="47"/>
      <c r="M33" s="63" t="n">
        <v>3</v>
      </c>
      <c r="N33" s="47"/>
      <c r="O33" s="47">
        <f>L33+N33</f>
        <v>0</v>
      </c>
      <c r="P33" s="68" t="n">
        <v>9</v>
      </c>
      <c r="Q33" s="78">
        <f>O33/P33</f>
        <v>0</v>
      </c>
      <c r="R33" s="47"/>
      <c r="S33" s="47">
        <f>R33+L33</f>
        <v>0</v>
      </c>
      <c r="T33" s="69">
        <f>P33</f>
        <v>9</v>
      </c>
      <c r="U33" s="78">
        <f>S33/T33</f>
        <v>0</v>
      </c>
    </row>
    <row r="34" spans="1:21">
      <c r="A34" s="44" t="s">
        <v>844</v>
      </c>
      <c r="B34" s="31" t="n">
        <v>2</v>
      </c>
      <c r="I34" s="57" t="n">
        <v>0</v>
      </c>
      <c r="J34" s="58" t="n">
        <v>0</v>
      </c>
      <c r="K34" s="47"/>
      <c r="L34" s="47"/>
      <c r="M34" s="63" t="n">
        <v>3</v>
      </c>
      <c r="N34" s="47"/>
      <c r="O34" s="47">
        <f>L34+N34</f>
        <v>0</v>
      </c>
      <c r="P34" s="68" t="n">
        <v>9</v>
      </c>
      <c r="Q34" s="78">
        <f>O34/P34</f>
        <v>0</v>
      </c>
      <c r="R34" s="47"/>
      <c r="S34" s="47">
        <f>R34+L34</f>
        <v>0</v>
      </c>
      <c r="T34" s="69">
        <f>P34</f>
        <v>9</v>
      </c>
      <c r="U34" s="78">
        <f>S34/T34</f>
        <v>0</v>
      </c>
    </row>
    <row r="35" spans="1:21">
      <c r="A35" s="44" t="s">
        <v>845</v>
      </c>
      <c r="B35" s="31" t="n">
        <v>1</v>
      </c>
      <c r="I35" s="57" t="n">
        <v>0</v>
      </c>
      <c r="J35" s="58" t="n">
        <v>0</v>
      </c>
      <c r="K35" s="47"/>
      <c r="L35" s="47"/>
      <c r="M35" s="63" t="n">
        <v>3</v>
      </c>
      <c r="N35" s="47"/>
      <c r="O35" s="47">
        <f>L35+N35</f>
        <v>0</v>
      </c>
      <c r="P35" s="68" t="n">
        <v>9</v>
      </c>
      <c r="Q35" s="78">
        <f>O35/P35</f>
        <v>0</v>
      </c>
      <c r="R35" s="47"/>
      <c r="S35" s="47">
        <f>R35+L35</f>
        <v>0</v>
      </c>
      <c r="T35" s="69">
        <f>P35</f>
        <v>9</v>
      </c>
      <c r="U35" s="78">
        <f>S35/T35</f>
        <v>0</v>
      </c>
    </row>
    <row r="36" spans="9:21">
      <c r="I36" s="57" t="n">
        <v>0</v>
      </c>
      <c r="J36" s="58" t="n">
        <v>0</v>
      </c>
      <c r="K36" s="47"/>
      <c r="L36" s="47"/>
      <c r="M36" s="63" t="n">
        <v>3</v>
      </c>
      <c r="N36" s="70"/>
      <c r="O36" s="47">
        <f>L36+N36</f>
        <v>0</v>
      </c>
      <c r="P36" s="68" t="n">
        <v>9</v>
      </c>
      <c r="Q36" s="78">
        <f>O36/P36</f>
        <v>0</v>
      </c>
      <c r="R36" s="47"/>
      <c r="S36" s="47">
        <f>R36+L36</f>
        <v>0</v>
      </c>
      <c r="T36" s="69">
        <f>P36</f>
        <v>9</v>
      </c>
      <c r="U36" s="78">
        <f>S36/T36</f>
        <v>0</v>
      </c>
    </row>
    <row r="37" spans="9:21">
      <c r="I37" s="57" t="n">
        <v>0</v>
      </c>
      <c r="J37" s="58" t="n">
        <v>0</v>
      </c>
      <c r="K37" s="47"/>
      <c r="L37" s="47"/>
      <c r="M37" s="63" t="n">
        <v>3</v>
      </c>
      <c r="N37" s="47"/>
      <c r="O37" s="47">
        <f>L37+N37</f>
        <v>0</v>
      </c>
      <c r="P37" s="68" t="n">
        <v>9</v>
      </c>
      <c r="Q37" s="78">
        <f>O37/P37</f>
        <v>0</v>
      </c>
      <c r="R37" s="47"/>
      <c r="S37" s="47">
        <f>R37+L37</f>
        <v>0</v>
      </c>
      <c r="T37" s="69">
        <f>P37</f>
        <v>9</v>
      </c>
      <c r="U37" s="78">
        <f>S37/T37</f>
        <v>0</v>
      </c>
    </row>
    <row r="38" spans="9:21">
      <c r="I38" s="57" t="n">
        <v>0</v>
      </c>
      <c r="J38" s="58" t="n">
        <v>0</v>
      </c>
      <c r="K38" s="47"/>
      <c r="L38" s="47"/>
      <c r="M38" s="63" t="n">
        <v>3</v>
      </c>
      <c r="N38" s="47"/>
      <c r="O38" s="47">
        <f>L38+N38</f>
        <v>0</v>
      </c>
      <c r="P38" s="68" t="n">
        <v>9</v>
      </c>
      <c r="Q38" s="78">
        <f>O38/P38</f>
        <v>0</v>
      </c>
      <c r="R38" s="47"/>
      <c r="S38" s="47">
        <f>R38+L38</f>
        <v>0</v>
      </c>
      <c r="T38" s="69">
        <f>P38</f>
        <v>9</v>
      </c>
      <c r="U38" s="78">
        <f>S38/T38</f>
        <v>0</v>
      </c>
    </row>
    <row r="39" spans="9:21">
      <c r="I39" s="57" t="n">
        <v>0</v>
      </c>
      <c r="J39" s="58" t="n">
        <v>0</v>
      </c>
      <c r="K39" s="47"/>
      <c r="L39" s="47"/>
      <c r="M39" s="63" t="n">
        <v>3</v>
      </c>
      <c r="N39" s="47"/>
      <c r="O39" s="47">
        <f>L39+N39</f>
        <v>0</v>
      </c>
      <c r="P39" s="68" t="n">
        <v>9</v>
      </c>
      <c r="Q39" s="78">
        <f>O39/P39</f>
        <v>0</v>
      </c>
      <c r="R39" s="47"/>
      <c r="S39" s="47">
        <f>R39+L39</f>
        <v>0</v>
      </c>
      <c r="T39" s="69">
        <f>P39</f>
        <v>9</v>
      </c>
      <c r="U39" s="78">
        <f>S39/T39</f>
        <v>0</v>
      </c>
    </row>
    <row r="40" spans="9:21">
      <c r="I40" s="57" t="n">
        <v>0</v>
      </c>
      <c r="J40" s="58" t="n">
        <v>0</v>
      </c>
      <c r="K40" s="47"/>
      <c r="L40" s="47"/>
      <c r="M40" s="63" t="n">
        <v>3</v>
      </c>
      <c r="N40" s="47"/>
      <c r="O40" s="47">
        <f>L40+N40</f>
        <v>0</v>
      </c>
      <c r="P40" s="68" t="n">
        <v>9</v>
      </c>
      <c r="Q40" s="78">
        <f>O40/P40</f>
        <v>0</v>
      </c>
      <c r="R40" s="47"/>
      <c r="S40" s="47">
        <f>R40+L40</f>
        <v>0</v>
      </c>
      <c r="T40" s="69">
        <f>P40</f>
        <v>9</v>
      </c>
      <c r="U40" s="78">
        <f>S40/T40</f>
        <v>0</v>
      </c>
    </row>
    <row r="41" spans="9:21">
      <c r="I41" s="57" t="n">
        <v>0</v>
      </c>
      <c r="J41" s="58" t="n">
        <v>0</v>
      </c>
      <c r="K41" s="47"/>
      <c r="L41" s="47"/>
      <c r="M41" s="63" t="n">
        <v>3</v>
      </c>
      <c r="N41" s="70"/>
      <c r="O41" s="47">
        <f>L41+N41</f>
        <v>0</v>
      </c>
      <c r="P41" s="68" t="n">
        <v>9</v>
      </c>
      <c r="Q41" s="78">
        <f>O41/P41</f>
        <v>0</v>
      </c>
      <c r="R41" s="47"/>
      <c r="S41" s="47">
        <f>R41+L41</f>
        <v>0</v>
      </c>
      <c r="T41" s="69">
        <f>P41</f>
        <v>9</v>
      </c>
      <c r="U41" s="78">
        <f>S41/T41</f>
        <v>0</v>
      </c>
    </row>
    <row r="42" spans="9:21">
      <c r="I42" s="57" t="n">
        <v>0</v>
      </c>
      <c r="J42" s="58" t="n">
        <v>0</v>
      </c>
      <c r="K42" s="47"/>
      <c r="L42" s="47"/>
      <c r="M42" s="63" t="n">
        <v>3</v>
      </c>
      <c r="N42" s="47"/>
      <c r="O42" s="47">
        <f>L42+N42</f>
        <v>0</v>
      </c>
      <c r="P42" s="68" t="n">
        <v>9</v>
      </c>
      <c r="Q42" s="78">
        <f>O42/P42</f>
        <v>0</v>
      </c>
      <c r="R42" s="47"/>
      <c r="S42" s="47">
        <f>R42+L42</f>
        <v>0</v>
      </c>
      <c r="T42" s="69">
        <f>P42</f>
        <v>9</v>
      </c>
      <c r="U42" s="78">
        <f>S42/T42</f>
        <v>0</v>
      </c>
    </row>
    <row r="43" spans="9:21">
      <c r="I43" s="57" t="n">
        <v>0</v>
      </c>
      <c r="J43" s="58" t="n">
        <v>0</v>
      </c>
      <c r="K43" s="47"/>
      <c r="L43" s="47"/>
      <c r="M43" s="63" t="n">
        <v>3</v>
      </c>
      <c r="N43" s="47"/>
      <c r="O43" s="47">
        <f>L43+N43</f>
        <v>0</v>
      </c>
      <c r="P43" s="68" t="n">
        <v>9</v>
      </c>
      <c r="Q43" s="78">
        <f>O43/P43</f>
        <v>0</v>
      </c>
      <c r="R43" s="47"/>
      <c r="S43" s="47">
        <f>R43+L43</f>
        <v>0</v>
      </c>
      <c r="T43" s="69">
        <f>P43</f>
        <v>9</v>
      </c>
      <c r="U43" s="78">
        <f>S43/T43</f>
        <v>0</v>
      </c>
    </row>
    <row r="44" spans="9:21">
      <c r="I44" s="57" t="n">
        <v>0</v>
      </c>
      <c r="J44" s="58" t="n">
        <v>0</v>
      </c>
      <c r="K44" s="47"/>
      <c r="L44" s="47"/>
      <c r="M44" s="63" t="n">
        <v>3</v>
      </c>
      <c r="N44" s="47"/>
      <c r="O44" s="47">
        <f>L44+N44</f>
        <v>0</v>
      </c>
      <c r="P44" s="68" t="n">
        <v>9</v>
      </c>
      <c r="Q44" s="78">
        <f>O44/P44</f>
        <v>0</v>
      </c>
      <c r="R44" s="47"/>
      <c r="S44" s="47">
        <f>R44+L44</f>
        <v>0</v>
      </c>
      <c r="T44" s="69">
        <f>P44</f>
        <v>9</v>
      </c>
      <c r="U44" s="78">
        <f>S44/T44</f>
        <v>0</v>
      </c>
    </row>
    <row r="45" spans="9:21">
      <c r="I45" s="57" t="n">
        <v>0</v>
      </c>
      <c r="J45" s="58" t="n">
        <v>0</v>
      </c>
      <c r="K45" s="47"/>
      <c r="L45" s="47"/>
      <c r="M45" s="63" t="n">
        <v>3</v>
      </c>
      <c r="N45" s="47"/>
      <c r="O45" s="47">
        <f>L45+N45</f>
        <v>0</v>
      </c>
      <c r="P45" s="68" t="n">
        <v>9</v>
      </c>
      <c r="Q45" s="78">
        <f>O45/P45</f>
        <v>0</v>
      </c>
      <c r="R45" s="47"/>
      <c r="S45" s="47">
        <f>R45+L45</f>
        <v>0</v>
      </c>
      <c r="T45" s="69">
        <f>P45</f>
        <v>9</v>
      </c>
      <c r="U45" s="78">
        <f>S45/T45</f>
        <v>0</v>
      </c>
    </row>
    <row r="46" spans="9:21">
      <c r="I46" s="57" t="n">
        <v>0</v>
      </c>
      <c r="J46" s="58" t="n">
        <v>0</v>
      </c>
      <c r="K46" s="47"/>
      <c r="L46" s="47"/>
      <c r="M46" s="63" t="n">
        <v>3</v>
      </c>
      <c r="N46" s="47"/>
      <c r="O46" s="47">
        <f>L46+N46</f>
        <v>0</v>
      </c>
      <c r="P46" s="68" t="n">
        <v>9</v>
      </c>
      <c r="Q46" s="78">
        <f>O46/P46</f>
        <v>0</v>
      </c>
      <c r="R46" s="47"/>
      <c r="S46" s="47">
        <f>R46+L46</f>
        <v>0</v>
      </c>
      <c r="T46" s="69">
        <f>P46</f>
        <v>9</v>
      </c>
      <c r="U46" s="78">
        <f>S46/T46</f>
        <v>0</v>
      </c>
    </row>
    <row r="47" spans="9:21">
      <c r="I47" s="57" t="n">
        <v>0</v>
      </c>
      <c r="J47" s="58" t="n">
        <v>0</v>
      </c>
      <c r="K47" s="47"/>
      <c r="L47" s="47"/>
      <c r="M47" s="63" t="n">
        <v>3</v>
      </c>
      <c r="N47" s="70"/>
      <c r="O47" s="47">
        <f>L47+N47</f>
        <v>0</v>
      </c>
      <c r="P47" s="68" t="n">
        <v>9</v>
      </c>
      <c r="Q47" s="78">
        <f>O47/P47</f>
        <v>0</v>
      </c>
      <c r="R47" s="47"/>
      <c r="S47" s="47">
        <f>R47+L47</f>
        <v>0</v>
      </c>
      <c r="T47" s="69">
        <f>P47</f>
        <v>9</v>
      </c>
      <c r="U47" s="78">
        <f>S47/T47</f>
        <v>0</v>
      </c>
    </row>
    <row r="48" spans="9:21">
      <c r="I48" s="57" t="n">
        <v>0</v>
      </c>
      <c r="J48" s="58" t="n">
        <v>0</v>
      </c>
      <c r="K48" s="47"/>
      <c r="L48" s="47"/>
      <c r="M48" s="63" t="n">
        <v>3</v>
      </c>
      <c r="N48" s="47"/>
      <c r="O48" s="47">
        <f>L48+N48</f>
        <v>0</v>
      </c>
      <c r="P48" s="68" t="n">
        <v>9</v>
      </c>
      <c r="Q48" s="78">
        <f>O48/P48</f>
        <v>0</v>
      </c>
      <c r="R48" s="47"/>
      <c r="S48" s="47">
        <f>R48+L48</f>
        <v>0</v>
      </c>
      <c r="T48" s="69">
        <f>P48</f>
        <v>9</v>
      </c>
      <c r="U48" s="78">
        <f>S48/T48</f>
        <v>0</v>
      </c>
    </row>
    <row r="49" spans="9:21">
      <c r="I49" s="57" t="n">
        <v>0</v>
      </c>
      <c r="J49" s="58" t="n">
        <v>0</v>
      </c>
      <c r="K49" s="47"/>
      <c r="L49" s="47"/>
      <c r="M49" s="63" t="n">
        <v>3</v>
      </c>
      <c r="N49" s="47"/>
      <c r="O49" s="47">
        <f>L49+N49</f>
        <v>0</v>
      </c>
      <c r="P49" s="68" t="n">
        <v>9</v>
      </c>
      <c r="Q49" s="78">
        <f>O49/P49</f>
        <v>0</v>
      </c>
      <c r="R49" s="47"/>
      <c r="S49" s="47">
        <f>R49+L49</f>
        <v>0</v>
      </c>
      <c r="T49" s="69">
        <f>P49</f>
        <v>9</v>
      </c>
      <c r="U49" s="78">
        <f>S49/T49</f>
        <v>0</v>
      </c>
    </row>
    <row r="50" spans="1:21">
      <c r="A50" s="25"/>
      <c r="I50" s="57" t="n">
        <v>0</v>
      </c>
      <c r="J50" s="58" t="n">
        <v>0</v>
      </c>
      <c r="K50" s="47"/>
      <c r="L50" s="47"/>
      <c r="M50" s="63" t="n">
        <v>3</v>
      </c>
      <c r="N50" s="47"/>
      <c r="O50" s="47">
        <f>L50+N50</f>
        <v>0</v>
      </c>
      <c r="P50" s="68" t="n">
        <v>9</v>
      </c>
      <c r="Q50" s="78">
        <f>O50/P50</f>
        <v>0</v>
      </c>
      <c r="R50" s="47"/>
      <c r="S50" s="47">
        <f>R50+L50</f>
        <v>0</v>
      </c>
      <c r="T50" s="69">
        <f>P50</f>
        <v>9</v>
      </c>
      <c r="U50" s="78">
        <f>S50/T50</f>
        <v>0</v>
      </c>
    </row>
    <row r="51" spans="1:21">
      <c r="A51" s="25"/>
      <c r="I51" s="57" t="n">
        <v>0</v>
      </c>
      <c r="J51" s="58" t="n">
        <v>0</v>
      </c>
      <c r="K51" s="47"/>
      <c r="L51" s="47"/>
      <c r="M51" s="63" t="n">
        <v>3</v>
      </c>
      <c r="N51" s="47"/>
      <c r="O51" s="47">
        <f>L51+N51</f>
        <v>0</v>
      </c>
      <c r="P51" s="68" t="n">
        <v>9</v>
      </c>
      <c r="Q51" s="78">
        <f>O51/P51</f>
        <v>0</v>
      </c>
      <c r="R51" s="47"/>
      <c r="S51" s="47">
        <f>R51+L51</f>
        <v>0</v>
      </c>
      <c r="T51" s="69">
        <f>P51</f>
        <v>9</v>
      </c>
      <c r="U51" s="78">
        <f>S51/T51</f>
        <v>0</v>
      </c>
    </row>
    <row r="52" spans="1:21">
      <c r="A52" s="25"/>
      <c r="I52" s="57" t="n">
        <v>0</v>
      </c>
      <c r="J52" s="58" t="n">
        <v>0</v>
      </c>
      <c r="K52" s="47"/>
      <c r="L52" s="47"/>
      <c r="M52" s="63" t="n">
        <v>3</v>
      </c>
      <c r="N52" s="70"/>
      <c r="O52" s="47">
        <f>L52+N52</f>
        <v>0</v>
      </c>
      <c r="P52" s="68" t="n">
        <v>9</v>
      </c>
      <c r="Q52" s="78">
        <f>O52/P52</f>
        <v>0</v>
      </c>
      <c r="R52" s="47"/>
      <c r="S52" s="47">
        <f>R52+L52</f>
        <v>0</v>
      </c>
      <c r="T52" s="69">
        <f>P52</f>
        <v>9</v>
      </c>
      <c r="U52" s="78">
        <f>S52/T52</f>
        <v>0</v>
      </c>
    </row>
    <row r="53" spans="9:21">
      <c r="I53" s="57" t="n">
        <v>0</v>
      </c>
      <c r="J53" s="58" t="n">
        <v>0</v>
      </c>
      <c r="K53" s="47"/>
      <c r="L53" s="47"/>
      <c r="M53" s="63" t="n">
        <v>3</v>
      </c>
      <c r="N53" s="47"/>
      <c r="O53" s="47">
        <f>L53+N53</f>
        <v>0</v>
      </c>
      <c r="P53" s="68" t="n">
        <v>9</v>
      </c>
      <c r="Q53" s="78">
        <f>O53/P53</f>
        <v>0</v>
      </c>
      <c r="R53" s="47"/>
      <c r="S53" s="47">
        <f>R53+L53</f>
        <v>0</v>
      </c>
      <c r="T53" s="69">
        <f>P53</f>
        <v>9</v>
      </c>
      <c r="U53" s="78">
        <f>S53/T53</f>
        <v>0</v>
      </c>
    </row>
    <row r="54" spans="9:21">
      <c r="I54" s="57" t="n">
        <v>0</v>
      </c>
      <c r="J54" s="58" t="n">
        <v>0</v>
      </c>
      <c r="K54" s="47"/>
      <c r="L54" s="47"/>
      <c r="M54" s="63" t="n">
        <v>3</v>
      </c>
      <c r="N54" s="47"/>
      <c r="O54" s="47">
        <f>L54+N54</f>
        <v>0</v>
      </c>
      <c r="P54" s="68" t="n">
        <v>9</v>
      </c>
      <c r="Q54" s="78">
        <f>O54/P54</f>
        <v>0</v>
      </c>
      <c r="R54" s="47"/>
      <c r="S54" s="47">
        <f>R54+L54</f>
        <v>0</v>
      </c>
      <c r="T54" s="69">
        <f>P54</f>
        <v>9</v>
      </c>
      <c r="U54" s="78">
        <f>S54/T54</f>
        <v>0</v>
      </c>
    </row>
    <row r="55" spans="9:21">
      <c r="I55" s="57" t="n">
        <v>0</v>
      </c>
      <c r="J55" s="58" t="n">
        <v>0</v>
      </c>
      <c r="K55" s="47"/>
      <c r="L55" s="47"/>
      <c r="M55" s="63" t="n">
        <v>3</v>
      </c>
      <c r="N55" s="47"/>
      <c r="O55" s="47">
        <f>L55+N55</f>
        <v>0</v>
      </c>
      <c r="P55" s="68" t="n">
        <v>9</v>
      </c>
      <c r="Q55" s="78">
        <f>O55/P55</f>
        <v>0</v>
      </c>
      <c r="R55" s="47"/>
      <c r="S55" s="47">
        <f>R55+L55</f>
        <v>0</v>
      </c>
      <c r="T55" s="69">
        <f>P55</f>
        <v>9</v>
      </c>
      <c r="U55" s="78">
        <f>S55/T55</f>
        <v>0</v>
      </c>
    </row>
    <row r="56" spans="9:21">
      <c r="I56" s="57" t="n">
        <v>0</v>
      </c>
      <c r="J56" s="58" t="n">
        <v>0</v>
      </c>
      <c r="K56" s="47"/>
      <c r="L56" s="47"/>
      <c r="M56" s="63" t="n">
        <v>3</v>
      </c>
      <c r="N56" s="47"/>
      <c r="O56" s="47">
        <f>L56+N56</f>
        <v>0</v>
      </c>
      <c r="P56" s="68" t="n">
        <v>9</v>
      </c>
      <c r="Q56" s="78">
        <f>O56/P56</f>
        <v>0</v>
      </c>
      <c r="R56" s="47"/>
      <c r="S56" s="47">
        <f>R56+L56</f>
        <v>0</v>
      </c>
      <c r="T56" s="69">
        <f>P56</f>
        <v>9</v>
      </c>
      <c r="U56" s="78">
        <f>S56/T56</f>
        <v>0</v>
      </c>
    </row>
    <row r="57" spans="1:21">
      <c r="A57" s="25"/>
      <c r="I57" s="57" t="n">
        <v>0</v>
      </c>
      <c r="J57" s="58" t="n">
        <v>0</v>
      </c>
      <c r="K57" s="47"/>
      <c r="L57" s="47"/>
      <c r="M57" s="63" t="n">
        <v>3</v>
      </c>
      <c r="N57" s="47"/>
      <c r="O57" s="47">
        <f>L57+N57</f>
        <v>0</v>
      </c>
      <c r="P57" s="68" t="n">
        <v>9</v>
      </c>
      <c r="Q57" s="78">
        <f>O57/P57</f>
        <v>0</v>
      </c>
      <c r="R57" s="47"/>
      <c r="S57" s="47">
        <f>R57+L57</f>
        <v>0</v>
      </c>
      <c r="T57" s="69">
        <f>P57</f>
        <v>9</v>
      </c>
      <c r="U57" s="78">
        <f>S57/T57</f>
        <v>0</v>
      </c>
    </row>
    <row r="58" spans="1:21">
      <c r="A58" s="25"/>
      <c r="I58" s="57" t="n">
        <v>0</v>
      </c>
      <c r="J58" s="58" t="n">
        <v>0</v>
      </c>
      <c r="K58" s="47"/>
      <c r="L58" s="47"/>
      <c r="M58" s="63" t="n">
        <v>3</v>
      </c>
      <c r="N58" s="70"/>
      <c r="O58" s="47">
        <f>L58+N58</f>
        <v>0</v>
      </c>
      <c r="P58" s="68" t="n">
        <v>9</v>
      </c>
      <c r="Q58" s="78">
        <f>O58/P58</f>
        <v>0</v>
      </c>
      <c r="R58" s="47"/>
      <c r="S58" s="47">
        <f>R58+L58</f>
        <v>0</v>
      </c>
      <c r="T58" s="69">
        <f>P58</f>
        <v>9</v>
      </c>
      <c r="U58" s="78">
        <f>S58/T58</f>
        <v>0</v>
      </c>
    </row>
    <row r="59" spans="1:21">
      <c r="A59" s="25"/>
      <c r="I59" s="57" t="n">
        <v>0</v>
      </c>
      <c r="J59" s="58" t="n">
        <v>0</v>
      </c>
      <c r="K59" s="47"/>
      <c r="L59" s="47"/>
      <c r="M59" s="63" t="n">
        <v>3</v>
      </c>
      <c r="N59" s="47"/>
      <c r="O59" s="47">
        <f>L59+N59</f>
        <v>0</v>
      </c>
      <c r="P59" s="68" t="n">
        <v>9</v>
      </c>
      <c r="Q59" s="78">
        <f>O59/P59</f>
        <v>0</v>
      </c>
      <c r="R59" s="47"/>
      <c r="S59" s="47">
        <f>R59+L59</f>
        <v>0</v>
      </c>
      <c r="T59" s="69">
        <f>P59</f>
        <v>9</v>
      </c>
      <c r="U59" s="78">
        <f>S59/T59</f>
        <v>0</v>
      </c>
    </row>
    <row r="60" spans="9:21">
      <c r="I60" s="57" t="n">
        <v>0</v>
      </c>
      <c r="J60" s="58" t="n">
        <v>0</v>
      </c>
      <c r="K60" s="47"/>
      <c r="L60" s="47"/>
      <c r="M60" s="63" t="n">
        <v>3</v>
      </c>
      <c r="N60" s="47"/>
      <c r="O60" s="47">
        <f>L60+N60</f>
        <v>0</v>
      </c>
      <c r="P60" s="68" t="n">
        <v>9</v>
      </c>
      <c r="Q60" s="78">
        <f>O60/P60</f>
        <v>0</v>
      </c>
      <c r="R60" s="47"/>
      <c r="S60" s="47">
        <f>R60+L60</f>
        <v>0</v>
      </c>
      <c r="T60" s="69">
        <f>P60</f>
        <v>9</v>
      </c>
      <c r="U60" s="78">
        <f>S60/T60</f>
        <v>0</v>
      </c>
    </row>
    <row r="61" spans="9:21">
      <c r="I61" s="57" t="n">
        <v>0</v>
      </c>
      <c r="J61" s="58" t="n">
        <v>0</v>
      </c>
      <c r="K61" s="47"/>
      <c r="L61" s="47"/>
      <c r="M61" s="63" t="n">
        <v>3</v>
      </c>
      <c r="N61" s="47"/>
      <c r="O61" s="47">
        <f>L61+N61</f>
        <v>0</v>
      </c>
      <c r="P61" s="68" t="n">
        <v>9</v>
      </c>
      <c r="Q61" s="78">
        <f>O61/P61</f>
        <v>0</v>
      </c>
      <c r="R61" s="47"/>
      <c r="S61" s="47">
        <f>R61+L61</f>
        <v>0</v>
      </c>
      <c r="T61" s="69">
        <f>P61</f>
        <v>9</v>
      </c>
      <c r="U61" s="78">
        <f>S61/T61</f>
        <v>0</v>
      </c>
    </row>
    <row r="62" spans="9:21">
      <c r="I62" s="57" t="n">
        <v>0</v>
      </c>
      <c r="J62" s="58" t="n">
        <v>0</v>
      </c>
      <c r="K62" s="47"/>
      <c r="L62" s="47"/>
      <c r="M62" s="63" t="n">
        <v>3</v>
      </c>
      <c r="N62" s="47"/>
      <c r="O62" s="47">
        <f>L62+N62</f>
        <v>0</v>
      </c>
      <c r="P62" s="68" t="n">
        <v>9</v>
      </c>
      <c r="Q62" s="78">
        <f>O62/P62</f>
        <v>0</v>
      </c>
      <c r="R62" s="47"/>
      <c r="S62" s="47">
        <f>R62+L62</f>
        <v>0</v>
      </c>
      <c r="T62" s="69">
        <f>P62</f>
        <v>9</v>
      </c>
      <c r="U62" s="78">
        <f>S62/T62</f>
        <v>0</v>
      </c>
    </row>
    <row r="63" spans="9:21">
      <c r="I63" s="57" t="n">
        <v>0</v>
      </c>
      <c r="J63" s="58" t="n">
        <v>0</v>
      </c>
      <c r="K63" s="47"/>
      <c r="L63" s="47"/>
      <c r="M63" s="63" t="n">
        <v>3</v>
      </c>
      <c r="N63" s="70"/>
      <c r="O63" s="47">
        <f>L63+N63</f>
        <v>0</v>
      </c>
      <c r="P63" s="68" t="n">
        <v>9</v>
      </c>
      <c r="Q63" s="78">
        <f>O63/P63</f>
        <v>0</v>
      </c>
      <c r="R63" s="47"/>
      <c r="S63" s="47">
        <f>R63+L63</f>
        <v>0</v>
      </c>
      <c r="T63" s="69">
        <f>P63</f>
        <v>9</v>
      </c>
      <c r="U63" s="78">
        <f>S63/T63</f>
        <v>0</v>
      </c>
    </row>
    <row r="64" spans="9:21">
      <c r="I64" s="57" t="n">
        <v>0</v>
      </c>
      <c r="J64" s="58" t="n">
        <v>0</v>
      </c>
      <c r="K64" s="47"/>
      <c r="L64" s="47"/>
      <c r="M64" s="63" t="n">
        <v>3</v>
      </c>
      <c r="N64" s="47"/>
      <c r="O64" s="47">
        <f>L64+N64</f>
        <v>0</v>
      </c>
      <c r="P64" s="68" t="n">
        <v>9</v>
      </c>
      <c r="Q64" s="78">
        <f>O64/P64</f>
        <v>0</v>
      </c>
      <c r="R64" s="47"/>
      <c r="S64" s="47">
        <f>R64+L64</f>
        <v>0</v>
      </c>
      <c r="T64" s="69">
        <f>P64</f>
        <v>9</v>
      </c>
      <c r="U64" s="78">
        <f>S64/T64</f>
        <v>0</v>
      </c>
    </row>
    <row r="65" spans="9:21">
      <c r="I65" s="57" t="n">
        <v>0</v>
      </c>
      <c r="J65" s="58" t="n">
        <v>0</v>
      </c>
      <c r="K65" s="47"/>
      <c r="L65" s="47"/>
      <c r="M65" s="63" t="n">
        <v>3</v>
      </c>
      <c r="N65" s="47"/>
      <c r="O65" s="47">
        <f>L65+N65</f>
        <v>0</v>
      </c>
      <c r="P65" s="68" t="n">
        <v>9</v>
      </c>
      <c r="Q65" s="78">
        <f>O65/P65</f>
        <v>0</v>
      </c>
      <c r="R65" s="47"/>
      <c r="S65" s="47">
        <f>R65+L65</f>
        <v>0</v>
      </c>
      <c r="T65" s="69">
        <f>P65</f>
        <v>9</v>
      </c>
      <c r="U65" s="78">
        <f>S65/T65</f>
        <v>0</v>
      </c>
    </row>
    <row r="66" spans="9:21">
      <c r="I66" s="57" t="n">
        <v>0</v>
      </c>
      <c r="J66" s="58" t="n">
        <v>0</v>
      </c>
      <c r="K66" s="47"/>
      <c r="L66" s="47"/>
      <c r="M66" s="63" t="n">
        <v>3</v>
      </c>
      <c r="N66" s="47"/>
      <c r="O66" s="47">
        <f>L66+N66</f>
        <v>0</v>
      </c>
      <c r="P66" s="68" t="n">
        <v>9</v>
      </c>
      <c r="Q66" s="78">
        <f>O66/P66</f>
        <v>0</v>
      </c>
      <c r="R66" s="47"/>
      <c r="S66" s="47">
        <f>R66+L66</f>
        <v>0</v>
      </c>
      <c r="T66" s="69">
        <f>P66</f>
        <v>9</v>
      </c>
      <c r="U66" s="78">
        <f>S66/T66</f>
        <v>0</v>
      </c>
    </row>
    <row r="67" spans="9:21">
      <c r="I67" s="57" t="n">
        <v>0</v>
      </c>
      <c r="J67" s="58" t="n">
        <v>0</v>
      </c>
      <c r="K67" s="47"/>
      <c r="L67" s="47"/>
      <c r="M67" s="63" t="n">
        <v>3</v>
      </c>
      <c r="N67" s="47"/>
      <c r="O67" s="47">
        <f>L67+N67</f>
        <v>0</v>
      </c>
      <c r="P67" s="68" t="n">
        <v>9</v>
      </c>
      <c r="Q67" s="78">
        <f>O67/P67</f>
        <v>0</v>
      </c>
      <c r="R67" s="47"/>
      <c r="S67" s="47">
        <f>R67+L67</f>
        <v>0</v>
      </c>
      <c r="T67" s="69">
        <f>P67</f>
        <v>9</v>
      </c>
      <c r="U67" s="78">
        <f>S67/T67</f>
        <v>0</v>
      </c>
    </row>
    <row r="68" spans="9:21">
      <c r="I68" s="57" t="n">
        <v>0</v>
      </c>
      <c r="J68" s="58" t="n">
        <v>0</v>
      </c>
      <c r="K68" s="47"/>
      <c r="L68" s="47"/>
      <c r="M68" s="63" t="n">
        <v>3</v>
      </c>
      <c r="N68" s="47"/>
      <c r="O68" s="47">
        <f>L68+N68</f>
        <v>0</v>
      </c>
      <c r="P68" s="68" t="n">
        <v>9</v>
      </c>
      <c r="Q68" s="78">
        <f>O68/P68</f>
        <v>0</v>
      </c>
      <c r="R68" s="47"/>
      <c r="S68" s="47">
        <f>R68+L68</f>
        <v>0</v>
      </c>
      <c r="T68" s="69">
        <f>P68</f>
        <v>9</v>
      </c>
      <c r="U68" s="78">
        <f>S68/T68</f>
        <v>0</v>
      </c>
    </row>
    <row r="69" spans="9:21">
      <c r="I69" s="57" t="n">
        <v>0</v>
      </c>
      <c r="J69" s="58" t="n">
        <v>0</v>
      </c>
      <c r="K69" s="47"/>
      <c r="L69" s="47"/>
      <c r="M69" s="63" t="n">
        <v>3</v>
      </c>
      <c r="N69" s="70"/>
      <c r="O69" s="47">
        <f>L69+N69</f>
        <v>0</v>
      </c>
      <c r="P69" s="68" t="n">
        <v>9</v>
      </c>
      <c r="Q69" s="78">
        <f>O69/P69</f>
        <v>0</v>
      </c>
      <c r="R69" s="47"/>
      <c r="S69" s="47">
        <f>R69+L69</f>
        <v>0</v>
      </c>
      <c r="T69" s="69">
        <f>P69</f>
        <v>9</v>
      </c>
      <c r="U69" s="78">
        <f>S69/T69</f>
        <v>0</v>
      </c>
    </row>
    <row r="70" spans="9:21">
      <c r="I70" s="57" t="n">
        <v>0</v>
      </c>
      <c r="J70" s="58" t="n">
        <v>0</v>
      </c>
      <c r="K70" s="47"/>
      <c r="L70" s="47"/>
      <c r="M70" s="63" t="n">
        <v>3</v>
      </c>
      <c r="N70" s="47"/>
      <c r="O70" s="47">
        <f>L70+N70</f>
        <v>0</v>
      </c>
      <c r="P70" s="68" t="n">
        <v>9</v>
      </c>
      <c r="Q70" s="78">
        <f>O70/P70</f>
        <v>0</v>
      </c>
      <c r="R70" s="47"/>
      <c r="S70" s="47">
        <f>R70+L70</f>
        <v>0</v>
      </c>
      <c r="T70" s="69">
        <f>P70</f>
        <v>9</v>
      </c>
      <c r="U70" s="78">
        <f>S70/T70</f>
        <v>0</v>
      </c>
    </row>
    <row r="71" spans="9:21">
      <c r="I71" s="57" t="n">
        <v>0</v>
      </c>
      <c r="J71" s="58" t="n">
        <v>0</v>
      </c>
      <c r="K71" s="47"/>
      <c r="L71" s="47"/>
      <c r="M71" s="63" t="n">
        <v>3</v>
      </c>
      <c r="N71" s="47"/>
      <c r="O71" s="47">
        <f>L71+N71</f>
        <v>0</v>
      </c>
      <c r="P71" s="68" t="n">
        <v>9</v>
      </c>
      <c r="Q71" s="78">
        <f>O71/P71</f>
        <v>0</v>
      </c>
      <c r="R71" s="47"/>
      <c r="S71" s="47">
        <f>R71+L71</f>
        <v>0</v>
      </c>
      <c r="T71" s="69">
        <f>P71</f>
        <v>9</v>
      </c>
      <c r="U71" s="78">
        <f>S71/T71</f>
        <v>0</v>
      </c>
    </row>
    <row r="72" spans="9:21">
      <c r="I72" s="57" t="n">
        <v>0</v>
      </c>
      <c r="J72" s="58" t="n">
        <v>0</v>
      </c>
      <c r="K72" s="47"/>
      <c r="L72" s="47"/>
      <c r="M72" s="63" t="n">
        <v>3</v>
      </c>
      <c r="N72" s="47"/>
      <c r="O72" s="47">
        <f>L72+N72</f>
        <v>0</v>
      </c>
      <c r="P72" s="68" t="n">
        <v>9</v>
      </c>
      <c r="Q72" s="78">
        <f>O72/P72</f>
        <v>0</v>
      </c>
      <c r="R72" s="47"/>
      <c r="S72" s="47">
        <f>R72+L72</f>
        <v>0</v>
      </c>
      <c r="T72" s="69">
        <f>P72</f>
        <v>9</v>
      </c>
      <c r="U72" s="78">
        <f>S72/T72</f>
        <v>0</v>
      </c>
    </row>
    <row r="73" spans="9:21">
      <c r="I73" s="57" t="n">
        <v>0</v>
      </c>
      <c r="J73" s="58" t="n">
        <v>0</v>
      </c>
      <c r="K73" s="47"/>
      <c r="L73" s="47"/>
      <c r="M73" s="63" t="n">
        <v>3</v>
      </c>
      <c r="N73" s="47"/>
      <c r="O73" s="47">
        <f>L73+N73</f>
        <v>0</v>
      </c>
      <c r="P73" s="68" t="n">
        <v>9</v>
      </c>
      <c r="Q73" s="78">
        <f>O73/P73</f>
        <v>0</v>
      </c>
      <c r="R73" s="47"/>
      <c r="S73" s="47">
        <f>R73+L73</f>
        <v>0</v>
      </c>
      <c r="T73" s="69">
        <f>P73</f>
        <v>9</v>
      </c>
      <c r="U73" s="78">
        <f>S73/T73</f>
        <v>0</v>
      </c>
    </row>
    <row r="74" spans="9:21">
      <c r="I74" s="57" t="n">
        <v>0</v>
      </c>
      <c r="J74" s="58" t="n">
        <v>0</v>
      </c>
      <c r="K74" s="47"/>
      <c r="L74" s="47"/>
      <c r="M74" s="63" t="n">
        <v>3</v>
      </c>
      <c r="N74" s="70"/>
      <c r="O74" s="47">
        <f>L74+N74</f>
        <v>0</v>
      </c>
      <c r="P74" s="68" t="n">
        <v>9</v>
      </c>
      <c r="Q74" s="78">
        <f>O74/P74</f>
        <v>0</v>
      </c>
      <c r="R74" s="47"/>
      <c r="S74" s="47">
        <f>R74+L74</f>
        <v>0</v>
      </c>
      <c r="T74" s="69">
        <f>P74</f>
        <v>9</v>
      </c>
      <c r="U74" s="78">
        <f>S74/T74</f>
        <v>0</v>
      </c>
    </row>
    <row r="75" spans="9:21">
      <c r="I75" s="57" t="n">
        <v>0</v>
      </c>
      <c r="J75" s="58" t="n">
        <v>0</v>
      </c>
      <c r="K75" s="47"/>
      <c r="L75" s="47"/>
      <c r="M75" s="63" t="n">
        <v>3</v>
      </c>
      <c r="N75" s="47"/>
      <c r="O75" s="47">
        <f>L75+N75</f>
        <v>0</v>
      </c>
      <c r="P75" s="68" t="n">
        <v>9</v>
      </c>
      <c r="Q75" s="78">
        <f>O75/P75</f>
        <v>0</v>
      </c>
      <c r="R75" s="47"/>
      <c r="S75" s="47">
        <f>R75+L75</f>
        <v>0</v>
      </c>
      <c r="T75" s="69">
        <f>P75</f>
        <v>9</v>
      </c>
      <c r="U75" s="78">
        <f>S75/T75</f>
        <v>0</v>
      </c>
    </row>
    <row r="76" spans="9:21">
      <c r="I76" s="57" t="n">
        <v>0</v>
      </c>
      <c r="J76" s="58" t="n">
        <v>0</v>
      </c>
      <c r="K76" s="47"/>
      <c r="L76" s="47"/>
      <c r="M76" s="63" t="n">
        <v>3</v>
      </c>
      <c r="N76" s="47"/>
      <c r="O76" s="47">
        <f>L76+N76</f>
        <v>0</v>
      </c>
      <c r="P76" s="68" t="n">
        <v>9</v>
      </c>
      <c r="Q76" s="78">
        <f>O76/P76</f>
        <v>0</v>
      </c>
      <c r="R76" s="47"/>
      <c r="S76" s="47">
        <f>R76+L76</f>
        <v>0</v>
      </c>
      <c r="T76" s="69">
        <f>P76</f>
        <v>9</v>
      </c>
      <c r="U76" s="78">
        <f>S76/T76</f>
        <v>0</v>
      </c>
    </row>
  </sheetData>
  <mergeCells count="5">
    <mergeCell ref="A1:D1"/>
    <mergeCell ref="A2:A3"/>
    <mergeCell ref="B2:B3"/>
    <mergeCell ref="C2:C3"/>
    <mergeCell ref="D2:D3"/>
  </mergeCells>
  <conditionalFormatting sqref="J2:J76">
    <cfRule type="colorScale" priority="1">
      <colorScale>
        <cfvo type="min"/>
        <cfvo type="max"/>
        <color rgb="FFFCFCFF"/>
        <color rgb="FFF8696B"/>
      </colorScale>
    </cfRule>
  </conditionalFormatting>
  <conditionalFormatting sqref="I2:I76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{2ECA1ADA-E47C-17BE-8CBC-570A5AFCD271}</x14:id>
        </ext>
      </extLst>
    </cfRule>
  </conditionalFormatting>
  <printOptions>
    <extLst>
      <ext uri="smNativeData">
        <pm:pageFlags xmlns:pm="smNativeData" id="1591683921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91683921" l="56" r="56" t="56" b="56" borderId="0" fillId="0" vertical="0"/>
        <pm:footer xmlns:pm="smNativeData" id="1591683921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ECA1ADA-E47C-17BE-8CBC-570A5AFCD27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I2:I76</xm:sqref>
        </x14:conditionalFormatting>
      </x14:conditionalFormattings>
    </ext>
    <ext uri="smNativeData">
      <pm:sheetPrefs xmlns:pm="smNativeData" day="1591683921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rgb="DA9694"/>
  </sheetPr>
  <dimension ref="A26"/>
  <sheetViews>
    <sheetView view="normal" workbookViewId="0">
      <selection activeCell="A26" sqref="A26"/>
    </sheetView>
  </sheetViews>
  <sheetFormatPr baseColWidth="10" defaultColWidth="10.669643" defaultRowHeight="15.40"/>
  <sheetData>
    <row r="26" spans="1:1">
      <c r="A26" s="25" t="n">
        <v>43733</v>
      </c>
    </row>
  </sheetData>
  <printOptions>
    <extLst>
      <ext uri="smNativeData">
        <pm:pageFlags xmlns:pm="smNativeData" id="1591683921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 pageOrder="overThenDown"/>
  <headerFooter>
    <extLst>
      <ext uri="smNativeData">
        <pm:header xmlns:pm="smNativeData" id="1591683921" l="56" r="56" t="56" b="56" borderId="0" fillId="0" vertical="0"/>
        <pm:footer xmlns:pm="smNativeData" id="1591683921" l="56" r="56" t="56" b="56" borderId="0" fillId="0" vertical="2"/>
      </ext>
    </extLst>
  </headerFooter>
  <drawing r:id="rId1"/>
  <extLst>
    <ext uri="smNativeData">
      <pm:sheetPrefs xmlns:pm="smNativeData" day="1591683921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rgb="B7DEE8"/>
  </sheetPr>
  <dimension ref="A1:CE28"/>
  <sheetViews>
    <sheetView view="normal" workbookViewId="0">
      <pane xSplit="9" ySplit="2" topLeftCell="BT3" activePane="bottomRight" state="frozen"/>
      <selection pane="bottomRight" activeCell="CO3" sqref="CO3"/>
    </sheetView>
  </sheetViews>
  <sheetFormatPr baseColWidth="10" defaultColWidth="11.428571" defaultRowHeight="15.40"/>
  <cols>
    <col min="1" max="1" width="19.714286" customWidth="1"/>
    <col min="2" max="2" width="5.428571" customWidth="1"/>
    <col min="3" max="3" width="5.571429" customWidth="1"/>
    <col min="4" max="4" width="5.428571" customWidth="1" style="44"/>
    <col min="5" max="5" width="13.000000" customWidth="1"/>
    <col min="6" max="6" width="4.571429" customWidth="1"/>
    <col min="7" max="7" width="5.428571" customWidth="1"/>
    <col min="8" max="8" width="5.714286" customWidth="1"/>
    <col min="9" max="9" width="7.428571" customWidth="1"/>
    <col min="10" max="10" width="4.571429" customWidth="1"/>
    <col min="11" max="17" width="5.571429" customWidth="1"/>
    <col min="18" max="18" width="4.857143" customWidth="1"/>
    <col min="19" max="20" width="6.142857" customWidth="1"/>
    <col min="21" max="22" width="7.857143" customWidth="1"/>
    <col min="23" max="23" width="7.714286" customWidth="1"/>
    <col min="24" max="24" width="7.857143" customWidth="1"/>
    <col min="25" max="25" width="7.428571" customWidth="1"/>
    <col min="26" max="26" width="10.000000" customWidth="1"/>
    <col min="27" max="27" width="7.857143" customWidth="1"/>
    <col min="28" max="28" width="7.428571" customWidth="1"/>
    <col min="29" max="29" width="5.142857" customWidth="1"/>
    <col min="30" max="30" width="7.428571" customWidth="1"/>
    <col min="31" max="31" width="7.857143" customWidth="1"/>
    <col min="32" max="32" width="7.428571" customWidth="1"/>
    <col min="33" max="33" width="5.142857" customWidth="1"/>
    <col min="34" max="34" width="9.714286" customWidth="1"/>
    <col min="35" max="35" width="7.857143" customWidth="1"/>
    <col min="36" max="36" width="5.142857" customWidth="1"/>
    <col min="37" max="37" width="6.428571" customWidth="1"/>
    <col min="38" max="38" width="7.428571" customWidth="1"/>
    <col min="39" max="41" width="7.857143" customWidth="1"/>
    <col min="42" max="42" width="7.428571" customWidth="1"/>
    <col min="43" max="43" width="7.857143" customWidth="1"/>
    <col min="44" max="44" width="7.428571" customWidth="1"/>
    <col min="45" max="45" width="5.571429" customWidth="1"/>
    <col min="46" max="46" width="6.428571" customWidth="1"/>
    <col min="47" max="47" width="6.857143" customWidth="1"/>
    <col min="48" max="48" width="6.428571" customWidth="1"/>
    <col min="49" max="49" width="7.428571" customWidth="1"/>
    <col min="50" max="50" width="7.857143" customWidth="1"/>
    <col min="51" max="51" width="7.428571" customWidth="1"/>
    <col min="52" max="52" width="5.571429" customWidth="1"/>
    <col min="53" max="53" width="6.428571" customWidth="1"/>
    <col min="54" max="54" width="6.857143" customWidth="1"/>
    <col min="55" max="55" width="6.428571" customWidth="1"/>
    <col min="56" max="56" width="7.428571" customWidth="1"/>
    <col min="57" max="57" width="7.857143" customWidth="1"/>
    <col min="58" max="58" width="5.571429" customWidth="1"/>
    <col min="59" max="59" width="6.428571" customWidth="1"/>
    <col min="60" max="60" width="6.857143" customWidth="1"/>
    <col min="61" max="61" width="7.428571" customWidth="1"/>
    <col min="62" max="62" width="7.857143" customWidth="1"/>
    <col min="63" max="63" width="5.142857" customWidth="1"/>
    <col min="64" max="64" width="6.428571" customWidth="1"/>
    <col min="65" max="65" width="6.857143" customWidth="1"/>
    <col min="66" max="66" width="7.428571" customWidth="1"/>
    <col min="67" max="67" width="7.857143" customWidth="1"/>
    <col min="68" max="68" width="5.142857" customWidth="1"/>
    <col min="69" max="69" width="6.428571" customWidth="1"/>
    <col min="70" max="70" width="6.857143" customWidth="1"/>
    <col min="71" max="71" width="7.428571" customWidth="1"/>
    <col min="72" max="72" width="7.857143" customWidth="1"/>
    <col min="73" max="73" width="6.000000" customWidth="1"/>
    <col min="74" max="74" width="6.428571" customWidth="1"/>
    <col min="75" max="75" width="6.857143" customWidth="1"/>
    <col min="76" max="76" width="5.142857" customWidth="1"/>
    <col min="77" max="77" width="6.428571" customWidth="1"/>
    <col min="78" max="78" width="6.857143" customWidth="1"/>
    <col min="79" max="80" width="6.428571" customWidth="1"/>
    <col min="81" max="81" width="6.857143" customWidth="1"/>
    <col min="82" max="82" width="6.428571" customWidth="1"/>
    <col min="83" max="83" width="5.142857" customWidth="1"/>
  </cols>
  <sheetData>
    <row r="1" spans="1:80">
      <c r="A1" s="25"/>
      <c r="W1" t="s">
        <v>846</v>
      </c>
      <c r="Z1" t="s">
        <v>847</v>
      </c>
      <c r="AD1" t="s">
        <v>848</v>
      </c>
      <c r="AH1" t="s">
        <v>849</v>
      </c>
      <c r="AL1" t="s">
        <v>850</v>
      </c>
      <c r="AP1" t="s">
        <v>851</v>
      </c>
      <c r="AW1" t="s">
        <v>852</v>
      </c>
      <c r="BD1" t="s">
        <v>853</v>
      </c>
      <c r="BI1" t="s">
        <v>854</v>
      </c>
      <c r="BN1" t="s">
        <v>855</v>
      </c>
      <c r="BS1" t="s">
        <v>856</v>
      </c>
      <c r="BX1" t="s">
        <v>857</v>
      </c>
      <c r="CB1" t="s">
        <v>187</v>
      </c>
    </row>
    <row r="2" spans="1:83">
      <c r="A2" s="33" t="s">
        <v>195</v>
      </c>
      <c r="B2" s="33" t="s">
        <v>858</v>
      </c>
      <c r="C2" s="33" t="s">
        <v>120</v>
      </c>
      <c r="D2" s="53" t="s">
        <v>477</v>
      </c>
      <c r="E2" s="33" t="s">
        <v>859</v>
      </c>
      <c r="F2" s="41" t="s">
        <v>860</v>
      </c>
      <c r="G2" s="41" t="s">
        <v>132</v>
      </c>
      <c r="H2" s="41" t="s">
        <v>133</v>
      </c>
      <c r="I2" s="42" t="s">
        <v>128</v>
      </c>
      <c r="J2" s="34" t="s">
        <v>747</v>
      </c>
      <c r="K2" s="34" t="s">
        <v>161</v>
      </c>
      <c r="L2" s="34" t="s">
        <v>203</v>
      </c>
      <c r="M2" s="34" t="s">
        <v>204</v>
      </c>
      <c r="N2" s="34" t="s">
        <v>501</v>
      </c>
      <c r="O2" s="34" t="s">
        <v>206</v>
      </c>
      <c r="P2" s="34" t="s">
        <v>207</v>
      </c>
      <c r="Q2" s="34" t="s">
        <v>208</v>
      </c>
      <c r="R2" s="35" t="s">
        <v>147</v>
      </c>
      <c r="S2" s="35" t="s">
        <v>861</v>
      </c>
      <c r="T2" s="35" t="s">
        <v>862</v>
      </c>
      <c r="U2" s="35" t="s">
        <v>863</v>
      </c>
      <c r="V2" s="35" t="s">
        <v>864</v>
      </c>
      <c r="W2" s="36" t="s">
        <v>865</v>
      </c>
      <c r="X2" s="36" t="s">
        <v>866</v>
      </c>
      <c r="Y2" s="36" t="s">
        <v>865</v>
      </c>
      <c r="Z2" s="37" t="s">
        <v>865</v>
      </c>
      <c r="AA2" s="37" t="s">
        <v>866</v>
      </c>
      <c r="AB2" s="37" t="s">
        <v>865</v>
      </c>
      <c r="AC2" s="37" t="s">
        <v>181</v>
      </c>
      <c r="AD2" s="37" t="s">
        <v>865</v>
      </c>
      <c r="AE2" s="37" t="s">
        <v>866</v>
      </c>
      <c r="AF2" s="37" t="s">
        <v>865</v>
      </c>
      <c r="AG2" s="37" t="s">
        <v>181</v>
      </c>
      <c r="AH2" s="36" t="s">
        <v>865</v>
      </c>
      <c r="AI2" s="36" t="s">
        <v>866</v>
      </c>
      <c r="AJ2" s="36" t="s">
        <v>181</v>
      </c>
      <c r="AK2" s="36" t="s">
        <v>867</v>
      </c>
      <c r="AL2" s="36" t="s">
        <v>865</v>
      </c>
      <c r="AM2" s="36" t="s">
        <v>866</v>
      </c>
      <c r="AN2" s="36" t="s">
        <v>181</v>
      </c>
      <c r="AO2" s="36" t="s">
        <v>867</v>
      </c>
      <c r="AP2" s="36" t="s">
        <v>865</v>
      </c>
      <c r="AQ2" s="36" t="s">
        <v>866</v>
      </c>
      <c r="AR2" s="36" t="s">
        <v>865</v>
      </c>
      <c r="AS2" s="36" t="s">
        <v>181</v>
      </c>
      <c r="AT2" s="36" t="s">
        <v>867</v>
      </c>
      <c r="AU2" s="36" t="s">
        <v>868</v>
      </c>
      <c r="AV2" s="36" t="s">
        <v>867</v>
      </c>
      <c r="AW2" s="36" t="s">
        <v>865</v>
      </c>
      <c r="AX2" s="36" t="s">
        <v>866</v>
      </c>
      <c r="AY2" s="36" t="s">
        <v>865</v>
      </c>
      <c r="AZ2" s="36" t="s">
        <v>181</v>
      </c>
      <c r="BA2" s="36" t="s">
        <v>867</v>
      </c>
      <c r="BB2" s="36" t="s">
        <v>868</v>
      </c>
      <c r="BC2" s="36" t="s">
        <v>867</v>
      </c>
      <c r="BD2" s="37" t="s">
        <v>865</v>
      </c>
      <c r="BE2" s="37" t="s">
        <v>866</v>
      </c>
      <c r="BF2" s="37" t="s">
        <v>181</v>
      </c>
      <c r="BG2" s="37" t="s">
        <v>867</v>
      </c>
      <c r="BH2" s="37" t="s">
        <v>868</v>
      </c>
      <c r="BI2" s="37" t="s">
        <v>865</v>
      </c>
      <c r="BJ2" s="37" t="s">
        <v>866</v>
      </c>
      <c r="BK2" s="37" t="s">
        <v>181</v>
      </c>
      <c r="BL2" s="37" t="s">
        <v>867</v>
      </c>
      <c r="BM2" s="37" t="s">
        <v>868</v>
      </c>
      <c r="BN2" s="36" t="s">
        <v>865</v>
      </c>
      <c r="BO2" s="36" t="s">
        <v>866</v>
      </c>
      <c r="BP2" s="36" t="s">
        <v>181</v>
      </c>
      <c r="BQ2" s="36" t="s">
        <v>867</v>
      </c>
      <c r="BR2" s="36" t="s">
        <v>868</v>
      </c>
      <c r="BS2" s="36" t="s">
        <v>865</v>
      </c>
      <c r="BT2" s="36" t="s">
        <v>866</v>
      </c>
      <c r="BU2" s="36" t="s">
        <v>181</v>
      </c>
      <c r="BV2" s="36" t="s">
        <v>867</v>
      </c>
      <c r="BW2" s="36" t="s">
        <v>868</v>
      </c>
      <c r="BX2" s="37" t="s">
        <v>181</v>
      </c>
      <c r="BY2" s="37" t="s">
        <v>867</v>
      </c>
      <c r="BZ2" s="37" t="s">
        <v>868</v>
      </c>
      <c r="CA2" s="37" t="s">
        <v>867</v>
      </c>
      <c r="CB2" s="36" t="s">
        <v>867</v>
      </c>
      <c r="CC2" s="36" t="s">
        <v>868</v>
      </c>
      <c r="CD2" s="36" t="s">
        <v>867</v>
      </c>
      <c r="CE2" s="36" t="s">
        <v>181</v>
      </c>
    </row>
    <row r="3" spans="1:83">
      <c r="A3" t="str">
        <f>Plantilla!D4</f>
        <v>Cosme Fonteboa</v>
      </c>
      <c r="B3">
        <f>Plantilla!E4</f>
        <v>25</v>
      </c>
      <c r="C3" s="27">
        <f>Plantilla!F4</f>
        <v>66</v>
      </c>
      <c r="D3" s="44">
        <f>Plantilla!G4</f>
        <v>0</v>
      </c>
      <c r="E3" s="25">
        <f>Plantilla!M4</f>
        <v>43415</v>
      </c>
      <c r="F3" s="39">
        <f>Plantilla!Q4</f>
        <v>6</v>
      </c>
      <c r="G3" s="40">
        <f>(F3/7)^0.5</f>
        <v>0.925820099772552041</v>
      </c>
      <c r="H3" s="40">
        <f>IF(F3=7,1,((F3+0.99)/7)^0.5)</f>
        <v>0.999285459001294996</v>
      </c>
      <c r="I3" s="106">
        <f>Plantilla!N4</f>
        <v>1</v>
      </c>
      <c r="J3" s="31">
        <f>Plantilla!I4</f>
        <v>7.5</v>
      </c>
      <c r="K3" s="38">
        <f>Plantilla!X4</f>
        <v>15</v>
      </c>
      <c r="L3" s="38">
        <f>Plantilla!Y4</f>
        <v>12.1999999999999993</v>
      </c>
      <c r="M3" s="38">
        <f>Plantilla!Z4</f>
        <v>0</v>
      </c>
      <c r="N3" s="38">
        <f>Plantilla!AA4</f>
        <v>0</v>
      </c>
      <c r="O3" s="38">
        <f>Plantilla!AB4</f>
        <v>0</v>
      </c>
      <c r="P3" s="38">
        <f>Plantilla!AC4</f>
        <v>1</v>
      </c>
      <c r="Q3" s="38">
        <f>Plantilla!AD4</f>
        <v>14</v>
      </c>
      <c r="R3" s="38">
        <f>((2*(O3+1))+(L3+1))/8</f>
        <v>1.9</v>
      </c>
      <c r="S3" s="38">
        <f>(0.5*P3+0.3*Q3)/10</f>
        <v>0.469999999999999929</v>
      </c>
      <c r="T3" s="38">
        <f>(0.4*L3+0.3*Q3)/10</f>
        <v>0.908000000000000007</v>
      </c>
      <c r="U3" s="38">
        <f>(Q3+I3+(LOG(J3)*4/3))*(F3/7)^0.5</f>
        <v>14.9675005714953997</v>
      </c>
      <c r="V3" s="38">
        <f>IF(F3=7,U3,(Q3+I3+(LOG(J3)*4/3))*((F3+0.99)/7)^0.5)</f>
        <v>16.1551965466762013</v>
      </c>
      <c r="W3" s="29">
        <f>((K3+I3+(LOG(J3)*4/3))*0.597)+((L3+I3+(LOG(J3)*4/3))*0.276)</f>
        <v>14.2137713105878998</v>
      </c>
      <c r="X3" s="29">
        <f>((K3+I3+(LOG(J3)*4/3))*0.866)+((L3+I3+(LOG(J3)*4/3))*0.425)</f>
        <v>20.9722721213849006</v>
      </c>
      <c r="Y3" s="29">
        <f>W3</f>
        <v>14.2137713105878998</v>
      </c>
      <c r="Z3" s="29">
        <f>((L3+I3+(LOG(J3)*4/3))*0.516)</f>
        <v>7.41324214921347036</v>
      </c>
      <c r="AA3" s="29">
        <f>((L3+I3+(LOG(J3)*4/3))*1)</f>
        <v>14.3667483511888996</v>
      </c>
      <c r="AB3" s="29">
        <f>Z3/2</f>
        <v>3.70662107460674006</v>
      </c>
      <c r="AC3" s="29">
        <f>((M3+I3+(LOG(J3)*4/3))*0.238)</f>
        <v>0.515686107582964937</v>
      </c>
      <c r="AD3" s="29">
        <f>((L3+I3+(LOG(J3)*4/3))*0.378)</f>
        <v>5.43063087674940981</v>
      </c>
      <c r="AE3" s="29">
        <f>((L3+I3+(LOG(J3)*4/3))*0.723)</f>
        <v>10.3871590579095994</v>
      </c>
      <c r="AF3" s="29">
        <f>AD3/2</f>
        <v>2.71531543837470979</v>
      </c>
      <c r="AG3" s="29">
        <f>((M3+I3+(LOG(J3)*4/3))*0.385)</f>
        <v>0.834198115207738056</v>
      </c>
      <c r="AH3" s="29">
        <f>((L3+I3+(LOG(J3)*4/3))*0.92)</f>
        <v>13.2174084830938003</v>
      </c>
      <c r="AI3" s="29">
        <f>((L3+I3+(LOG(J3)*4/3))*0.414)</f>
        <v>5.9478338173922003</v>
      </c>
      <c r="AJ3" s="29">
        <f>((M3+I3+(LOG(J3)*4/3))*0.167)</f>
        <v>0.361846974648551001</v>
      </c>
      <c r="AK3" s="29">
        <f>((N3+I3+(LOG(J3)*4/3))*0.588)</f>
        <v>1.27404803049908999</v>
      </c>
      <c r="AL3" s="29">
        <f>((L3+I3+(LOG(J3)*4/3))*0.754)</f>
        <v>10.8325282567963992</v>
      </c>
      <c r="AM3" s="29">
        <f>((L3+I3+(LOG(J3)*4/3))*0.708)</f>
        <v>10.1716578326416993</v>
      </c>
      <c r="AN3" s="29">
        <f>((Q3+I3+(LOG(J3)*4/3))*0.167)</f>
        <v>2.69984697464854984</v>
      </c>
      <c r="AO3" s="29">
        <f>((R3+I3+(LOG(J3)*4/3))*0.288)</f>
        <v>1.1712235251424099</v>
      </c>
      <c r="AP3" s="29">
        <f>((L3+I3+(LOG(J3)*4/3))*0.27)</f>
        <v>3.87902205482100015</v>
      </c>
      <c r="AQ3" s="29">
        <f>((L3+I3+(LOG(J3)*4/3))*0.594)</f>
        <v>8.53384852060620958</v>
      </c>
      <c r="AR3" s="29">
        <f>AP3/2</f>
        <v>1.93951102741050008</v>
      </c>
      <c r="AS3" s="29">
        <f>((M3+I3+(LOG(J3)*4/3))*0.944)</f>
        <v>2.04541044352234991</v>
      </c>
      <c r="AT3" s="29">
        <f>((O3+I3+(LOG(J3)*4/3))*0.13)</f>
        <v>0.281677285654561018</v>
      </c>
      <c r="AU3" s="29">
        <f>((P3+I3+(LOG(J3)*4/3))*0.173)+((O3+I3+(LOG(J3)*4/3))*0.12)</f>
        <v>0.807857266898357018</v>
      </c>
      <c r="AV3" s="29">
        <f>AT3/2</f>
        <v>0.140838642827281006</v>
      </c>
      <c r="AW3" s="29">
        <f>((L3+I3+(LOG(J3)*4/3))*0.189)</f>
        <v>2.71531543837470002</v>
      </c>
      <c r="AX3" s="29">
        <f>((L3+I3+(LOG(J3)*4/3))*0.4)</f>
        <v>5.74669934047556019</v>
      </c>
      <c r="AY3" s="29">
        <f>AW3/2</f>
        <v>1.35765771918735001</v>
      </c>
      <c r="AZ3" s="29">
        <f>((M3+I3+(LOG(J3)*4/3))*1)</f>
        <v>2.16674835118893006</v>
      </c>
      <c r="BA3" s="29">
        <f>((O3+I3+(LOG(J3)*4/3))*0.253)</f>
        <v>0.548187332850798992</v>
      </c>
      <c r="BB3" s="29">
        <f>((P3+I3+(LOG(J3)*4/3))*0.21)+((O3+I3+(LOG(J3)*4/3))*0.341)</f>
        <v>1.40387834150509994</v>
      </c>
      <c r="BC3" s="29">
        <f>BA3/2</f>
        <v>0.274093666425399984</v>
      </c>
      <c r="BD3" s="29">
        <f>((L3+I3+(LOG(J3)*4/3))*0.291)</f>
        <v>4.18072377019596964</v>
      </c>
      <c r="BE3" s="29">
        <f>((L3+I3+(LOG(J3)*4/3))*0.348)</f>
        <v>4.99962842621374026</v>
      </c>
      <c r="BF3" s="29">
        <f>((M3+I3+(LOG(J3)*4/3))*0.881)</f>
        <v>1.90890529739744998</v>
      </c>
      <c r="BG3" s="29">
        <f>((N3+I3+(LOG(J3)*4/3))*0.574)+((O3+I3+(LOG(J3)*4/3))*0.315)</f>
        <v>1.92623928420696</v>
      </c>
      <c r="BH3" s="29">
        <f>((O3+I3+(LOG(J3)*4/3))*0.241)</f>
        <v>0.522186352636532014</v>
      </c>
      <c r="BI3" s="29">
        <f>((L3+I3+(LOG(J3)*4/3))*0.485)</f>
        <v>6.96787295032661991</v>
      </c>
      <c r="BJ3" s="29">
        <f>((L3+I3+(LOG(J3)*4/3))*0.264)</f>
        <v>3.79282156471386989</v>
      </c>
      <c r="BK3" s="29">
        <f>((M3+I3+(LOG(J3)*4/3))*0.381)</f>
        <v>0.825531121802982071</v>
      </c>
      <c r="BL3" s="29">
        <f>((N3+I3+(LOG(J3)*4/3))*0.673)+((O3+I3+(LOG(J3)*4/3))*0.201)</f>
        <v>1.89373805893912994</v>
      </c>
      <c r="BM3" s="29">
        <f>((O3+I3+(LOG(J3)*4/3))*0.052)</f>
        <v>0.112670914261824007</v>
      </c>
      <c r="BN3" s="29">
        <f>((L3+I3+(LOG(J3)*4/3))*0.18)</f>
        <v>2.58601470321399995</v>
      </c>
      <c r="BO3" s="29">
        <f>((L3+I3+(LOG(J3)*4/3))*0.068)</f>
        <v>0.976938887880845108</v>
      </c>
      <c r="BP3" s="29">
        <f>((M3+I3+(LOG(J3)*4/3))*0.305)</f>
        <v>0.660858247112623953</v>
      </c>
      <c r="BQ3" s="29">
        <f>((N3+I3+(LOG(J3)*4/3))*1)+((O3+I3+(LOG(J3)*4/3))*0.286)</f>
        <v>2.78643837962895979</v>
      </c>
      <c r="BR3" s="29">
        <f>((O3+I3+(LOG(J3)*4/3))*0.135)</f>
        <v>0.292511027410506017</v>
      </c>
      <c r="BS3" s="29">
        <f>((L3+I3+(LOG(J3)*4/3))*0.284)</f>
        <v>4.08015653173765003</v>
      </c>
      <c r="BT3" s="29">
        <f>((L3+I3+(LOG(J3)*4/3))*0.244)</f>
        <v>3.50548659769009019</v>
      </c>
      <c r="BU3" s="29">
        <f>((M3+I3+(LOG(J3)*4/3))*0.631)</f>
        <v>1.36721820960021989</v>
      </c>
      <c r="BV3" s="29">
        <f>((N3+I3+(LOG(J3)*4/3))*0.702)+((O3+I3+(LOG(J3)*4/3))*0.193)</f>
        <v>1.93923977431408989</v>
      </c>
      <c r="BW3" s="29">
        <f>((O3+I3+(LOG(J3)*4/3))*0.148)</f>
        <v>0.320678755975962027</v>
      </c>
      <c r="BX3" s="29">
        <f>((M3+I3+(LOG(J3)*4/3))*0.406)</f>
        <v>0.879699830582705999</v>
      </c>
      <c r="BY3" s="29">
        <f>IF(D3="TEC",((N3+I3+(LOG(J3)*4/3))*0.15)+((O3+I3+(LOG(J3)*4/3))*0.324)+((P3+I3+(LOG(J3)*4/3))*0.127),((N3+I3+(LOG(J3)*4/3))*0.144)+((O3+I3+(LOG(J3)*4/3))*0.25)+((P3+I3+(LOG(J3)*4/3))*0.127))</f>
        <v>1.25587589096943009</v>
      </c>
      <c r="BZ3" s="29">
        <f>IF(D3="TEC",((O3+I3+(LOG(J3)*4/3))*0.543)+((P3+I3+(LOG(J3)*4/3))*0.583),((O3+I3+(LOG(J3)*4/3))*0.543)+((P3+I3+(LOG(J3)*4/3))*0.583))</f>
        <v>3.02275864343874012</v>
      </c>
      <c r="CA3" s="29">
        <f>BY3</f>
        <v>1.25587589096943009</v>
      </c>
      <c r="CB3" s="29">
        <f>((P3+I3+(LOG(J3)*4/3))*0.26)+((N3+I3+(LOG(J3)*4/3))*0.221)+((O3+I3+(LOG(J3)*4/3))*0.142)</f>
        <v>1.60988422279070997</v>
      </c>
      <c r="CC3" s="29">
        <f>((P3+I3+(LOG(J3)*4/3))*1)+((O3+I3+(LOG(J3)*4/3))*0.369)</f>
        <v>3.9662784927776503</v>
      </c>
      <c r="CD3" s="29">
        <f>CB3</f>
        <v>1.60988422279070997</v>
      </c>
      <c r="CE3" s="29">
        <f>((M3+I3+(LOG(J3)*4/3))*0.25)</f>
        <v>0.54168708779723298</v>
      </c>
    </row>
    <row r="4" spans="1:83">
      <c r="A4" t="str">
        <f>Plantilla!D5</f>
        <v>Nicolae Hornet</v>
      </c>
      <c r="B4">
        <f>Plantilla!E5</f>
        <v>25</v>
      </c>
      <c r="C4" s="27">
        <f>Plantilla!F5</f>
        <v>91</v>
      </c>
      <c r="D4" s="44">
        <f>Plantilla!G5</f>
        <v>0</v>
      </c>
      <c r="E4" s="25">
        <f>Plantilla!M5</f>
        <v>43190</v>
      </c>
      <c r="F4" s="39">
        <f>Plantilla!Q5</f>
        <v>7</v>
      </c>
      <c r="G4" s="40">
        <f>(F4/7)^0.5</f>
        <v>1</v>
      </c>
      <c r="H4" s="40">
        <f>IF(F4=7,1,((F4+0.99)/7)^0.5)</f>
        <v>1</v>
      </c>
      <c r="I4" s="106">
        <f>Plantilla!N5</f>
        <v>1</v>
      </c>
      <c r="J4" s="31">
        <f>Plantilla!I5</f>
        <v>1.39999999999999991</v>
      </c>
      <c r="K4" s="38">
        <f>Plantilla!X5</f>
        <v>6</v>
      </c>
      <c r="L4" s="38">
        <f>Plantilla!Y5</f>
        <v>5.40000000000000036</v>
      </c>
      <c r="M4" s="38">
        <f>Plantilla!Z5</f>
        <v>0</v>
      </c>
      <c r="N4" s="38">
        <f>Plantilla!AA5</f>
        <v>3</v>
      </c>
      <c r="O4" s="38">
        <f>Plantilla!AB5</f>
        <v>0</v>
      </c>
      <c r="P4" s="38">
        <f>Plantilla!AC5</f>
        <v>1</v>
      </c>
      <c r="Q4" s="38">
        <f>Plantilla!AD5</f>
        <v>4</v>
      </c>
      <c r="R4" s="38">
        <f>((2*(O4+1))+(L4+1))/8</f>
        <v>1.05000000000000004</v>
      </c>
      <c r="S4" s="38">
        <f>(0.5*P4+0.3*Q4)/10</f>
        <v>0.170000000000000018</v>
      </c>
      <c r="T4" s="38">
        <f>(0.4*L4+0.3*Q4)/10</f>
        <v>0.336000000000000032</v>
      </c>
      <c r="U4" s="38">
        <f>(Q4+I4+(LOG(J4)*4/3))*(F4/7)^0.5</f>
        <v>5.19483738090432023</v>
      </c>
      <c r="V4" s="38">
        <f>IF(F4=7,U4,(Q4+I4+(LOG(J4)*4/3))*((F4+0.99)/7)^0.5)</f>
        <v>5.19483738090432023</v>
      </c>
      <c r="W4" s="29">
        <f>((K4+I4+(LOG(J4)*4/3))*0.597)+((L4+I4+(LOG(J4)*4/3))*0.276)</f>
        <v>6.11549303352946971</v>
      </c>
      <c r="X4" s="29">
        <f>((K4+I4+(LOG(J4)*4/3))*0.866)+((L4+I4+(LOG(J4)*4/3))*0.425)</f>
        <v>9.03353505874748031</v>
      </c>
      <c r="Y4" s="29">
        <f>W4</f>
        <v>6.11549303352946971</v>
      </c>
      <c r="Z4" s="29">
        <f>((L4+I4+(LOG(J4)*4/3))*0.516)</f>
        <v>3.40293608854662999</v>
      </c>
      <c r="AA4" s="29">
        <f>((L4+I4+(LOG(J4)*4/3))*1)</f>
        <v>6.5948373809043197</v>
      </c>
      <c r="AB4" s="29">
        <f>Z4/2</f>
        <v>1.70146804427332015</v>
      </c>
      <c r="AC4" s="29">
        <f>((M4+I4+(LOG(J4)*4/3))*0.238)</f>
        <v>0.284371296655228001</v>
      </c>
      <c r="AD4" s="29">
        <f>((L4+I4+(LOG(J4)*4/3))*0.378)</f>
        <v>2.49284852998182993</v>
      </c>
      <c r="AE4" s="29">
        <f>((L4+I4+(LOG(J4)*4/3))*0.723)</f>
        <v>4.76806742639382009</v>
      </c>
      <c r="AF4" s="29">
        <f>AD4/2</f>
        <v>1.24642426499092007</v>
      </c>
      <c r="AG4" s="29">
        <f>((M4+I4+(LOG(J4)*4/3))*0.385)</f>
        <v>0.46001239164816301</v>
      </c>
      <c r="AH4" s="29">
        <f>((L4+I4+(LOG(J4)*4/3))*0.92)</f>
        <v>6.06725039043197967</v>
      </c>
      <c r="AI4" s="29">
        <f>((L4+I4+(LOG(J4)*4/3))*0.414)</f>
        <v>2.73026267569438996</v>
      </c>
      <c r="AJ4" s="29">
        <f>((M4+I4+(LOG(J4)*4/3))*0.167)</f>
        <v>0.199537842611021006</v>
      </c>
      <c r="AK4" s="29">
        <f>((N4+I4+(LOG(J4)*4/3))*0.588)</f>
        <v>2.46656437997173983</v>
      </c>
      <c r="AL4" s="29">
        <f>((L4+I4+(LOG(J4)*4/3))*0.754)</f>
        <v>4.97250738520185998</v>
      </c>
      <c r="AM4" s="29">
        <f>((L4+I4+(LOG(J4)*4/3))*0.708)</f>
        <v>4.6691448656802601</v>
      </c>
      <c r="AN4" s="29">
        <f>((Q4+I4+(LOG(J4)*4/3))*0.167)</f>
        <v>0.867537842611021937</v>
      </c>
      <c r="AO4" s="29">
        <f>((R4+I4+(LOG(J4)*4/3))*0.288)</f>
        <v>0.646513165700444059</v>
      </c>
      <c r="AP4" s="29">
        <f>((L4+I4+(LOG(J4)*4/3))*0.27)</f>
        <v>1.78060609284417009</v>
      </c>
      <c r="AQ4" s="29">
        <f>((L4+I4+(LOG(J4)*4/3))*0.594)</f>
        <v>3.91733340425717014</v>
      </c>
      <c r="AR4" s="29">
        <f>AP4/2</f>
        <v>0.890303046422084954</v>
      </c>
      <c r="AS4" s="29">
        <f>((M4+I4+(LOG(J4)*4/3))*0.944)</f>
        <v>1.12792648757368008</v>
      </c>
      <c r="AT4" s="29">
        <f>((O4+I4+(LOG(J4)*4/3))*0.13)</f>
        <v>0.155328859517562012</v>
      </c>
      <c r="AU4" s="29">
        <f>((P4+I4+(LOG(J4)*4/3))*0.173)+((O4+I4+(LOG(J4)*4/3))*0.12)</f>
        <v>0.523087352604964995</v>
      </c>
      <c r="AV4" s="29">
        <f>AT4/2</f>
        <v>0.0776644297587810062</v>
      </c>
      <c r="AW4" s="29">
        <f>((L4+I4+(LOG(J4)*4/3))*0.189)</f>
        <v>1.24642426499092007</v>
      </c>
      <c r="AX4" s="29">
        <f>((L4+I4+(LOG(J4)*4/3))*0.4)</f>
        <v>2.63793495236172992</v>
      </c>
      <c r="AY4" s="29">
        <f>AW4/2</f>
        <v>0.623212132495460036</v>
      </c>
      <c r="AZ4" s="29">
        <f>((M4+I4+(LOG(J4)*4/3))*1)</f>
        <v>1.19483738090432002</v>
      </c>
      <c r="BA4" s="29">
        <f>((O4+I4+(LOG(J4)*4/3))*0.253)</f>
        <v>0.302293857368792995</v>
      </c>
      <c r="BB4" s="29">
        <f>((P4+I4+(LOG(J4)*4/3))*0.21)+((O4+I4+(LOG(J4)*4/3))*0.341)</f>
        <v>0.868355396878279961</v>
      </c>
      <c r="BC4" s="29">
        <f>BA4/2</f>
        <v>0.151146928684396986</v>
      </c>
      <c r="BD4" s="29">
        <f>((L4+I4+(LOG(J4)*4/3))*0.291)</f>
        <v>1.9190976778431601</v>
      </c>
      <c r="BE4" s="29">
        <f>((L4+I4+(LOG(J4)*4/3))*0.348)</f>
        <v>2.2950034085547002</v>
      </c>
      <c r="BF4" s="29">
        <f>((M4+I4+(LOG(J4)*4/3))*0.881)</f>
        <v>1.05265173257670996</v>
      </c>
      <c r="BG4" s="29">
        <f>((N4+I4+(LOG(J4)*4/3))*0.574)+((O4+I4+(LOG(J4)*4/3))*0.315)</f>
        <v>2.78421043162394</v>
      </c>
      <c r="BH4" s="29">
        <f>((O4+I4+(LOG(J4)*4/3))*0.241)</f>
        <v>0.287955808797941017</v>
      </c>
      <c r="BI4" s="29">
        <f>((L4+I4+(LOG(J4)*4/3))*0.485)</f>
        <v>3.19849612973859987</v>
      </c>
      <c r="BJ4" s="29">
        <f>((L4+I4+(LOG(J4)*4/3))*0.264)</f>
        <v>1.74103706855873996</v>
      </c>
      <c r="BK4" s="29">
        <f>((M4+I4+(LOG(J4)*4/3))*0.381)</f>
        <v>0.455233042124546028</v>
      </c>
      <c r="BL4" s="29">
        <f>((N4+I4+(LOG(J4)*4/3))*0.673)+((O4+I4+(LOG(J4)*4/3))*0.201)</f>
        <v>3.06328787091038013</v>
      </c>
      <c r="BM4" s="29">
        <f>((O4+I4+(LOG(J4)*4/3))*0.052)</f>
        <v>0.0621315438070250003</v>
      </c>
      <c r="BN4" s="29">
        <f>((L4+I4+(LOG(J4)*4/3))*0.18)</f>
        <v>1.18707072856277996</v>
      </c>
      <c r="BO4" s="29">
        <f>((L4+I4+(LOG(J4)*4/3))*0.068)</f>
        <v>0.448448941901494003</v>
      </c>
      <c r="BP4" s="29">
        <f>((M4+I4+(LOG(J4)*4/3))*0.305)</f>
        <v>0.364425401175818031</v>
      </c>
      <c r="BQ4" s="29">
        <f>((N4+I4+(LOG(J4)*4/3))*1)+((O4+I4+(LOG(J4)*4/3))*0.286)</f>
        <v>4.5365608718429602</v>
      </c>
      <c r="BR4" s="29">
        <f>((O4+I4+(LOG(J4)*4/3))*0.135)</f>
        <v>0.161303046422083014</v>
      </c>
      <c r="BS4" s="29">
        <f>((L4+I4+(LOG(J4)*4/3))*0.284)</f>
        <v>1.87293381617683004</v>
      </c>
      <c r="BT4" s="29">
        <f>((L4+I4+(LOG(J4)*4/3))*0.244)</f>
        <v>1.60914032094065007</v>
      </c>
      <c r="BU4" s="29">
        <f>((M4+I4+(LOG(J4)*4/3))*0.631)</f>
        <v>0.753942387350626042</v>
      </c>
      <c r="BV4" s="29">
        <f>((N4+I4+(LOG(J4)*4/3))*0.702)+((O4+I4+(LOG(J4)*4/3))*0.193)</f>
        <v>3.17537945590935999</v>
      </c>
      <c r="BW4" s="29">
        <f>((O4+I4+(LOG(J4)*4/3))*0.148)</f>
        <v>0.176835932373838993</v>
      </c>
      <c r="BX4" s="29">
        <f>((M4+I4+(LOG(J4)*4/3))*0.406)</f>
        <v>0.485103976647153967</v>
      </c>
      <c r="BY4" s="29">
        <f>IF(D4="TEC",((N4+I4+(LOG(J4)*4/3))*0.15)+((O4+I4+(LOG(J4)*4/3))*0.324)+((P4+I4+(LOG(J4)*4/3))*0.127),((N4+I4+(LOG(J4)*4/3))*0.144)+((O4+I4+(LOG(J4)*4/3))*0.25)+((P4+I4+(LOG(J4)*4/3))*0.127))</f>
        <v>1.18151027545114996</v>
      </c>
      <c r="BZ4" s="29">
        <f>IF(D4="TEC",((O4+I4+(LOG(J4)*4/3))*0.543)+((P4+I4+(LOG(J4)*4/3))*0.583),((O4+I4+(LOG(J4)*4/3))*0.543)+((P4+I4+(LOG(J4)*4/3))*0.583))</f>
        <v>1.92838689089827007</v>
      </c>
      <c r="CA4" s="29">
        <f>BY4</f>
        <v>1.18151027545114996</v>
      </c>
      <c r="CB4" s="29">
        <f>((P4+I4+(LOG(J4)*4/3))*0.26)+((N4+I4+(LOG(J4)*4/3))*0.221)+((O4+I4+(LOG(J4)*4/3))*0.142)</f>
        <v>1.6673836883033899</v>
      </c>
      <c r="CC4" s="29">
        <f>((P4+I4+(LOG(J4)*4/3))*1)+((O4+I4+(LOG(J4)*4/3))*0.369)</f>
        <v>2.6357323744580099</v>
      </c>
      <c r="CD4" s="29">
        <f>CB4</f>
        <v>1.6673836883033899</v>
      </c>
      <c r="CE4" s="29">
        <f>((M4+I4+(LOG(J4)*4/3))*0.25)</f>
        <v>0.298709345226080014</v>
      </c>
    </row>
    <row r="5" spans="1:83">
      <c r="A5" t="str">
        <f>Plantilla!D6</f>
        <v>Miguel Fernández</v>
      </c>
      <c r="B5">
        <f>Plantilla!E6</f>
        <v>25</v>
      </c>
      <c r="C5" s="27">
        <f>Plantilla!F6</f>
        <v>63</v>
      </c>
      <c r="D5" s="44">
        <f>Plantilla!G6</f>
        <v>0</v>
      </c>
      <c r="E5" s="25">
        <f>Plantilla!M6</f>
        <v>43395</v>
      </c>
      <c r="F5" s="39">
        <f>Plantilla!Q6</f>
        <v>4</v>
      </c>
      <c r="G5" s="40">
        <f>(F5/7)^0.5</f>
        <v>0.755928946018454972</v>
      </c>
      <c r="H5" s="40">
        <f>IF(F5=7,1,((F5+0.99)/7)^0.5)</f>
        <v>0.844308677473554958</v>
      </c>
      <c r="I5" s="106">
        <f>Plantilla!N6</f>
        <v>1</v>
      </c>
      <c r="J5" s="31">
        <f>Plantilla!I6</f>
        <v>4.40000000000000036</v>
      </c>
      <c r="K5" s="38">
        <f>Plantilla!X6</f>
        <v>0</v>
      </c>
      <c r="L5" s="38">
        <f>Plantilla!Y6</f>
        <v>15.4034722222222005</v>
      </c>
      <c r="M5" s="38">
        <f>Plantilla!Z6</f>
        <v>5</v>
      </c>
      <c r="N5" s="38">
        <f>Plantilla!AA6</f>
        <v>6</v>
      </c>
      <c r="O5" s="38">
        <f>Plantilla!AB6</f>
        <v>8</v>
      </c>
      <c r="P5" s="38">
        <f>Plantilla!AC6</f>
        <v>2</v>
      </c>
      <c r="Q5" s="38">
        <f>Plantilla!AD6</f>
        <v>13</v>
      </c>
      <c r="R5" s="38">
        <f>((2*(O5+1))+(L5+1))/8</f>
        <v>4.30043402777778017</v>
      </c>
      <c r="S5" s="38">
        <f>(0.5*P5+0.3*Q5)/10</f>
        <v>0.490000000000000036</v>
      </c>
      <c r="T5" s="38">
        <f>(0.4*L5+0.3*Q5)/10</f>
        <v>1.00613888888889003</v>
      </c>
      <c r="U5" s="38">
        <f>(Q5+I5+(LOG(J5)*4/3))*(F5/7)^0.5</f>
        <v>11.2315445823236999</v>
      </c>
      <c r="V5" s="38">
        <f>IF(F5=7,U5,(Q5+I5+(LOG(J5)*4/3))*((F5+0.99)/7)^0.5)</f>
        <v>12.5446850556976006</v>
      </c>
      <c r="W5" s="29">
        <f>((K5+I5+(LOG(J5)*4/3))*0.597)+((L5+I5+(LOG(J5)*4/3))*0.276)</f>
        <v>5.87333724876325025</v>
      </c>
      <c r="X5" s="29">
        <f>((K5+I5+(LOG(J5)*4/3))*0.866)+((L5+I5+(LOG(J5)*4/3))*0.425)</f>
        <v>8.94507223490266945</v>
      </c>
      <c r="Y5" s="29">
        <f>W5</f>
        <v>5.87333724876325025</v>
      </c>
      <c r="Z5" s="29">
        <f>((L5+I5+(LOG(J5)*4/3))*0.516)</f>
        <v>8.90688710808916007</v>
      </c>
      <c r="AA5" s="29">
        <f>((L5+I5+(LOG(J5)*4/3))*1)</f>
        <v>17.2614091242038015</v>
      </c>
      <c r="AB5" s="29">
        <f>Z5/2</f>
        <v>4.45344355404458003</v>
      </c>
      <c r="AC5" s="29">
        <f>((M5+I5+(LOG(J5)*4/3))*0.238)</f>
        <v>1.63218898267162</v>
      </c>
      <c r="AD5" s="29">
        <f>((L5+I5+(LOG(J5)*4/3))*0.378)</f>
        <v>6.52481264894904012</v>
      </c>
      <c r="AE5" s="29">
        <f>((L5+I5+(LOG(J5)*4/3))*0.723)</f>
        <v>12.4799987967993999</v>
      </c>
      <c r="AF5" s="29">
        <f>AD5/2</f>
        <v>3.26240632447452006</v>
      </c>
      <c r="AG5" s="29">
        <f>((M5+I5+(LOG(J5)*4/3))*0.385)</f>
        <v>2.64030570726291014</v>
      </c>
      <c r="AH5" s="29">
        <f>((L5+I5+(LOG(J5)*4/3))*0.92)</f>
        <v>15.8804963942674995</v>
      </c>
      <c r="AI5" s="29">
        <f>((L5+I5+(LOG(J5)*4/3))*0.414)</f>
        <v>7.14622337742036962</v>
      </c>
      <c r="AJ5" s="29">
        <f>((M5+I5+(LOG(J5)*4/3))*0.167)</f>
        <v>1.14527546263092006</v>
      </c>
      <c r="AK5" s="29">
        <f>((N5+I5+(LOG(J5)*4/3))*0.588)</f>
        <v>4.62046689836517022</v>
      </c>
      <c r="AL5" s="29">
        <f>((L5+I5+(LOG(J5)*4/3))*0.754)</f>
        <v>13.0151024796497001</v>
      </c>
      <c r="AM5" s="29">
        <f>((L5+I5+(LOG(J5)*4/3))*0.708)</f>
        <v>12.2210776599363005</v>
      </c>
      <c r="AN5" s="29">
        <f>((Q5+I5+(LOG(J5)*4/3))*0.167)</f>
        <v>2.48127546263093013</v>
      </c>
      <c r="AO5" s="29">
        <f>((R5+I5+(LOG(J5)*4/3))*0.288)</f>
        <v>1.77361082777069985</v>
      </c>
      <c r="AP5" s="29">
        <f>((L5+I5+(LOG(J5)*4/3))*0.27)</f>
        <v>4.6605804635350303</v>
      </c>
      <c r="AQ5" s="29">
        <f>((L5+I5+(LOG(J5)*4/3))*0.594)</f>
        <v>10.2532770197770997</v>
      </c>
      <c r="AR5" s="29">
        <f>AP5/2</f>
        <v>2.33029023176752004</v>
      </c>
      <c r="AS5" s="29">
        <f>((M5+I5+(LOG(J5)*4/3))*0.944)</f>
        <v>6.47389243547061</v>
      </c>
      <c r="AT5" s="29">
        <f>((O5+I5+(LOG(J5)*4/3))*0.13)</f>
        <v>1.28153179725760991</v>
      </c>
      <c r="AU5" s="29">
        <f>((P5+I5+(LOG(J5)*4/3))*0.173)+((O5+I5+(LOG(J5)*4/3))*0.12)</f>
        <v>1.8503755122806</v>
      </c>
      <c r="AV5" s="29">
        <f>AT5/2</f>
        <v>0.640765898628804997</v>
      </c>
      <c r="AW5" s="29">
        <f>((L5+I5+(LOG(J5)*4/3))*0.189)</f>
        <v>3.26240632447452006</v>
      </c>
      <c r="AX5" s="29">
        <f>((L5+I5+(LOG(J5)*4/3))*0.4)</f>
        <v>6.9045636496815197</v>
      </c>
      <c r="AY5" s="29">
        <f>AW5/2</f>
        <v>1.63120316223726007</v>
      </c>
      <c r="AZ5" s="29">
        <f>((M5+I5+(LOG(J5)*4/3))*1)</f>
        <v>6.85793690198157968</v>
      </c>
      <c r="BA5" s="29">
        <f>((O5+I5+(LOG(J5)*4/3))*0.253)</f>
        <v>2.49405803620134003</v>
      </c>
      <c r="BB5" s="29">
        <f>((P5+I5+(LOG(J5)*4/3))*0.21)+((O5+I5+(LOG(J5)*4/3))*0.341)</f>
        <v>4.17172323299184988</v>
      </c>
      <c r="BC5" s="29">
        <f>BA5/2</f>
        <v>1.24702901810067002</v>
      </c>
      <c r="BD5" s="29">
        <f>((L5+I5+(LOG(J5)*4/3))*0.291)</f>
        <v>5.02307005514331006</v>
      </c>
      <c r="BE5" s="29">
        <f>((L5+I5+(LOG(J5)*4/3))*0.348)</f>
        <v>6.00697037522292021</v>
      </c>
      <c r="BF5" s="29">
        <f>((M5+I5+(LOG(J5)*4/3))*0.881)</f>
        <v>6.04184241064576977</v>
      </c>
      <c r="BG5" s="29">
        <f>((N5+I5+(LOG(J5)*4/3))*0.574)+((O5+I5+(LOG(J5)*4/3))*0.315)</f>
        <v>7.61570590586163032</v>
      </c>
      <c r="BH5" s="29">
        <f>((O5+I5+(LOG(J5)*4/3))*0.241)</f>
        <v>2.37576279337756002</v>
      </c>
      <c r="BI5" s="29">
        <f>((L5+I5+(LOG(J5)*4/3))*0.485)</f>
        <v>8.37178342523884922</v>
      </c>
      <c r="BJ5" s="29">
        <f>((L5+I5+(LOG(J5)*4/3))*0.264)</f>
        <v>4.55701200878980028</v>
      </c>
      <c r="BK5" s="29">
        <f>((M5+I5+(LOG(J5)*4/3))*0.381)</f>
        <v>2.61287395965497993</v>
      </c>
      <c r="BL5" s="29">
        <f>((N5+I5+(LOG(J5)*4/3))*0.673)+((O5+I5+(LOG(J5)*4/3))*0.201)</f>
        <v>7.26983685233189991</v>
      </c>
      <c r="BM5" s="29">
        <f>((O5+I5+(LOG(J5)*4/3))*0.052)</f>
        <v>0.512612718903043074</v>
      </c>
      <c r="BN5" s="29">
        <f>((L5+I5+(LOG(J5)*4/3))*0.18)</f>
        <v>3.10705364235667991</v>
      </c>
      <c r="BO5" s="29">
        <f>((L5+I5+(LOG(J5)*4/3))*0.068)</f>
        <v>1.17377582044585993</v>
      </c>
      <c r="BP5" s="29">
        <f>((M5+I5+(LOG(J5)*4/3))*0.305)</f>
        <v>2.09167075510438005</v>
      </c>
      <c r="BQ5" s="29">
        <f>((N5+I5+(LOG(J5)*4/3))*1)+((O5+I5+(LOG(J5)*4/3))*0.286)</f>
        <v>10.6773068559483004</v>
      </c>
      <c r="BR5" s="29">
        <f>((O5+I5+(LOG(J5)*4/3))*0.135)</f>
        <v>1.33082148176751991</v>
      </c>
      <c r="BS5" s="29">
        <f>((L5+I5+(LOG(J5)*4/3))*0.284)</f>
        <v>4.90224019127388022</v>
      </c>
      <c r="BT5" s="29">
        <f>((L5+I5+(LOG(J5)*4/3))*0.244)</f>
        <v>4.21178382630573012</v>
      </c>
      <c r="BU5" s="29">
        <f>((M5+I5+(LOG(J5)*4/3))*0.631)</f>
        <v>4.32735818515037973</v>
      </c>
      <c r="BV5" s="29">
        <f>((N5+I5+(LOG(J5)*4/3))*0.702)+((O5+I5+(LOG(J5)*4/3))*0.193)</f>
        <v>7.41885352727352032</v>
      </c>
      <c r="BW5" s="29">
        <f>((O5+I5+(LOG(J5)*4/3))*0.148)</f>
        <v>1.45897466149327997</v>
      </c>
      <c r="BX5" s="29">
        <f>((M5+I5+(LOG(J5)*4/3))*0.406)</f>
        <v>2.78432238220452</v>
      </c>
      <c r="BY5" s="29">
        <f>IF(D5="TEC",((N5+I5+(LOG(J5)*4/3))*0.15)+((O5+I5+(LOG(J5)*4/3))*0.324)+((P5+I5+(LOG(J5)*4/3))*0.127),((N5+I5+(LOG(J5)*4/3))*0.144)+((O5+I5+(LOG(J5)*4/3))*0.25)+((P5+I5+(LOG(J5)*4/3))*0.127))</f>
        <v>4.08598512593241026</v>
      </c>
      <c r="BZ5" s="29">
        <f>IF(D5="TEC",((O5+I5+(LOG(J5)*4/3))*0.543)+((P5+I5+(LOG(J5)*4/3))*0.583),((O5+I5+(LOG(J5)*4/3))*0.543)+((P5+I5+(LOG(J5)*4/3))*0.583))</f>
        <v>7.6020369516312698</v>
      </c>
      <c r="CA5" s="29">
        <f>BY5</f>
        <v>4.08598512593241026</v>
      </c>
      <c r="CB5" s="29">
        <f>((P5+I5+(LOG(J5)*4/3))*0.26)+((N5+I5+(LOG(J5)*4/3))*0.221)+((O5+I5+(LOG(J5)*4/3))*0.142)</f>
        <v>4.13949468993452996</v>
      </c>
      <c r="CC5" s="29">
        <f>((P5+I5+(LOG(J5)*4/3))*1)+((O5+I5+(LOG(J5)*4/3))*0.369)</f>
        <v>7.4955156188127896</v>
      </c>
      <c r="CD5" s="29">
        <f>CB5</f>
        <v>4.13949468993452996</v>
      </c>
      <c r="CE5" s="29">
        <f>((M5+I5+(LOG(J5)*4/3))*0.25)</f>
        <v>1.71448422549539998</v>
      </c>
    </row>
    <row r="6" spans="1:83">
      <c r="A6" t="str">
        <f>Plantilla!D7</f>
        <v>Iván Real Figueroa</v>
      </c>
      <c r="B6">
        <f>Plantilla!E7</f>
        <v>25</v>
      </c>
      <c r="C6" s="27">
        <f>Plantilla!F7</f>
        <v>44</v>
      </c>
      <c r="D6" s="44">
        <f>Plantilla!G7</f>
        <v>0</v>
      </c>
      <c r="E6" s="25">
        <f>Plantilla!M7</f>
        <v>43410</v>
      </c>
      <c r="F6" s="39">
        <f>Plantilla!Q7</f>
        <v>5</v>
      </c>
      <c r="G6" s="40">
        <f>(F6/7)^0.5</f>
        <v>0.845154254728516108</v>
      </c>
      <c r="H6" s="40">
        <f>IF(F6=7,1,((F6+0.99)/7)^0.5)</f>
        <v>0.925048261289262008</v>
      </c>
      <c r="I6" s="106">
        <f>Plantilla!N7</f>
        <v>1</v>
      </c>
      <c r="J6" s="31">
        <f>Plantilla!I7</f>
        <v>5.5</v>
      </c>
      <c r="K6" s="38">
        <f>Plantilla!X7</f>
        <v>0</v>
      </c>
      <c r="L6" s="38">
        <f>Plantilla!Y7</f>
        <v>15.3125</v>
      </c>
      <c r="M6" s="38">
        <f>Plantilla!Z7</f>
        <v>5</v>
      </c>
      <c r="N6" s="38">
        <f>Plantilla!AA7</f>
        <v>7.75</v>
      </c>
      <c r="O6" s="38">
        <f>Plantilla!AB7</f>
        <v>8.5</v>
      </c>
      <c r="P6" s="38">
        <f>Plantilla!AC7</f>
        <v>1</v>
      </c>
      <c r="Q6" s="38">
        <f>Plantilla!AD7</f>
        <v>12</v>
      </c>
      <c r="R6" s="38">
        <f>((2*(O6+1))+(L6+1))/8</f>
        <v>4.4140625</v>
      </c>
      <c r="S6" s="38">
        <f>(0.5*P6+0.3*Q6)/10</f>
        <v>0.409999999999999964</v>
      </c>
      <c r="T6" s="38">
        <f>(0.4*L6+0.3*Q6)/10</f>
        <v>0.972499999999999964</v>
      </c>
      <c r="U6" s="38">
        <f>(Q6+I6+(LOG(J6)*4/3))*(F6/7)^0.5</f>
        <v>11.8212995475618001</v>
      </c>
      <c r="V6" s="38">
        <f>IF(F6=7,U6,(Q6+I6+(LOG(J6)*4/3))*((F6+0.99)/7)^0.5)</f>
        <v>12.9387890216138999</v>
      </c>
      <c r="W6" s="29">
        <f>((K6+I6+(LOG(J6)*4/3))*0.597)+((L6+I6+(LOG(J6)*4/3))*0.276)</f>
        <v>5.9610321705713103</v>
      </c>
      <c r="X6" s="29">
        <f>((K6+I6+(LOG(J6)*4/3))*0.866)+((L6+I6+(LOG(J6)*4/3))*0.425)</f>
        <v>9.07322347618277014</v>
      </c>
      <c r="Y6" s="29">
        <f>W6</f>
        <v>5.9610321705713103</v>
      </c>
      <c r="Z6" s="29">
        <f>((L6+I6+(LOG(J6)*4/3))*0.516)</f>
        <v>8.9266195303720508</v>
      </c>
      <c r="AA6" s="29">
        <f>((L6+I6+(LOG(J6)*4/3))*1)</f>
        <v>17.2996502526589992</v>
      </c>
      <c r="AB6" s="29">
        <f>Z6/2</f>
        <v>4.46330976518602984</v>
      </c>
      <c r="AC6" s="29">
        <f>((M6+I6+(LOG(J6)*4/3))*0.238)</f>
        <v>1.66294176013284005</v>
      </c>
      <c r="AD6" s="29">
        <f>((L6+I6+(LOG(J6)*4/3))*0.378)</f>
        <v>6.53926779550509973</v>
      </c>
      <c r="AE6" s="29">
        <f>((L6+I6+(LOG(J6)*4/3))*0.723)</f>
        <v>12.5076471326724992</v>
      </c>
      <c r="AF6" s="29">
        <f>AD6/2</f>
        <v>3.26963389775254987</v>
      </c>
      <c r="AG6" s="29">
        <f>((M6+I6+(LOG(J6)*4/3))*0.385)</f>
        <v>2.69005284727370997</v>
      </c>
      <c r="AH6" s="29">
        <f>((L6+I6+(LOG(J6)*4/3))*0.92)</f>
        <v>15.9156782324463002</v>
      </c>
      <c r="AI6" s="29">
        <f>((L6+I6+(LOG(J6)*4/3))*0.414)</f>
        <v>7.16205520460083012</v>
      </c>
      <c r="AJ6" s="29">
        <f>((M6+I6+(LOG(J6)*4/3))*0.167)</f>
        <v>1.16685409219405001</v>
      </c>
      <c r="AK6" s="29">
        <f>((N6+I6+(LOG(J6)*4/3))*0.588)</f>
        <v>5.7254443485634896</v>
      </c>
      <c r="AL6" s="29">
        <f>((L6+I6+(LOG(J6)*4/3))*0.754)</f>
        <v>13.0439362905049006</v>
      </c>
      <c r="AM6" s="29">
        <f>((L6+I6+(LOG(J6)*4/3))*0.708)</f>
        <v>12.2481523788825992</v>
      </c>
      <c r="AN6" s="29">
        <f>((Q6+I6+(LOG(J6)*4/3))*0.167)</f>
        <v>2.33585409219405005</v>
      </c>
      <c r="AO6" s="29">
        <f>((R6+I6+(LOG(J6)*4/3))*0.288)</f>
        <v>1.84354927276579001</v>
      </c>
      <c r="AP6" s="29">
        <f>((L6+I6+(LOG(J6)*4/3))*0.27)</f>
        <v>4.6709055682179299</v>
      </c>
      <c r="AQ6" s="29">
        <f>((L6+I6+(LOG(J6)*4/3))*0.594)</f>
        <v>10.2759922500793994</v>
      </c>
      <c r="AR6" s="29">
        <f>AP6/2</f>
        <v>2.33545278410896984</v>
      </c>
      <c r="AS6" s="29">
        <f>((M6+I6+(LOG(J6)*4/3))*0.944)</f>
        <v>6.59586983851009023</v>
      </c>
      <c r="AT6" s="29">
        <f>((O6+I6+(LOG(J6)*4/3))*0.13)</f>
        <v>1.36332953284567004</v>
      </c>
      <c r="AU6" s="29">
        <f>((P6+I6+(LOG(J6)*4/3))*0.173)+((O6+I6+(LOG(J6)*4/3))*0.12)</f>
        <v>1.77523502402908999</v>
      </c>
      <c r="AV6" s="29">
        <f>AT6/2</f>
        <v>0.681664766422835022</v>
      </c>
      <c r="AW6" s="29">
        <f>((L6+I6+(LOG(J6)*4/3))*0.189)</f>
        <v>3.26963389775254987</v>
      </c>
      <c r="AX6" s="29">
        <f>((L6+I6+(LOG(J6)*4/3))*0.4)</f>
        <v>6.91986010106360006</v>
      </c>
      <c r="AY6" s="29">
        <f>AW6/2</f>
        <v>1.63481694887628004</v>
      </c>
      <c r="AZ6" s="29">
        <f>((M6+I6+(LOG(J6)*4/3))*1)</f>
        <v>6.98715025265899037</v>
      </c>
      <c r="BA6" s="29">
        <f>((O6+I6+(LOG(J6)*4/3))*0.253)</f>
        <v>2.65324901392272983</v>
      </c>
      <c r="BB6" s="29">
        <f>((P6+I6+(LOG(J6)*4/3))*0.21)+((O6+I6+(LOG(J6)*4/3))*0.341)</f>
        <v>4.20341978921511039</v>
      </c>
      <c r="BC6" s="29">
        <f>BA6/2</f>
        <v>1.32662450696137002</v>
      </c>
      <c r="BD6" s="29">
        <f>((L6+I6+(LOG(J6)*4/3))*0.291)</f>
        <v>5.03419822352377011</v>
      </c>
      <c r="BE6" s="29">
        <f>((L6+I6+(LOG(J6)*4/3))*0.348)</f>
        <v>6.02027828792533004</v>
      </c>
      <c r="BF6" s="29">
        <f>((M6+I6+(LOG(J6)*4/3))*0.881)</f>
        <v>6.15567937259257025</v>
      </c>
      <c r="BG6" s="29">
        <f>((N6+I6+(LOG(J6)*4/3))*0.574)+((O6+I6+(LOG(J6)*4/3))*0.315)</f>
        <v>8.89257657461386053</v>
      </c>
      <c r="BH6" s="29">
        <f>((O6+I6+(LOG(J6)*4/3))*0.241)</f>
        <v>2.52740321089081998</v>
      </c>
      <c r="BI6" s="29">
        <f>((L6+I6+(LOG(J6)*4/3))*0.485)</f>
        <v>8.39033037253961922</v>
      </c>
      <c r="BJ6" s="29">
        <f>((L6+I6+(LOG(J6)*4/3))*0.264)</f>
        <v>4.56710766670197987</v>
      </c>
      <c r="BK6" s="29">
        <f>((M6+I6+(LOG(J6)*4/3))*0.381)</f>
        <v>2.66210424626307995</v>
      </c>
      <c r="BL6" s="29">
        <f>((N6+I6+(LOG(J6)*4/3))*0.673)+((O6+I6+(LOG(J6)*4/3))*0.201)</f>
        <v>8.66101932082396964</v>
      </c>
      <c r="BM6" s="29">
        <f>((O6+I6+(LOG(J6)*4/3))*0.052)</f>
        <v>0.545331813138267929</v>
      </c>
      <c r="BN6" s="29">
        <f>((L6+I6+(LOG(J6)*4/3))*0.18)</f>
        <v>3.11393704547861994</v>
      </c>
      <c r="BO6" s="29">
        <f>((L6+I6+(LOG(J6)*4/3))*0.068)</f>
        <v>1.17637621718081009</v>
      </c>
      <c r="BP6" s="29">
        <f>((M6+I6+(LOG(J6)*4/3))*0.305)</f>
        <v>2.13108082706098978</v>
      </c>
      <c r="BQ6" s="29">
        <f>((N6+I6+(LOG(J6)*4/3))*1)+((O6+I6+(LOG(J6)*4/3))*0.286)</f>
        <v>12.7364752249195003</v>
      </c>
      <c r="BR6" s="29">
        <f>((O6+I6+(LOG(J6)*4/3))*0.135)</f>
        <v>1.41576528410897007</v>
      </c>
      <c r="BS6" s="29">
        <f>((L6+I6+(LOG(J6)*4/3))*0.284)</f>
        <v>4.91310067175515996</v>
      </c>
      <c r="BT6" s="29">
        <f>((L6+I6+(LOG(J6)*4/3))*0.244)</f>
        <v>4.22111466164879978</v>
      </c>
      <c r="BU6" s="29">
        <f>((M6+I6+(LOG(J6)*4/3))*0.631)</f>
        <v>4.40889180942782044</v>
      </c>
      <c r="BV6" s="29">
        <f>((N6+I6+(LOG(J6)*4/3))*0.702)+((O6+I6+(LOG(J6)*4/3))*0.193)</f>
        <v>8.8594994761298107</v>
      </c>
      <c r="BW6" s="29">
        <f>((O6+I6+(LOG(J6)*4/3))*0.148)</f>
        <v>1.55209823739352988</v>
      </c>
      <c r="BX6" s="29">
        <f>((M6+I6+(LOG(J6)*4/3))*0.406)</f>
        <v>2.83678300257954987</v>
      </c>
      <c r="BY6" s="29">
        <f>IF(D6="TEC",((N6+I6+(LOG(J6)*4/3))*0.15)+((O6+I6+(LOG(J6)*4/3))*0.324)+((P6+I6+(LOG(J6)*4/3))*0.127),((N6+I6+(LOG(J6)*4/3))*0.144)+((O6+I6+(LOG(J6)*4/3))*0.25)+((P6+I6+(LOG(J6)*4/3))*0.127))</f>
        <v>4.40330528163534041</v>
      </c>
      <c r="BZ6" s="29">
        <f>IF(D6="TEC",((O6+I6+(LOG(J6)*4/3))*0.543)+((P6+I6+(LOG(J6)*4/3))*0.583),((O6+I6+(LOG(J6)*4/3))*0.543)+((P6+I6+(LOG(J6)*4/3))*0.583))</f>
        <v>7.43603118449402967</v>
      </c>
      <c r="CA6" s="29">
        <f>BY6</f>
        <v>4.40330528163534041</v>
      </c>
      <c r="CB6" s="29">
        <f>((P6+I6+(LOG(J6)*4/3))*0.26)+((N6+I6+(LOG(J6)*4/3))*0.221)+((O6+I6+(LOG(J6)*4/3))*0.142)</f>
        <v>4.41774460740655961</v>
      </c>
      <c r="CC6" s="29">
        <f>((P6+I6+(LOG(J6)*4/3))*1)+((O6+I6+(LOG(J6)*4/3))*0.369)</f>
        <v>6.85690869589016039</v>
      </c>
      <c r="CD6" s="29">
        <f>CB6</f>
        <v>4.41774460740655961</v>
      </c>
      <c r="CE6" s="29">
        <f>((M6+I6+(LOG(J6)*4/3))*0.25)</f>
        <v>1.74678756316474999</v>
      </c>
    </row>
    <row r="7" spans="1:83">
      <c r="A7" t="str">
        <f>Plantilla!D8</f>
        <v>Berto Abandero</v>
      </c>
      <c r="B7">
        <f>Plantilla!E8</f>
        <v>25</v>
      </c>
      <c r="C7" s="27">
        <f>Plantilla!F8</f>
        <v>94</v>
      </c>
      <c r="D7" s="44">
        <f>Plantilla!G8</f>
        <v>0</v>
      </c>
      <c r="E7" s="25">
        <f>Plantilla!M8</f>
        <v>43383</v>
      </c>
      <c r="F7" s="39">
        <f>Plantilla!Q8</f>
        <v>2</v>
      </c>
      <c r="G7" s="40">
        <f>(F7/7)^0.5</f>
        <v>0.534522483824849015</v>
      </c>
      <c r="H7" s="40">
        <f>IF(F7=7,1,((F7+0.99)/7)^0.5)</f>
        <v>0.653561670497020941</v>
      </c>
      <c r="I7" s="106">
        <f>Plantilla!N8</f>
        <v>1</v>
      </c>
      <c r="J7" s="31">
        <f>Plantilla!I8</f>
        <v>5.90000000000000036</v>
      </c>
      <c r="K7" s="38">
        <f>Plantilla!X8</f>
        <v>0</v>
      </c>
      <c r="L7" s="38">
        <f>Plantilla!Y8</f>
        <v>14</v>
      </c>
      <c r="M7" s="38">
        <f>Plantilla!Z8</f>
        <v>3</v>
      </c>
      <c r="N7" s="38">
        <f>Plantilla!AA8</f>
        <v>7.8666666666666698</v>
      </c>
      <c r="O7" s="38">
        <f>Plantilla!AB8</f>
        <v>11.4285714285714004</v>
      </c>
      <c r="P7" s="38">
        <f>Plantilla!AC8</f>
        <v>3</v>
      </c>
      <c r="Q7" s="38">
        <f>Plantilla!AD8</f>
        <v>13</v>
      </c>
      <c r="R7" s="38">
        <f>((2*(O7+1))+(L7+1))/8</f>
        <v>4.98214285714284966</v>
      </c>
      <c r="S7" s="38">
        <f>(0.5*P7+0.3*Q7)/10</f>
        <v>0.540000000000000036</v>
      </c>
      <c r="T7" s="38">
        <f>(0.4*L7+0.3*Q7)/10</f>
        <v>0.95</v>
      </c>
      <c r="U7" s="38">
        <f>(Q7+I7+(LOG(J7)*4/3))*(F7/7)^0.5</f>
        <v>8.03269841611366076</v>
      </c>
      <c r="V7" s="38">
        <f>IF(F7=7,U7,(Q7+I7+(LOG(J7)*4/3))*((F7+0.99)/7)^0.5)</f>
        <v>9.82159582487138039</v>
      </c>
      <c r="W7" s="29">
        <f>((K7+I7+(LOG(J7)*4/3))*0.597)+((L7+I7+(LOG(J7)*4/3))*0.276)</f>
        <v>5.63427174155144961</v>
      </c>
      <c r="X7" s="29">
        <f>((K7+I7+(LOG(J7)*4/3))*0.866)+((L7+I7+(LOG(J7)*4/3))*0.425)</f>
        <v>8.5678932627066704</v>
      </c>
      <c r="Y7" s="29">
        <f>W7</f>
        <v>5.63427174155144961</v>
      </c>
      <c r="Z7" s="29">
        <f>((L7+I7+(LOG(J7)*4/3))*0.516)</f>
        <v>8.27034618400977983</v>
      </c>
      <c r="AA7" s="29">
        <f>((L7+I7+(LOG(J7)*4/3))*1)</f>
        <v>16.027802682189499</v>
      </c>
      <c r="AB7" s="29">
        <f>Z7/2</f>
        <v>4.13517309200488992</v>
      </c>
      <c r="AC7" s="29">
        <f>((M7+I7+(LOG(J7)*4/3))*0.238)</f>
        <v>1.19661703836111011</v>
      </c>
      <c r="AD7" s="29">
        <f>((L7+I7+(LOG(J7)*4/3))*0.378)</f>
        <v>6.05850941386762987</v>
      </c>
      <c r="AE7" s="29">
        <f>((L7+I7+(LOG(J7)*4/3))*0.723)</f>
        <v>11.5881013392229999</v>
      </c>
      <c r="AF7" s="29">
        <f>AD7/2</f>
        <v>3.02925470693381982</v>
      </c>
      <c r="AG7" s="29">
        <f>((M7+I7+(LOG(J7)*4/3))*0.385)</f>
        <v>1.93570403264297006</v>
      </c>
      <c r="AH7" s="29">
        <f>((L7+I7+(LOG(J7)*4/3))*0.92)</f>
        <v>14.7455784676142994</v>
      </c>
      <c r="AI7" s="29">
        <f>((L7+I7+(LOG(J7)*4/3))*0.414)</f>
        <v>6.6355103104264499</v>
      </c>
      <c r="AJ7" s="29">
        <f>((M7+I7+(LOG(J7)*4/3))*0.167)</f>
        <v>0.839643047925651942</v>
      </c>
      <c r="AK7" s="29">
        <f>((N7+I7+(LOG(J7)*4/3))*0.588)</f>
        <v>5.81794797712745027</v>
      </c>
      <c r="AL7" s="29">
        <f>((L7+I7+(LOG(J7)*4/3))*0.754)</f>
        <v>12.0849632223709005</v>
      </c>
      <c r="AM7" s="29">
        <f>((L7+I7+(LOG(J7)*4/3))*0.708)</f>
        <v>11.3476842989902007</v>
      </c>
      <c r="AN7" s="29">
        <f>((Q7+I7+(LOG(J7)*4/3))*0.167)</f>
        <v>2.50964304792565018</v>
      </c>
      <c r="AO7" s="29">
        <f>((R7+I7+(LOG(J7)*4/3))*0.288)</f>
        <v>2.01886431532772992</v>
      </c>
      <c r="AP7" s="29">
        <f>((L7+I7+(LOG(J7)*4/3))*0.27)</f>
        <v>4.32750672419116977</v>
      </c>
      <c r="AQ7" s="29">
        <f>((L7+I7+(LOG(J7)*4/3))*0.594)</f>
        <v>9.52051479322055982</v>
      </c>
      <c r="AR7" s="29">
        <f>AP7/2</f>
        <v>2.16375336209559022</v>
      </c>
      <c r="AS7" s="29">
        <f>((M7+I7+(LOG(J7)*4/3))*0.944)</f>
        <v>4.74624573198692001</v>
      </c>
      <c r="AT7" s="29">
        <f>((O7+I7+(LOG(J7)*4/3))*0.13)</f>
        <v>1.7493286343989201</v>
      </c>
      <c r="AU7" s="29">
        <f>((P7+I7+(LOG(J7)*4/3))*0.173)+((O7+I7+(LOG(J7)*4/3))*0.12)</f>
        <v>2.4845747573100998</v>
      </c>
      <c r="AV7" s="29">
        <f>AT7/2</f>
        <v>0.874664317199460051</v>
      </c>
      <c r="AW7" s="29">
        <f>((L7+I7+(LOG(J7)*4/3))*0.189)</f>
        <v>3.02925470693381982</v>
      </c>
      <c r="AX7" s="29">
        <f>((L7+I7+(LOG(J7)*4/3))*0.4)</f>
        <v>6.41112107287580013</v>
      </c>
      <c r="AY7" s="29">
        <f>AW7/2</f>
        <v>1.51462735346690991</v>
      </c>
      <c r="AZ7" s="29">
        <f>((M7+I7+(LOG(J7)*4/3))*1)</f>
        <v>5.02780268218953008</v>
      </c>
      <c r="BA7" s="29">
        <f>((O7+I7+(LOG(J7)*4/3))*0.253)</f>
        <v>3.40446265002251014</v>
      </c>
      <c r="BB7" s="29">
        <f>((P7+I7+(LOG(J7)*4/3))*0.21)+((O7+I7+(LOG(J7)*4/3))*0.341)</f>
        <v>5.6444621350292703</v>
      </c>
      <c r="BC7" s="29">
        <f>BA7/2</f>
        <v>1.70223132501125995</v>
      </c>
      <c r="BD7" s="29">
        <f>((L7+I7+(LOG(J7)*4/3))*0.291)</f>
        <v>4.66409058051713998</v>
      </c>
      <c r="BE7" s="29">
        <f>((L7+I7+(LOG(J7)*4/3))*0.348)</f>
        <v>5.57767533340194976</v>
      </c>
      <c r="BF7" s="29">
        <f>((M7+I7+(LOG(J7)*4/3))*0.881)</f>
        <v>4.42949416300897969</v>
      </c>
      <c r="BG7" s="29">
        <f>((N7+I7+(LOG(J7)*4/3))*0.574)+((O7+I7+(LOG(J7)*4/3))*0.315)</f>
        <v>9.91818325113314003</v>
      </c>
      <c r="BH7" s="29">
        <f>((O7+I7+(LOG(J7)*4/3))*0.241)</f>
        <v>3.24298616069338008</v>
      </c>
      <c r="BI7" s="29">
        <f>((L7+I7+(LOG(J7)*4/3))*0.485)</f>
        <v>7.77348430086191033</v>
      </c>
      <c r="BJ7" s="29">
        <f>((L7+I7+(LOG(J7)*4/3))*0.264)</f>
        <v>4.23133990809802985</v>
      </c>
      <c r="BK7" s="29">
        <f>((M7+I7+(LOG(J7)*4/3))*0.381)</f>
        <v>1.91559282191420994</v>
      </c>
      <c r="BL7" s="29">
        <f>((N7+I7+(LOG(J7)*4/3))*0.673)+((O7+I7+(LOG(J7)*4/3))*0.201)</f>
        <v>9.3637090680431605</v>
      </c>
      <c r="BM7" s="29">
        <f>((O7+I7+(LOG(J7)*4/3))*0.052)</f>
        <v>0.699731453759567046</v>
      </c>
      <c r="BN7" s="29">
        <f>((L7+I7+(LOG(J7)*4/3))*0.18)</f>
        <v>2.88500448279410993</v>
      </c>
      <c r="BO7" s="29">
        <f>((L7+I7+(LOG(J7)*4/3))*0.068)</f>
        <v>1.08989058238889003</v>
      </c>
      <c r="BP7" s="29">
        <f>((M7+I7+(LOG(J7)*4/3))*0.305)</f>
        <v>1.53347981806780993</v>
      </c>
      <c r="BQ7" s="29">
        <f>((N7+I7+(LOG(J7)*4/3))*1)+((O7+I7+(LOG(J7)*4/3))*0.286)</f>
        <v>13.7429923445337998</v>
      </c>
      <c r="BR7" s="29">
        <f>((O7+I7+(LOG(J7)*4/3))*0.135)</f>
        <v>1.81661050495272001</v>
      </c>
      <c r="BS7" s="29">
        <f>((L7+I7+(LOG(J7)*4/3))*0.284)</f>
        <v>4.55189596174182043</v>
      </c>
      <c r="BT7" s="29">
        <f>((L7+I7+(LOG(J7)*4/3))*0.244)</f>
        <v>3.91078385445424015</v>
      </c>
      <c r="BU7" s="29">
        <f>((M7+I7+(LOG(J7)*4/3))*0.631)</f>
        <v>3.17254349246158984</v>
      </c>
      <c r="BV7" s="29">
        <f>((N7+I7+(LOG(J7)*4/3))*0.702)+((O7+I7+(LOG(J7)*4/3))*0.193)</f>
        <v>9.54299768627389966</v>
      </c>
      <c r="BW7" s="29">
        <f>((O7+I7+(LOG(J7)*4/3))*0.148)</f>
        <v>1.99154336839260999</v>
      </c>
      <c r="BX7" s="29">
        <f>((M7+I7+(LOG(J7)*4/3))*0.406)</f>
        <v>2.04128788896895008</v>
      </c>
      <c r="BY7" s="29">
        <f>IF(D7="TEC",((N7+I7+(LOG(J7)*4/3))*0.15)+((O7+I7+(LOG(J7)*4/3))*0.324)+((P7+I7+(LOG(J7)*4/3))*0.127),((N7+I7+(LOG(J7)*4/3))*0.144)+((O7+I7+(LOG(J7)*4/3))*0.25)+((P7+I7+(LOG(J7)*4/3))*0.127))</f>
        <v>5.42742805456359001</v>
      </c>
      <c r="BZ7" s="29">
        <f>IF(D7="TEC",((O7+I7+(LOG(J7)*4/3))*0.543)+((P7+I7+(LOG(J7)*4/3))*0.583),((O7+I7+(LOG(J7)*4/3))*0.543)+((P7+I7+(LOG(J7)*4/3))*0.583))</f>
        <v>10.2380201058597002</v>
      </c>
      <c r="CA7" s="29">
        <f>BY7</f>
        <v>5.42742805456359001</v>
      </c>
      <c r="CB7" s="29">
        <f>((P7+I7+(LOG(J7)*4/3))*0.26)+((N7+I7+(LOG(J7)*4/3))*0.221)+((O7+I7+(LOG(J7)*4/3))*0.142)</f>
        <v>5.40471154719454994</v>
      </c>
      <c r="CC7" s="29">
        <f>((P7+I7+(LOG(J7)*4/3))*1)+((O7+I7+(LOG(J7)*4/3))*0.369)</f>
        <v>9.99320472906030055</v>
      </c>
      <c r="CD7" s="29">
        <f>CB7</f>
        <v>5.40471154719454994</v>
      </c>
      <c r="CE7" s="29">
        <f>((M7+I7+(LOG(J7)*4/3))*0.25)</f>
        <v>1.25695067054738008</v>
      </c>
    </row>
    <row r="8" spans="1:83">
      <c r="A8" t="str">
        <f>Plantilla!D9</f>
        <v>Guillermo Pedrajas</v>
      </c>
      <c r="B8">
        <f>Plantilla!E9</f>
        <v>25</v>
      </c>
      <c r="C8" s="27">
        <f>Plantilla!F9</f>
        <v>79</v>
      </c>
      <c r="D8" s="44">
        <f>Plantilla!G9</f>
        <v>0</v>
      </c>
      <c r="E8" s="25">
        <f>Plantilla!M9</f>
        <v>43419</v>
      </c>
      <c r="F8" s="39">
        <f>Plantilla!Q9</f>
        <v>6</v>
      </c>
      <c r="G8" s="40">
        <f>(F8/7)^0.5</f>
        <v>0.925820099772552041</v>
      </c>
      <c r="H8" s="40">
        <f>IF(F8=7,1,((F8+0.99)/7)^0.5)</f>
        <v>0.999285459001294996</v>
      </c>
      <c r="I8" s="106">
        <f>Plantilla!N9</f>
        <v>1</v>
      </c>
      <c r="J8" s="31">
        <f>Plantilla!I9</f>
        <v>6.5</v>
      </c>
      <c r="K8" s="38">
        <f>Plantilla!X9</f>
        <v>0</v>
      </c>
      <c r="L8" s="38">
        <f>Plantilla!Y9</f>
        <v>12.2727272727273</v>
      </c>
      <c r="M8" s="38">
        <f>Plantilla!Z9</f>
        <v>11</v>
      </c>
      <c r="N8" s="38">
        <f>Plantilla!AA9</f>
        <v>4</v>
      </c>
      <c r="O8" s="38">
        <f>Plantilla!AB9</f>
        <v>11</v>
      </c>
      <c r="P8" s="38">
        <f>Plantilla!AC9</f>
        <v>4</v>
      </c>
      <c r="Q8" s="38">
        <f>Plantilla!AD9</f>
        <v>13</v>
      </c>
      <c r="R8" s="38">
        <f>((2*(O8+1))+(L8+1))/8</f>
        <v>4.65909090909091006</v>
      </c>
      <c r="S8" s="38">
        <f>(0.5*P8+0.3*Q8)/10</f>
        <v>0.589999999999999947</v>
      </c>
      <c r="T8" s="38">
        <f>(0.4*L8+0.3*Q8)/10</f>
        <v>0.88090909090909193</v>
      </c>
      <c r="U8" s="38">
        <f>(Q8+I8+(LOG(J8)*4/3))*(F8/7)^0.5</f>
        <v>13.9649634300870993</v>
      </c>
      <c r="V8" s="38">
        <f>IF(F8=7,U8,(Q8+I8+(LOG(J8)*4/3))*((F8+0.99)/7)^0.5)</f>
        <v>15.0731064216462993</v>
      </c>
      <c r="W8" s="29">
        <f>((K8+I8+(LOG(J8)*4/3))*0.597)+((L8+I8+(LOG(J8)*4/3))*0.276)</f>
        <v>5.20650387440501028</v>
      </c>
      <c r="X8" s="29">
        <f>((K8+I8+(LOG(J8)*4/3))*0.866)+((L8+I8+(LOG(J8)*4/3))*0.425)</f>
        <v>7.90620394881034017</v>
      </c>
      <c r="Y8" s="29">
        <f>W8</f>
        <v>5.20650387440501028</v>
      </c>
      <c r="Z8" s="29">
        <f>((L8+I8+(LOG(J8)*4/3))*0.516)</f>
        <v>7.40801166209756978</v>
      </c>
      <c r="AA8" s="29">
        <f>((L8+I8+(LOG(J8)*4/3))*1)</f>
        <v>14.3566117482510993</v>
      </c>
      <c r="AB8" s="29">
        <f>Z8/2</f>
        <v>3.70400583104879022</v>
      </c>
      <c r="AC8" s="29">
        <f>((M8+I8+(LOG(J8)*4/3))*0.238)</f>
        <v>3.11396450517466006</v>
      </c>
      <c r="AD8" s="29">
        <f>((L8+I8+(LOG(J8)*4/3))*0.378)</f>
        <v>5.42679924083892029</v>
      </c>
      <c r="AE8" s="29">
        <f>((L8+I8+(LOG(J8)*4/3))*0.723)</f>
        <v>10.3798302939854992</v>
      </c>
      <c r="AF8" s="29">
        <f>AD8/2</f>
        <v>2.71339962041946015</v>
      </c>
      <c r="AG8" s="29">
        <f>((M8+I8+(LOG(J8)*4/3))*0.385)</f>
        <v>5.03729552307665962</v>
      </c>
      <c r="AH8" s="29">
        <f>((L8+I8+(LOG(J8)*4/3))*0.92)</f>
        <v>13.2080828083909996</v>
      </c>
      <c r="AI8" s="29">
        <f>((L8+I8+(LOG(J8)*4/3))*0.414)</f>
        <v>5.94363726377596002</v>
      </c>
      <c r="AJ8" s="29">
        <f>((M8+I8+(LOG(J8)*4/3))*0.167)</f>
        <v>2.18500870741247999</v>
      </c>
      <c r="AK8" s="29">
        <f>((N8+I8+(LOG(J8)*4/3))*0.588)</f>
        <v>3.57732407160799992</v>
      </c>
      <c r="AL8" s="29">
        <f>((L8+I8+(LOG(J8)*4/3))*0.754)</f>
        <v>10.8248852581813004</v>
      </c>
      <c r="AM8" s="29">
        <f>((L8+I8+(LOG(J8)*4/3))*0.708)</f>
        <v>10.1644811177618006</v>
      </c>
      <c r="AN8" s="29">
        <f>((Q8+I8+(LOG(J8)*4/3))*0.167)</f>
        <v>2.51900870741248006</v>
      </c>
      <c r="AO8" s="29">
        <f>((R8+I8+(LOG(J8)*4/3))*0.288)</f>
        <v>1.94197691076904011</v>
      </c>
      <c r="AP8" s="29">
        <f>((L8+I8+(LOG(J8)*4/3))*0.27)</f>
        <v>3.87628517202780021</v>
      </c>
      <c r="AQ8" s="29">
        <f>((L8+I8+(LOG(J8)*4/3))*0.594)</f>
        <v>8.52782737846115069</v>
      </c>
      <c r="AR8" s="29">
        <f>AP8/2</f>
        <v>1.93814258601390002</v>
      </c>
      <c r="AS8" s="29">
        <f>((M8+I8+(LOG(J8)*4/3))*0.944)</f>
        <v>12.3511869448945006</v>
      </c>
      <c r="AT8" s="29">
        <f>((O8+I8+(LOG(J8)*4/3))*0.13)</f>
        <v>1.70090498181808991</v>
      </c>
      <c r="AU8" s="29">
        <f>((P8+I8+(LOG(J8)*4/3))*0.173)+((O8+I8+(LOG(J8)*4/3))*0.12)</f>
        <v>2.62257815132847982</v>
      </c>
      <c r="AV8" s="29">
        <f>AT8/2</f>
        <v>0.850452490909044911</v>
      </c>
      <c r="AW8" s="29">
        <f>((L8+I8+(LOG(J8)*4/3))*0.189)</f>
        <v>2.71339962041946015</v>
      </c>
      <c r="AX8" s="29">
        <f>((L8+I8+(LOG(J8)*4/3))*0.4)</f>
        <v>5.74264469930044008</v>
      </c>
      <c r="AY8" s="29">
        <f>AW8/2</f>
        <v>1.35669981020973007</v>
      </c>
      <c r="AZ8" s="29">
        <f>((M8+I8+(LOG(J8)*4/3))*1)</f>
        <v>13.0838844755237993</v>
      </c>
      <c r="BA8" s="29">
        <f>((O8+I8+(LOG(J8)*4/3))*0.253)</f>
        <v>3.31022277230752016</v>
      </c>
      <c r="BB8" s="29">
        <f>((P8+I8+(LOG(J8)*4/3))*0.21)+((O8+I8+(LOG(J8)*4/3))*0.341)</f>
        <v>5.73922034601361997</v>
      </c>
      <c r="BC8" s="29">
        <f>BA8/2</f>
        <v>1.65511138615376012</v>
      </c>
      <c r="BD8" s="29">
        <f>((L8+I8+(LOG(J8)*4/3))*0.291)</f>
        <v>4.17777401874107035</v>
      </c>
      <c r="BE8" s="29">
        <f>((L8+I8+(LOG(J8)*4/3))*0.348)</f>
        <v>4.99610088839138022</v>
      </c>
      <c r="BF8" s="29">
        <f>((M8+I8+(LOG(J8)*4/3))*0.881)</f>
        <v>11.5269022229364992</v>
      </c>
      <c r="BG8" s="29">
        <f>((N8+I8+(LOG(J8)*4/3))*0.574)+((O8+I8+(LOG(J8)*4/3))*0.315)</f>
        <v>7.61357329874067013</v>
      </c>
      <c r="BH8" s="29">
        <f>((O8+I8+(LOG(J8)*4/3))*0.241)</f>
        <v>3.15321615860124016</v>
      </c>
      <c r="BI8" s="29">
        <f>((L8+I8+(LOG(J8)*4/3))*0.485)</f>
        <v>6.96295669790178007</v>
      </c>
      <c r="BJ8" s="29">
        <f>((L8+I8+(LOG(J8)*4/3))*0.264)</f>
        <v>3.79014550153828988</v>
      </c>
      <c r="BK8" s="29">
        <f>((M8+I8+(LOG(J8)*4/3))*0.381)</f>
        <v>4.98495998517457028</v>
      </c>
      <c r="BL8" s="29">
        <f>((N8+I8+(LOG(J8)*4/3))*0.673)+((O8+I8+(LOG(J8)*4/3))*0.201)</f>
        <v>6.72431503160779975</v>
      </c>
      <c r="BM8" s="29">
        <f>((O8+I8+(LOG(J8)*4/3))*0.052)</f>
        <v>0.680361992727237919</v>
      </c>
      <c r="BN8" s="29">
        <f>((L8+I8+(LOG(J8)*4/3))*0.18)</f>
        <v>2.58419011468519999</v>
      </c>
      <c r="BO8" s="29">
        <f>((L8+I8+(LOG(J8)*4/3))*0.068)</f>
        <v>0.976249598881075009</v>
      </c>
      <c r="BP8" s="29">
        <f>((M8+I8+(LOG(J8)*4/3))*0.305)</f>
        <v>3.99058476503476012</v>
      </c>
      <c r="BQ8" s="29">
        <f>((N8+I8+(LOG(J8)*4/3))*1)+((O8+I8+(LOG(J8)*4/3))*0.286)</f>
        <v>9.82587543552362064</v>
      </c>
      <c r="BR8" s="29">
        <f>((O8+I8+(LOG(J8)*4/3))*0.135)</f>
        <v>1.76632440419570997</v>
      </c>
      <c r="BS8" s="29">
        <f>((L8+I8+(LOG(J8)*4/3))*0.284)</f>
        <v>4.07727773650331038</v>
      </c>
      <c r="BT8" s="29">
        <f>((L8+I8+(LOG(J8)*4/3))*0.244)</f>
        <v>3.50301326657326983</v>
      </c>
      <c r="BU8" s="29">
        <f>((M8+I8+(LOG(J8)*4/3))*0.631)</f>
        <v>8.25593110405552011</v>
      </c>
      <c r="BV8" s="29">
        <f>((N8+I8+(LOG(J8)*4/3))*0.702)+((O8+I8+(LOG(J8)*4/3))*0.193)</f>
        <v>6.79607660559380999</v>
      </c>
      <c r="BW8" s="29">
        <f>((O8+I8+(LOG(J8)*4/3))*0.148)</f>
        <v>1.93641490237751981</v>
      </c>
      <c r="BX8" s="29">
        <f>((M8+I8+(LOG(J8)*4/3))*0.406)</f>
        <v>5.31205709706266038</v>
      </c>
      <c r="BY8" s="29">
        <f>IF(D8="TEC",((N8+I8+(LOG(J8)*4/3))*0.15)+((O8+I8+(LOG(J8)*4/3))*0.324)+((P8+I8+(LOG(J8)*4/3))*0.127),((N8+I8+(LOG(J8)*4/3))*0.144)+((O8+I8+(LOG(J8)*4/3))*0.25)+((P8+I8+(LOG(J8)*4/3))*0.127))</f>
        <v>4.91970381174790017</v>
      </c>
      <c r="BZ8" s="29">
        <f>IF(D8="TEC",((O8+I8+(LOG(J8)*4/3))*0.543)+((P8+I8+(LOG(J8)*4/3))*0.583),((O8+I8+(LOG(J8)*4/3))*0.543)+((P8+I8+(LOG(J8)*4/3))*0.583))</f>
        <v>10.6514539194398008</v>
      </c>
      <c r="CA8" s="29">
        <f>BY8</f>
        <v>4.91970381174790017</v>
      </c>
      <c r="CB8" s="29">
        <f>((P8+I8+(LOG(J8)*4/3))*0.26)+((N8+I8+(LOG(J8)*4/3))*0.221)+((O8+I8+(LOG(J8)*4/3))*0.142)</f>
        <v>4.7842600282513299</v>
      </c>
      <c r="CC8" s="29">
        <f>((P8+I8+(LOG(J8)*4/3))*1)+((O8+I8+(LOG(J8)*4/3))*0.369)</f>
        <v>10.9118378469920998</v>
      </c>
      <c r="CD8" s="29">
        <f>CB8</f>
        <v>4.7842600282513299</v>
      </c>
      <c r="CE8" s="29">
        <f>((M8+I8+(LOG(J8)*4/3))*0.25)</f>
        <v>3.27097111888094982</v>
      </c>
    </row>
    <row r="9" spans="1:83">
      <c r="A9" t="str">
        <f>Plantilla!D10</f>
        <v>Venanci Oset</v>
      </c>
      <c r="B9">
        <f>Plantilla!E10</f>
        <v>26</v>
      </c>
      <c r="C9" s="27">
        <f>Plantilla!F10</f>
        <v>10</v>
      </c>
      <c r="D9" s="44">
        <f>Plantilla!G10</f>
        <v>0</v>
      </c>
      <c r="E9" s="25">
        <f>Plantilla!M10</f>
        <v>43706</v>
      </c>
      <c r="F9" s="39">
        <f>Plantilla!Q10</f>
        <v>6</v>
      </c>
      <c r="G9" s="40">
        <f>(F9/7)^0.5</f>
        <v>0.925820099772552041</v>
      </c>
      <c r="H9" s="40">
        <f>IF(F9=7,1,((F9+0.99)/7)^0.5)</f>
        <v>0.999285459001294996</v>
      </c>
      <c r="I9" s="106">
        <f>Plantilla!N10</f>
        <v>0.900002203790679012</v>
      </c>
      <c r="J9" s="31">
        <f>Plantilla!I10</f>
        <v>6.09999999999999964</v>
      </c>
      <c r="K9" s="38">
        <f>Plantilla!X10</f>
        <v>0</v>
      </c>
      <c r="L9" s="38">
        <f>Plantilla!Y10</f>
        <v>14</v>
      </c>
      <c r="M9" s="38">
        <f>Plantilla!Z10</f>
        <v>5</v>
      </c>
      <c r="N9" s="38">
        <f>Plantilla!AA10</f>
        <v>2</v>
      </c>
      <c r="O9" s="38">
        <f>Plantilla!AB10</f>
        <v>12</v>
      </c>
      <c r="P9" s="38">
        <f>Plantilla!AC10</f>
        <v>6</v>
      </c>
      <c r="Q9" s="38">
        <f>Plantilla!AD10</f>
        <v>11.5</v>
      </c>
      <c r="R9" s="38">
        <f>((2*(O9+1))+(L9+1))/8</f>
        <v>5.125</v>
      </c>
      <c r="S9" s="38">
        <f>(0.5*P9+0.3*Q9)/10</f>
        <v>0.645000000000000018</v>
      </c>
      <c r="T9" s="38">
        <f>(0.4*L9+0.3*Q9)/10</f>
        <v>0.905000000000000071</v>
      </c>
      <c r="U9" s="38">
        <f>(Q9+I9+(LOG(J9)*4/3))*(F9/7)^0.5</f>
        <v>12.4496034724321003</v>
      </c>
      <c r="V9" s="38">
        <f>IF(F9=7,U9,(Q9+I9+(LOG(J9)*4/3))*((F9+0.99)/7)^0.5)</f>
        <v>13.4375001400269003</v>
      </c>
      <c r="W9" s="29">
        <f>((K9+I9+(LOG(J9)*4/3))*0.597)+((L9+I9+(LOG(J9)*4/3))*0.276)</f>
        <v>5.56382585186178957</v>
      </c>
      <c r="X9" s="29">
        <f>((K9+I9+(LOG(J9)*4/3))*0.866)+((L9+I9+(LOG(J9)*4/3))*0.425)</f>
        <v>8.46371726775896072</v>
      </c>
      <c r="Y9" s="29">
        <f>W9</f>
        <v>5.56382585186178957</v>
      </c>
      <c r="Z9" s="29">
        <f>((L9+I9+(LOG(J9)*4/3))*0.516)</f>
        <v>8.22870806364339913</v>
      </c>
      <c r="AA9" s="29">
        <f>((L9+I9+(LOG(J9)*4/3))*1)</f>
        <v>15.9471086504716997</v>
      </c>
      <c r="AB9" s="29">
        <f>Z9/2</f>
        <v>4.11435403182169956</v>
      </c>
      <c r="AC9" s="29">
        <f>((M9+I9+(LOG(J9)*4/3))*0.238)</f>
        <v>1.65341185881225989</v>
      </c>
      <c r="AD9" s="29">
        <f>((L9+I9+(LOG(J9)*4/3))*0.378)</f>
        <v>6.02800706987830015</v>
      </c>
      <c r="AE9" s="29">
        <f>((L9+I9+(LOG(J9)*4/3))*0.723)</f>
        <v>11.5297595542909992</v>
      </c>
      <c r="AF9" s="29">
        <f>AD9/2</f>
        <v>3.01400353493915008</v>
      </c>
      <c r="AG9" s="29">
        <f>((M9+I9+(LOG(J9)*4/3))*0.385)</f>
        <v>2.67463683043159994</v>
      </c>
      <c r="AH9" s="29">
        <f>((L9+I9+(LOG(J9)*4/3))*0.92)</f>
        <v>14.6713399584340003</v>
      </c>
      <c r="AI9" s="29">
        <f>((L9+I9+(LOG(J9)*4/3))*0.414)</f>
        <v>6.60210298129528006</v>
      </c>
      <c r="AJ9" s="29">
        <f>((M9+I9+(LOG(J9)*4/3))*0.167)</f>
        <v>1.16016714462877002</v>
      </c>
      <c r="AK9" s="29">
        <f>((N9+I9+(LOG(J9)*4/3))*0.588)</f>
        <v>2.32089988647735979</v>
      </c>
      <c r="AL9" s="29">
        <f>((L9+I9+(LOG(J9)*4/3))*0.754)</f>
        <v>12.0241199224557</v>
      </c>
      <c r="AM9" s="29">
        <f>((L9+I9+(LOG(J9)*4/3))*0.708)</f>
        <v>11.2905529245339995</v>
      </c>
      <c r="AN9" s="29">
        <f>((Q9+I9+(LOG(J9)*4/3))*0.167)</f>
        <v>2.24566714462876993</v>
      </c>
      <c r="AO9" s="29">
        <f>((R9+I9+(LOG(J9)*4/3))*0.288)</f>
        <v>2.03676729133584988</v>
      </c>
      <c r="AP9" s="29">
        <f>((L9+I9+(LOG(J9)*4/3))*0.27)</f>
        <v>4.30571933562736042</v>
      </c>
      <c r="AQ9" s="29">
        <f>((L9+I9+(LOG(J9)*4/3))*0.594)</f>
        <v>9.47258253838018938</v>
      </c>
      <c r="AR9" s="29">
        <f>AP9/2</f>
        <v>2.15285966781368021</v>
      </c>
      <c r="AS9" s="29">
        <f>((M9+I9+(LOG(J9)*4/3))*0.944)</f>
        <v>6.5580705660452896</v>
      </c>
      <c r="AT9" s="29">
        <f>((O9+I9+(LOG(J9)*4/3))*0.13)</f>
        <v>1.81312412456132002</v>
      </c>
      <c r="AU9" s="29">
        <f>((P9+I9+(LOG(J9)*4/3))*0.173)+((O9+I9+(LOG(J9)*4/3))*0.12)</f>
        <v>3.04850283458819993</v>
      </c>
      <c r="AV9" s="29">
        <f>AT9/2</f>
        <v>0.906562062280660008</v>
      </c>
      <c r="AW9" s="29">
        <f>((L9+I9+(LOG(J9)*4/3))*0.189)</f>
        <v>3.01400353493915008</v>
      </c>
      <c r="AX9" s="29">
        <f>((L9+I9+(LOG(J9)*4/3))*0.4)</f>
        <v>6.37884346018867987</v>
      </c>
      <c r="AY9" s="29">
        <f>AW9/2</f>
        <v>1.50700176746957997</v>
      </c>
      <c r="AZ9" s="29">
        <f>((M9+I9+(LOG(J9)*4/3))*1)</f>
        <v>6.94710865047169968</v>
      </c>
      <c r="BA9" s="29">
        <f>((O9+I9+(LOG(J9)*4/3))*0.253)</f>
        <v>3.52861848856933991</v>
      </c>
      <c r="BB9" s="29">
        <f>((P9+I9+(LOG(J9)*4/3))*0.21)+((O9+I9+(LOG(J9)*4/3))*0.341)</f>
        <v>6.42485686640991016</v>
      </c>
      <c r="BC9" s="29">
        <f>BA9/2</f>
        <v>1.76430924428466991</v>
      </c>
      <c r="BD9" s="29">
        <f>((L9+I9+(LOG(J9)*4/3))*0.291)</f>
        <v>4.64060861728726959</v>
      </c>
      <c r="BE9" s="29">
        <f>((L9+I9+(LOG(J9)*4/3))*0.348)</f>
        <v>5.54959381036414978</v>
      </c>
      <c r="BF9" s="29">
        <f>((M9+I9+(LOG(J9)*4/3))*0.881)</f>
        <v>6.12040272106557026</v>
      </c>
      <c r="BG9" s="29">
        <f>((N9+I9+(LOG(J9)*4/3))*0.574)+((O9+I9+(LOG(J9)*4/3))*0.315)</f>
        <v>6.65897959026935027</v>
      </c>
      <c r="BH9" s="29">
        <f>((O9+I9+(LOG(J9)*4/3))*0.241)</f>
        <v>3.36125318476367996</v>
      </c>
      <c r="BI9" s="29">
        <f>((L9+I9+(LOG(J9)*4/3))*0.485)</f>
        <v>7.73434769547877021</v>
      </c>
      <c r="BJ9" s="29">
        <f>((L9+I9+(LOG(J9)*4/3))*0.264)</f>
        <v>4.21003668372452999</v>
      </c>
      <c r="BK9" s="29">
        <f>((M9+I9+(LOG(J9)*4/3))*0.381)</f>
        <v>2.64684839582971998</v>
      </c>
      <c r="BL9" s="29">
        <f>((N9+I9+(LOG(J9)*4/3))*0.673)+((O9+I9+(LOG(J9)*4/3))*0.201)</f>
        <v>5.45977296051226002</v>
      </c>
      <c r="BM9" s="29">
        <f>((O9+I9+(LOG(J9)*4/3))*0.052)</f>
        <v>0.725249649824528042</v>
      </c>
      <c r="BN9" s="29">
        <f>((L9+I9+(LOG(J9)*4/3))*0.18)</f>
        <v>2.8704795570849102</v>
      </c>
      <c r="BO9" s="29">
        <f>((L9+I9+(LOG(J9)*4/3))*0.068)</f>
        <v>1.08440338823208005</v>
      </c>
      <c r="BP9" s="29">
        <f>((M9+I9+(LOG(J9)*4/3))*0.305)</f>
        <v>2.11886813839387012</v>
      </c>
      <c r="BQ9" s="29">
        <f>((N9+I9+(LOG(J9)*4/3))*1)+((O9+I9+(LOG(J9)*4/3))*0.286)</f>
        <v>7.93598172450661021</v>
      </c>
      <c r="BR9" s="29">
        <f>((O9+I9+(LOG(J9)*4/3))*0.135)</f>
        <v>1.88285966781367993</v>
      </c>
      <c r="BS9" s="29">
        <f>((L9+I9+(LOG(J9)*4/3))*0.284)</f>
        <v>4.52897885673395972</v>
      </c>
      <c r="BT9" s="29">
        <f>((L9+I9+(LOG(J9)*4/3))*0.244)</f>
        <v>3.89109451071509014</v>
      </c>
      <c r="BU9" s="29">
        <f>((M9+I9+(LOG(J9)*4/3))*0.631)</f>
        <v>4.38362555844763957</v>
      </c>
      <c r="BV9" s="29">
        <f>((N9+I9+(LOG(J9)*4/3))*0.702)+((O9+I9+(LOG(J9)*4/3))*0.193)</f>
        <v>5.46266224217217022</v>
      </c>
      <c r="BW9" s="29">
        <f>((O9+I9+(LOG(J9)*4/3))*0.148)</f>
        <v>2.06417208026981003</v>
      </c>
      <c r="BX9" s="29">
        <f>((M9+I9+(LOG(J9)*4/3))*0.406)</f>
        <v>2.82052611209151003</v>
      </c>
      <c r="BY9" s="29">
        <f>IF(D9="TEC",((N9+I9+(LOG(J9)*4/3))*0.15)+((O9+I9+(LOG(J9)*4/3))*0.324)+((P9+I9+(LOG(J9)*4/3))*0.127),((N9+I9+(LOG(J9)*4/3))*0.144)+((O9+I9+(LOG(J9)*4/3))*0.25)+((P9+I9+(LOG(J9)*4/3))*0.127))</f>
        <v>5.06444360689576989</v>
      </c>
      <c r="BZ9" s="29">
        <f>IF(D9="TEC",((O9+I9+(LOG(J9)*4/3))*0.543)+((P9+I9+(LOG(J9)*4/3))*0.583),((O9+I9+(LOG(J9)*4/3))*0.543)+((P9+I9+(LOG(J9)*4/3))*0.583))</f>
        <v>12.2064443404310996</v>
      </c>
      <c r="CA9" s="29">
        <f>BY9</f>
        <v>5.06444360689576989</v>
      </c>
      <c r="CB9" s="29">
        <f>((P9+I9+(LOG(J9)*4/3))*0.26)+((N9+I9+(LOG(J9)*4/3))*0.221)+((O9+I9+(LOG(J9)*4/3))*0.142)</f>
        <v>4.91904868924387007</v>
      </c>
      <c r="CC9" s="29">
        <f>((P9+I9+(LOG(J9)*4/3))*1)+((O9+I9+(LOG(J9)*4/3))*0.369)</f>
        <v>13.0935917424957999</v>
      </c>
      <c r="CD9" s="29">
        <f>CB9</f>
        <v>4.91904868924387007</v>
      </c>
      <c r="CE9" s="29">
        <f>((M9+I9+(LOG(J9)*4/3))*0.25)</f>
        <v>1.73677716261792998</v>
      </c>
    </row>
    <row r="10" spans="1:83">
      <c r="A10" t="str">
        <f>Plantilla!D11</f>
        <v>Francesc Añigas</v>
      </c>
      <c r="B10">
        <f>Plantilla!E11</f>
        <v>25</v>
      </c>
      <c r="C10" s="27">
        <f>Plantilla!F11</f>
        <v>59</v>
      </c>
      <c r="D10" s="44" t="str">
        <f>Plantilla!G11</f>
        <v>IMP</v>
      </c>
      <c r="E10" s="25">
        <f>Plantilla!M11</f>
        <v>43137</v>
      </c>
      <c r="F10" s="39">
        <f>Plantilla!Q11</f>
        <v>7</v>
      </c>
      <c r="G10" s="40">
        <f>(F10/7)^0.5</f>
        <v>1</v>
      </c>
      <c r="H10" s="40">
        <f>IF(F10=7,1,((F10+0.99)/7)^0.5)</f>
        <v>1</v>
      </c>
      <c r="I10" s="106">
        <f>Plantilla!N11</f>
        <v>1</v>
      </c>
      <c r="J10" s="31">
        <f>Plantilla!I11</f>
        <v>6.70000000000000018</v>
      </c>
      <c r="K10" s="38">
        <f>Plantilla!X11</f>
        <v>0</v>
      </c>
      <c r="L10" s="38">
        <f>Plantilla!Y11</f>
        <v>13.25</v>
      </c>
      <c r="M10" s="38">
        <f>Plantilla!Z11</f>
        <v>4</v>
      </c>
      <c r="N10" s="38">
        <f>Plantilla!AA11</f>
        <v>13</v>
      </c>
      <c r="O10" s="38">
        <f>Plantilla!AB11</f>
        <v>7.75</v>
      </c>
      <c r="P10" s="38">
        <f>Plantilla!AC11</f>
        <v>7</v>
      </c>
      <c r="Q10" s="38">
        <f>Plantilla!AD11</f>
        <v>13</v>
      </c>
      <c r="R10" s="38">
        <f>((2*(O10+1))+(L10+1))/8</f>
        <v>3.96875</v>
      </c>
      <c r="S10" s="38">
        <f>(0.5*P10+0.3*Q10)/10</f>
        <v>0.740000000000000036</v>
      </c>
      <c r="T10" s="38">
        <f>(0.4*L10+0.3*Q10)/10</f>
        <v>0.920000000000000107</v>
      </c>
      <c r="U10" s="38">
        <f>(Q10+I10+(LOG(J10)*4/3))*(F10/7)^0.5</f>
        <v>15.1014330702678006</v>
      </c>
      <c r="V10" s="38">
        <f>IF(F10=7,U10,(Q10+I10+(LOG(J10)*4/3))*((F10+0.99)/7)^0.5)</f>
        <v>15.1014330702678006</v>
      </c>
      <c r="W10" s="29">
        <f>((K10+I10+(LOG(J10)*4/3))*0.597)+((L10+I10+(LOG(J10)*4/3))*0.276)</f>
        <v>5.49155107034377021</v>
      </c>
      <c r="X10" s="29">
        <f>((K10+I10+(LOG(J10)*4/3))*0.866)+((L10+I10+(LOG(J10)*4/3))*0.425)</f>
        <v>8.3442000937157097</v>
      </c>
      <c r="Y10" s="29">
        <f>W10</f>
        <v>5.49155107034377021</v>
      </c>
      <c r="Z10" s="29">
        <f>((L10+I10+(LOG(J10)*4/3))*0.516)</f>
        <v>7.9213394642581898</v>
      </c>
      <c r="AA10" s="29">
        <f>((L10+I10+(LOG(J10)*4/3))*1)</f>
        <v>15.3514330702678006</v>
      </c>
      <c r="AB10" s="29">
        <f>Z10/2</f>
        <v>3.96066973212909978</v>
      </c>
      <c r="AC10" s="29">
        <f>((M10+I10+(LOG(J10)*4/3))*0.238)</f>
        <v>1.45214107072373011</v>
      </c>
      <c r="AD10" s="29">
        <f>((L10+I10+(LOG(J10)*4/3))*0.378)</f>
        <v>5.80284170056123028</v>
      </c>
      <c r="AE10" s="29">
        <f>((L10+I10+(LOG(J10)*4/3))*0.723)</f>
        <v>11.0990861098036007</v>
      </c>
      <c r="AF10" s="29">
        <f>AD10/2</f>
        <v>2.90142085028062002</v>
      </c>
      <c r="AG10" s="29">
        <f>((M10+I10+(LOG(J10)*4/3))*0.385)</f>
        <v>2.34905173205308992</v>
      </c>
      <c r="AH10" s="29">
        <f>((L10+I10+(LOG(J10)*4/3))*0.92)</f>
        <v>14.1233184246463992</v>
      </c>
      <c r="AI10" s="29">
        <f>((L10+I10+(LOG(J10)*4/3))*0.414)</f>
        <v>6.35549329109086969</v>
      </c>
      <c r="AJ10" s="29">
        <f>((M10+I10+(LOG(J10)*4/3))*0.167)</f>
        <v>1.0189393227347201</v>
      </c>
      <c r="AK10" s="29">
        <f>((N10+I10+(LOG(J10)*4/3))*0.588)</f>
        <v>8.87964264531746927</v>
      </c>
      <c r="AL10" s="29">
        <f>((L10+I10+(LOG(J10)*4/3))*0.754)</f>
        <v>11.5749805349819006</v>
      </c>
      <c r="AM10" s="29">
        <f>((L10+I10+(LOG(J10)*4/3))*0.708)</f>
        <v>10.8688146137495991</v>
      </c>
      <c r="AN10" s="29">
        <f>((Q10+I10+(LOG(J10)*4/3))*0.167)</f>
        <v>2.52193932273471999</v>
      </c>
      <c r="AO10" s="29">
        <f>((R10+I10+(LOG(J10)*4/3))*0.288)</f>
        <v>1.74821272423711989</v>
      </c>
      <c r="AP10" s="29">
        <f>((L10+I10+(LOG(J10)*4/3))*0.27)</f>
        <v>4.14488692897231026</v>
      </c>
      <c r="AQ10" s="29">
        <f>((L10+I10+(LOG(J10)*4/3))*0.594)</f>
        <v>9.11875124373906942</v>
      </c>
      <c r="AR10" s="29">
        <f>AP10/2</f>
        <v>2.07244346448616001</v>
      </c>
      <c r="AS10" s="29">
        <f>((M10+I10+(LOG(J10)*4/3))*0.944)</f>
        <v>5.75975281833277997</v>
      </c>
      <c r="AT10" s="29">
        <f>((O10+I10+(LOG(J10)*4/3))*0.13)</f>
        <v>1.28068629913481002</v>
      </c>
      <c r="AU10" s="29">
        <f>((P10+I10+(LOG(J10)*4/3))*0.173)+((O10+I10+(LOG(J10)*4/3))*0.12)</f>
        <v>2.75671988958844993</v>
      </c>
      <c r="AV10" s="29">
        <f>AT10/2</f>
        <v>0.640343149567405057</v>
      </c>
      <c r="AW10" s="29">
        <f>((L10+I10+(LOG(J10)*4/3))*0.189)</f>
        <v>2.9014208502806099</v>
      </c>
      <c r="AX10" s="29">
        <f>((L10+I10+(LOG(J10)*4/3))*0.4)</f>
        <v>6.1405732281071197</v>
      </c>
      <c r="AY10" s="29">
        <f>AW10/2</f>
        <v>1.45071042514031001</v>
      </c>
      <c r="AZ10" s="29">
        <f>((M10+I10+(LOG(J10)*4/3))*1)</f>
        <v>6.10143307026777038</v>
      </c>
      <c r="BA10" s="29">
        <f>((O10+I10+(LOG(J10)*4/3))*0.253)</f>
        <v>2.49241256677774992</v>
      </c>
      <c r="BB10" s="29">
        <f>((P10+I10+(LOG(J10)*4/3))*0.21)+((O10+I10+(LOG(J10)*4/3))*0.341)</f>
        <v>5.27063962171753975</v>
      </c>
      <c r="BC10" s="29">
        <f>BA10/2</f>
        <v>1.24620628338888007</v>
      </c>
      <c r="BD10" s="29">
        <f>((L10+I10+(LOG(J10)*4/3))*0.291)</f>
        <v>4.46726702344793036</v>
      </c>
      <c r="BE10" s="29">
        <f>((L10+I10+(LOG(J10)*4/3))*0.348)</f>
        <v>5.34229870845319965</v>
      </c>
      <c r="BF10" s="29">
        <f>((M10+I10+(LOG(J10)*4/3))*0.881)</f>
        <v>5.37536253490590976</v>
      </c>
      <c r="BG10" s="29">
        <f>((N10+I10+(LOG(J10)*4/3))*0.574)+((O10+I10+(LOG(J10)*4/3))*0.315)</f>
        <v>11.7714239994680998</v>
      </c>
      <c r="BH10" s="29">
        <f>((O10+I10+(LOG(J10)*4/3))*0.241)</f>
        <v>2.37419536993452995</v>
      </c>
      <c r="BI10" s="29">
        <f>((L10+I10+(LOG(J10)*4/3))*0.485)</f>
        <v>7.44544503907988009</v>
      </c>
      <c r="BJ10" s="29">
        <f>((L10+I10+(LOG(J10)*4/3))*0.264)</f>
        <v>4.05277833055069969</v>
      </c>
      <c r="BK10" s="29">
        <f>((M10+I10+(LOG(J10)*4/3))*0.381)</f>
        <v>2.32464599977202013</v>
      </c>
      <c r="BL10" s="29">
        <f>((N10+I10+(LOG(J10)*4/3))*0.673)+((O10+I10+(LOG(J10)*4/3))*0.201)</f>
        <v>12.1434025034140003</v>
      </c>
      <c r="BM10" s="29">
        <f>((O10+I10+(LOG(J10)*4/3))*0.052)</f>
        <v>0.51227451965392401</v>
      </c>
      <c r="BN10" s="29">
        <f>((L10+I10+(LOG(J10)*4/3))*0.18)</f>
        <v>2.76325795264820018</v>
      </c>
      <c r="BO10" s="29">
        <f>((L10+I10+(LOG(J10)*4/3))*0.068)</f>
        <v>1.04389744877821</v>
      </c>
      <c r="BP10" s="29">
        <f>((M10+I10+(LOG(J10)*4/3))*0.305)</f>
        <v>1.8609370864316702</v>
      </c>
      <c r="BQ10" s="29">
        <f>((N10+I10+(LOG(J10)*4/3))*1)+((O10+I10+(LOG(J10)*4/3))*0.286)</f>
        <v>17.9189429283644017</v>
      </c>
      <c r="BR10" s="29">
        <f>((O10+I10+(LOG(J10)*4/3))*0.135)</f>
        <v>1.32994346448615008</v>
      </c>
      <c r="BS10" s="29">
        <f>((L10+I10+(LOG(J10)*4/3))*0.284)</f>
        <v>4.35980699195606025</v>
      </c>
      <c r="BT10" s="29">
        <f>((L10+I10+(LOG(J10)*4/3))*0.244)</f>
        <v>3.74574966914534002</v>
      </c>
      <c r="BU10" s="29">
        <f>((M10+I10+(LOG(J10)*4/3))*0.631)</f>
        <v>3.85000426733896006</v>
      </c>
      <c r="BV10" s="29">
        <f>((N10+I10+(LOG(J10)*4/3))*0.702)+((O10+I10+(LOG(J10)*4/3))*0.193)</f>
        <v>12.5025325978897008</v>
      </c>
      <c r="BW10" s="29">
        <f>((O10+I10+(LOG(J10)*4/3))*0.148)</f>
        <v>1.45801209439962998</v>
      </c>
      <c r="BX10" s="29">
        <f>((M10+I10+(LOG(J10)*4/3))*0.406)</f>
        <v>2.47718182652871999</v>
      </c>
      <c r="BY10" s="29">
        <f>IF(D10="TEC",((N10+I10+(LOG(J10)*4/3))*0.15)+((O10+I10+(LOG(J10)*4/3))*0.324)+((P10+I10+(LOG(J10)*4/3))*0.127),((N10+I10+(LOG(J10)*4/3))*0.144)+((O10+I10+(LOG(J10)*4/3))*0.25)+((P10+I10+(LOG(J10)*4/3))*0.127))</f>
        <v>5.79334662960950997</v>
      </c>
      <c r="BZ10" s="29">
        <f>IF(D10="TEC",((O10+I10+(LOG(J10)*4/3))*0.543)+((P10+I10+(LOG(J10)*4/3))*0.583),((O10+I10+(LOG(J10)*4/3))*0.543)+((P10+I10+(LOG(J10)*4/3))*0.583))</f>
        <v>10.6554636371214997</v>
      </c>
      <c r="CA10" s="29">
        <f>BY10</f>
        <v>5.79334662960950997</v>
      </c>
      <c r="CB10" s="29">
        <f>((P10+I10+(LOG(J10)*4/3))*0.26)+((N10+I10+(LOG(J10)*4/3))*0.221)+((O10+I10+(LOG(J10)*4/3))*0.142)</f>
        <v>7.10269280277682036</v>
      </c>
      <c r="CC10" s="29">
        <f>((P10+I10+(LOG(J10)*4/3))*1)+((O10+I10+(LOG(J10)*4/3))*0.369)</f>
        <v>12.7366118731965994</v>
      </c>
      <c r="CD10" s="29">
        <f>CB10</f>
        <v>7.10269280277682036</v>
      </c>
      <c r="CE10" s="29">
        <f>((M10+I10+(LOG(J10)*4/3))*0.25)</f>
        <v>1.52535826756693993</v>
      </c>
    </row>
    <row r="11" spans="1:83">
      <c r="A11" t="str">
        <f>Plantilla!D12</f>
        <v>Will Duffill</v>
      </c>
      <c r="B11">
        <f>Plantilla!E12</f>
        <v>25</v>
      </c>
      <c r="C11" s="27">
        <f>Plantilla!F12</f>
        <v>20</v>
      </c>
      <c r="D11" s="44" t="str">
        <f>Plantilla!G12</f>
        <v>RAP</v>
      </c>
      <c r="E11" s="25">
        <f>Plantilla!M12</f>
        <v>43122</v>
      </c>
      <c r="F11" s="39">
        <f>Plantilla!Q12</f>
        <v>6</v>
      </c>
      <c r="G11" s="40">
        <f>(F11/7)^0.5</f>
        <v>0.925820099772552041</v>
      </c>
      <c r="H11" s="40">
        <f>IF(F11=7,1,((F11+0.99)/7)^0.5)</f>
        <v>0.999285459001294996</v>
      </c>
      <c r="I11" s="106">
        <f>Plantilla!N12</f>
        <v>1</v>
      </c>
      <c r="J11" s="31">
        <f>Plantilla!I12</f>
        <v>6.70000000000000018</v>
      </c>
      <c r="K11" s="38">
        <f>Plantilla!X12</f>
        <v>0</v>
      </c>
      <c r="L11" s="38">
        <f>Plantilla!Y12</f>
        <v>12.5999999999999996</v>
      </c>
      <c r="M11" s="38">
        <f>Plantilla!Z12</f>
        <v>3</v>
      </c>
      <c r="N11" s="38">
        <f>Plantilla!AA12</f>
        <v>13</v>
      </c>
      <c r="O11" s="38">
        <f>Plantilla!AB12</f>
        <v>9.66666666666666963</v>
      </c>
      <c r="P11" s="38">
        <f>Plantilla!AC12</f>
        <v>7</v>
      </c>
      <c r="Q11" s="38">
        <f>Plantilla!AD12</f>
        <v>14</v>
      </c>
      <c r="R11" s="38">
        <f>((2*(O11+1))+(L11+1))/8</f>
        <v>4.36666666666667957</v>
      </c>
      <c r="S11" s="38">
        <f>(0.5*P11+0.3*Q11)/10</f>
        <v>0.770000000000000018</v>
      </c>
      <c r="T11" s="38">
        <f>(0.4*L11+0.3*Q11)/10</f>
        <v>0.924000000000000021</v>
      </c>
      <c r="U11" s="38">
        <f>(Q11+I11+(LOG(J11)*4/3))*(F11/7)^0.5</f>
        <v>14.9070303715964005</v>
      </c>
      <c r="V11" s="38">
        <f>IF(F11=7,U11,(Q11+I11+(LOG(J11)*4/3))*((F11+0.99)/7)^0.5)</f>
        <v>16.0899279362011995</v>
      </c>
      <c r="W11" s="29">
        <f>((K11+I11+(LOG(J11)*4/3))*0.597)+((L11+I11+(LOG(J11)*4/3))*0.276)</f>
        <v>5.31215107034376999</v>
      </c>
      <c r="X11" s="29">
        <f>((K11+I11+(LOG(J11)*4/3))*0.866)+((L11+I11+(LOG(J11)*4/3))*0.425)</f>
        <v>8.06795009371571048</v>
      </c>
      <c r="Y11" s="29">
        <f>W11</f>
        <v>5.31215107034376999</v>
      </c>
      <c r="Z11" s="29">
        <f>((L11+I11+(LOG(J11)*4/3))*0.516)</f>
        <v>7.58593946425818988</v>
      </c>
      <c r="AA11" s="29">
        <f>((L11+I11+(LOG(J11)*4/3))*1)</f>
        <v>14.7014330702678002</v>
      </c>
      <c r="AB11" s="29">
        <f>Z11/2</f>
        <v>3.79296973212909982</v>
      </c>
      <c r="AC11" s="29">
        <f>((M11+I11+(LOG(J11)*4/3))*0.238)</f>
        <v>1.2141410707237299</v>
      </c>
      <c r="AD11" s="29">
        <f>((L11+I11+(LOG(J11)*4/3))*0.378)</f>
        <v>5.55714170056123002</v>
      </c>
      <c r="AE11" s="29">
        <f>((L11+I11+(LOG(J11)*4/3))*0.723)</f>
        <v>10.6291361098035999</v>
      </c>
      <c r="AF11" s="29">
        <f>AD11/2</f>
        <v>2.7785708502806199</v>
      </c>
      <c r="AG11" s="29">
        <f>((M11+I11+(LOG(J11)*4/3))*0.385)</f>
        <v>1.96405173205308987</v>
      </c>
      <c r="AH11" s="29">
        <f>((L11+I11+(LOG(J11)*4/3))*0.92)</f>
        <v>13.5253184246464002</v>
      </c>
      <c r="AI11" s="29">
        <f>((L11+I11+(LOG(J11)*4/3))*0.414)</f>
        <v>6.08639329109086979</v>
      </c>
      <c r="AJ11" s="29">
        <f>((M11+I11+(LOG(J11)*4/3))*0.167)</f>
        <v>0.851939322734718019</v>
      </c>
      <c r="AK11" s="29">
        <f>((N11+I11+(LOG(J11)*4/3))*0.588)</f>
        <v>8.87964264531746927</v>
      </c>
      <c r="AL11" s="29">
        <f>((L11+I11+(LOG(J11)*4/3))*0.754)</f>
        <v>11.0848805349819006</v>
      </c>
      <c r="AM11" s="29">
        <f>((L11+I11+(LOG(J11)*4/3))*0.708)</f>
        <v>10.4086146137496005</v>
      </c>
      <c r="AN11" s="29">
        <f>((Q11+I11+(LOG(J11)*4/3))*0.167)</f>
        <v>2.68893932273471981</v>
      </c>
      <c r="AO11" s="29">
        <f>((R11+I11+(LOG(J11)*4/3))*0.288)</f>
        <v>1.86281272423711997</v>
      </c>
      <c r="AP11" s="29">
        <f>((L11+I11+(LOG(J11)*4/3))*0.27)</f>
        <v>3.96938692897230982</v>
      </c>
      <c r="AQ11" s="29">
        <f>((L11+I11+(LOG(J11)*4/3))*0.594)</f>
        <v>8.73265124373907042</v>
      </c>
      <c r="AR11" s="29">
        <f>AP11/2</f>
        <v>1.98469346448615998</v>
      </c>
      <c r="AS11" s="29">
        <f>((M11+I11+(LOG(J11)*4/3))*0.944)</f>
        <v>4.81575281833278002</v>
      </c>
      <c r="AT11" s="29">
        <f>((O11+I11+(LOG(J11)*4/3))*0.13)</f>
        <v>1.52985296580149015</v>
      </c>
      <c r="AU11" s="29">
        <f>((P11+I11+(LOG(J11)*4/3))*0.173)+((O11+I11+(LOG(J11)*4/3))*0.12)</f>
        <v>2.98671988958846022</v>
      </c>
      <c r="AV11" s="29">
        <f>AT11/2</f>
        <v>0.764926482900745075</v>
      </c>
      <c r="AW11" s="29">
        <f>((L11+I11+(LOG(J11)*4/3))*0.189)</f>
        <v>2.77857085028061013</v>
      </c>
      <c r="AX11" s="29">
        <f>((L11+I11+(LOG(J11)*4/3))*0.4)</f>
        <v>5.88057322810711991</v>
      </c>
      <c r="AY11" s="29">
        <f>AW11/2</f>
        <v>1.38928542514030994</v>
      </c>
      <c r="AZ11" s="29">
        <f>((M11+I11+(LOG(J11)*4/3))*1)</f>
        <v>5.10143307026777038</v>
      </c>
      <c r="BA11" s="29">
        <f>((O11+I11+(LOG(J11)*4/3))*0.253)</f>
        <v>2.97732923344443012</v>
      </c>
      <c r="BB11" s="29">
        <f>((P11+I11+(LOG(J11)*4/3))*0.21)+((O11+I11+(LOG(J11)*4/3))*0.341)</f>
        <v>5.92422295505090002</v>
      </c>
      <c r="BC11" s="29">
        <f>BA11/2</f>
        <v>1.48866461672221995</v>
      </c>
      <c r="BD11" s="29">
        <f>((L11+I11+(LOG(J11)*4/3))*0.291)</f>
        <v>4.27811702344792977</v>
      </c>
      <c r="BE11" s="29">
        <f>((L11+I11+(LOG(J11)*4/3))*0.348)</f>
        <v>5.11609870845319037</v>
      </c>
      <c r="BF11" s="29">
        <f>((M11+I11+(LOG(J11)*4/3))*0.881)</f>
        <v>4.49436253490591042</v>
      </c>
      <c r="BG11" s="29">
        <f>((N11+I11+(LOG(J11)*4/3))*0.574)+((O11+I11+(LOG(J11)*4/3))*0.315)</f>
        <v>12.3751739994680996</v>
      </c>
      <c r="BH11" s="29">
        <f>((O11+I11+(LOG(J11)*4/3))*0.241)</f>
        <v>2.83611203660121003</v>
      </c>
      <c r="BI11" s="29">
        <f>((L11+I11+(LOG(J11)*4/3))*0.485)</f>
        <v>7.13019503907988028</v>
      </c>
      <c r="BJ11" s="29">
        <f>((L11+I11+(LOG(J11)*4/3))*0.264)</f>
        <v>3.88117833055069994</v>
      </c>
      <c r="BK11" s="29">
        <f>((M11+I11+(LOG(J11)*4/3))*0.381)</f>
        <v>1.94364599977201991</v>
      </c>
      <c r="BL11" s="29">
        <f>((N11+I11+(LOG(J11)*4/3))*0.673)+((O11+I11+(LOG(J11)*4/3))*0.201)</f>
        <v>12.5286525034139995</v>
      </c>
      <c r="BM11" s="29">
        <f>((O11+I11+(LOG(J11)*4/3))*0.052)</f>
        <v>0.611941186320593999</v>
      </c>
      <c r="BN11" s="29">
        <f>((L11+I11+(LOG(J11)*4/3))*0.18)</f>
        <v>2.64625795264820018</v>
      </c>
      <c r="BO11" s="29">
        <f>((L11+I11+(LOG(J11)*4/3))*0.068)</f>
        <v>0.999697448778210962</v>
      </c>
      <c r="BP11" s="29">
        <f>((M11+I11+(LOG(J11)*4/3))*0.305)</f>
        <v>1.55593708643166995</v>
      </c>
      <c r="BQ11" s="29">
        <f>((N11+I11+(LOG(J11)*4/3))*1)+((O11+I11+(LOG(J11)*4/3))*0.286)</f>
        <v>18.4671095950311006</v>
      </c>
      <c r="BR11" s="29">
        <f>((O11+I11+(LOG(J11)*4/3))*0.135)</f>
        <v>1.58869346448615989</v>
      </c>
      <c r="BS11" s="29">
        <f>((L11+I11+(LOG(J11)*4/3))*0.284)</f>
        <v>4.17520699195605971</v>
      </c>
      <c r="BT11" s="29">
        <f>((L11+I11+(LOG(J11)*4/3))*0.244)</f>
        <v>3.58714966914534017</v>
      </c>
      <c r="BU11" s="29">
        <f>((M11+I11+(LOG(J11)*4/3))*0.631)</f>
        <v>3.21900426733895983</v>
      </c>
      <c r="BV11" s="29">
        <f>((N11+I11+(LOG(J11)*4/3))*0.702)+((O11+I11+(LOG(J11)*4/3))*0.193)</f>
        <v>12.8724492645563995</v>
      </c>
      <c r="BW11" s="29">
        <f>((O11+I11+(LOG(J11)*4/3))*0.148)</f>
        <v>1.74167876106630999</v>
      </c>
      <c r="BX11" s="29">
        <f>((M11+I11+(LOG(J11)*4/3))*0.406)</f>
        <v>2.07118182652871985</v>
      </c>
      <c r="BY11" s="29">
        <f>IF(D11="TEC",((N11+I11+(LOG(J11)*4/3))*0.15)+((O11+I11+(LOG(J11)*4/3))*0.324)+((P11+I11+(LOG(J11)*4/3))*0.127),((N11+I11+(LOG(J11)*4/3))*0.144)+((O11+I11+(LOG(J11)*4/3))*0.25)+((P11+I11+(LOG(J11)*4/3))*0.127))</f>
        <v>6.27251329627620002</v>
      </c>
      <c r="BZ11" s="29">
        <f>IF(D11="TEC",((O11+I11+(LOG(J11)*4/3))*0.543)+((P11+I11+(LOG(J11)*4/3))*0.583),((O11+I11+(LOG(J11)*4/3))*0.543)+((P11+I11+(LOG(J11)*4/3))*0.583))</f>
        <v>11.6962136371216001</v>
      </c>
      <c r="CA11" s="29">
        <f>BY11</f>
        <v>6.27251329627620002</v>
      </c>
      <c r="CB11" s="29">
        <f>((P11+I11+(LOG(J11)*4/3))*0.26)+((N11+I11+(LOG(J11)*4/3))*0.221)+((O11+I11+(LOG(J11)*4/3))*0.142)</f>
        <v>7.3748594694434999</v>
      </c>
      <c r="CC11" s="29">
        <f>((P11+I11+(LOG(J11)*4/3))*1)+((O11+I11+(LOG(J11)*4/3))*0.369)</f>
        <v>13.4438618731965995</v>
      </c>
      <c r="CD11" s="29">
        <f>CB11</f>
        <v>7.3748594694434999</v>
      </c>
      <c r="CE11" s="29">
        <f>((M11+I11+(LOG(J11)*4/3))*0.25)</f>
        <v>1.27535826756693993</v>
      </c>
    </row>
    <row r="12" spans="1:83">
      <c r="A12" t="str">
        <f>Plantilla!D13</f>
        <v>Valeri Gomis</v>
      </c>
      <c r="B12">
        <f>Plantilla!E13</f>
        <v>25</v>
      </c>
      <c r="C12" s="27">
        <f>Plantilla!F13</f>
        <v>59</v>
      </c>
      <c r="D12" s="44" t="str">
        <f>Plantilla!G13</f>
        <v>IMP</v>
      </c>
      <c r="E12" s="25">
        <f>Plantilla!M13</f>
        <v>43051</v>
      </c>
      <c r="F12" s="39">
        <f>Plantilla!Q13</f>
        <v>5</v>
      </c>
      <c r="G12" s="40">
        <f>(F12/7)^0.5</f>
        <v>0.845154254728516108</v>
      </c>
      <c r="H12" s="40">
        <f>IF(F12=7,1,((F12+0.99)/7)^0.5)</f>
        <v>0.925048261289262008</v>
      </c>
      <c r="I12" s="106">
        <f>Plantilla!N13</f>
        <v>1</v>
      </c>
      <c r="J12" s="31">
        <f>Plantilla!I13</f>
        <v>6.59999999999999964</v>
      </c>
      <c r="K12" s="38">
        <f>Plantilla!X13</f>
        <v>0</v>
      </c>
      <c r="L12" s="38">
        <f>Plantilla!Y13</f>
        <v>12.0999999999999996</v>
      </c>
      <c r="M12" s="38">
        <f>Plantilla!Z13</f>
        <v>3</v>
      </c>
      <c r="N12" s="38">
        <f>Plantilla!AA13</f>
        <v>12</v>
      </c>
      <c r="O12" s="38">
        <f>Plantilla!AB13</f>
        <v>9</v>
      </c>
      <c r="P12" s="38">
        <f>Plantilla!AC13</f>
        <v>7.25</v>
      </c>
      <c r="Q12" s="38">
        <f>Plantilla!AD13</f>
        <v>14</v>
      </c>
      <c r="R12" s="38">
        <f>((2*(O12+1))+(L12+1))/8</f>
        <v>4.13750000000000018</v>
      </c>
      <c r="S12" s="38">
        <f>(0.5*P12+0.3*Q12)/10</f>
        <v>0.782499999999999929</v>
      </c>
      <c r="T12" s="38">
        <f>(0.4*L12+0.3*Q12)/10</f>
        <v>0.904000000000000092</v>
      </c>
      <c r="U12" s="38">
        <f>(Q12+I12+(LOG(J12)*4/3))*(F12/7)^0.5</f>
        <v>13.6008352130080006</v>
      </c>
      <c r="V12" s="38">
        <f>IF(F12=7,U12,(Q12+I12+(LOG(J12)*4/3))*((F12+0.99)/7)^0.5)</f>
        <v>14.8865475095032007</v>
      </c>
      <c r="W12" s="29">
        <f>((K12+I12+(LOG(J12)*4/3))*0.597)+((L12+I12+(LOG(J12)*4/3))*0.276)</f>
        <v>5.16654914097074958</v>
      </c>
      <c r="X12" s="29">
        <f>((K12+I12+(LOG(J12)*4/3))*0.866)+((L12+I12+(LOG(J12)*4/3))*0.425)</f>
        <v>7.84420829437941958</v>
      </c>
      <c r="Y12" s="29">
        <f>W12</f>
        <v>5.16654914097074958</v>
      </c>
      <c r="Z12" s="29">
        <f>((L12+I12+(LOG(J12)*4/3))*0.516)</f>
        <v>7.3234462276528296</v>
      </c>
      <c r="AA12" s="29">
        <f>((L12+I12+(LOG(J12)*4/3))*1)</f>
        <v>14.1927252473892</v>
      </c>
      <c r="AB12" s="29">
        <f>Z12/2</f>
        <v>3.66172311382642013</v>
      </c>
      <c r="AC12" s="29">
        <f>((M12+I12+(LOG(J12)*4/3))*0.238)</f>
        <v>1.21206860887861989</v>
      </c>
      <c r="AD12" s="29">
        <f>((L12+I12+(LOG(J12)*4/3))*0.378)</f>
        <v>5.36485014351312017</v>
      </c>
      <c r="AE12" s="29">
        <f>((L12+I12+(LOG(J12)*4/3))*0.723)</f>
        <v>10.2613403538623995</v>
      </c>
      <c r="AF12" s="29">
        <f>AD12/2</f>
        <v>2.68242507175656009</v>
      </c>
      <c r="AG12" s="29">
        <f>((M12+I12+(LOG(J12)*4/3))*0.385)</f>
        <v>1.96069922024482999</v>
      </c>
      <c r="AH12" s="29">
        <f>((L12+I12+(LOG(J12)*4/3))*0.92)</f>
        <v>13.0573072275981001</v>
      </c>
      <c r="AI12" s="29">
        <f>((L12+I12+(LOG(J12)*4/3))*0.414)</f>
        <v>5.87578825241913005</v>
      </c>
      <c r="AJ12" s="29">
        <f>((M12+I12+(LOG(J12)*4/3))*0.167)</f>
        <v>0.850485116313990019</v>
      </c>
      <c r="AK12" s="29">
        <f>((N12+I12+(LOG(J12)*4/3))*0.588)</f>
        <v>8.28652244546485051</v>
      </c>
      <c r="AL12" s="29">
        <f>((L12+I12+(LOG(J12)*4/3))*0.754)</f>
        <v>10.7013148365315001</v>
      </c>
      <c r="AM12" s="29">
        <f>((L12+I12+(LOG(J12)*4/3))*0.708)</f>
        <v>10.0484494751515996</v>
      </c>
      <c r="AN12" s="29">
        <f>((Q12+I12+(LOG(J12)*4/3))*0.167)</f>
        <v>2.68748511631399989</v>
      </c>
      <c r="AO12" s="29">
        <f>((R12+I12+(LOG(J12)*4/3))*0.288)</f>
        <v>1.79430487124808007</v>
      </c>
      <c r="AP12" s="29">
        <f>((L12+I12+(LOG(J12)*4/3))*0.27)</f>
        <v>3.83203581679507987</v>
      </c>
      <c r="AQ12" s="29">
        <f>((L12+I12+(LOG(J12)*4/3))*0.594)</f>
        <v>8.43047879694919011</v>
      </c>
      <c r="AR12" s="29">
        <f>AP12/2</f>
        <v>1.91601790839754003</v>
      </c>
      <c r="AS12" s="29">
        <f>((M12+I12+(LOG(J12)*4/3))*0.944)</f>
        <v>4.80753263353537008</v>
      </c>
      <c r="AT12" s="29">
        <f>((O12+I12+(LOG(J12)*4/3))*0.13)</f>
        <v>1.44205428216059994</v>
      </c>
      <c r="AU12" s="29">
        <f>((P12+I12+(LOG(J12)*4/3))*0.173)+((O12+I12+(LOG(J12)*4/3))*0.12)</f>
        <v>2.94741849748502016</v>
      </c>
      <c r="AV12" s="29">
        <f>AT12/2</f>
        <v>0.721027141080299927</v>
      </c>
      <c r="AW12" s="29">
        <f>((L12+I12+(LOG(J12)*4/3))*0.189)</f>
        <v>2.68242507175656009</v>
      </c>
      <c r="AX12" s="29">
        <f>((L12+I12+(LOG(J12)*4/3))*0.4)</f>
        <v>5.67709009895567984</v>
      </c>
      <c r="AY12" s="29">
        <f>AW12/2</f>
        <v>1.34121253587828004</v>
      </c>
      <c r="AZ12" s="29">
        <f>((M12+I12+(LOG(J12)*4/3))*1)</f>
        <v>5.09272524738916044</v>
      </c>
      <c r="BA12" s="29">
        <f>((O12+I12+(LOG(J12)*4/3))*0.253)</f>
        <v>2.80645948758946986</v>
      </c>
      <c r="BB12" s="29">
        <f>((P12+I12+(LOG(J12)*4/3))*0.21)+((O12+I12+(LOG(J12)*4/3))*0.341)</f>
        <v>5.74459161131144036</v>
      </c>
      <c r="BC12" s="29">
        <f>BA12/2</f>
        <v>1.40322974379474008</v>
      </c>
      <c r="BD12" s="29">
        <f>((L12+I12+(LOG(J12)*4/3))*0.291)</f>
        <v>4.13008304699025963</v>
      </c>
      <c r="BE12" s="29">
        <f>((L12+I12+(LOG(J12)*4/3))*0.348)</f>
        <v>4.93906838609144039</v>
      </c>
      <c r="BF12" s="29">
        <f>((M12+I12+(LOG(J12)*4/3))*0.881)</f>
        <v>4.48669094294985005</v>
      </c>
      <c r="BG12" s="29">
        <f>((N12+I12+(LOG(J12)*4/3))*0.574)+((O12+I12+(LOG(J12)*4/3))*0.315)</f>
        <v>11.5834327449290004</v>
      </c>
      <c r="BH12" s="29">
        <f>((O12+I12+(LOG(J12)*4/3))*0.241)</f>
        <v>2.67334678462079989</v>
      </c>
      <c r="BI12" s="29">
        <f>((L12+I12+(LOG(J12)*4/3))*0.485)</f>
        <v>6.88347174498376013</v>
      </c>
      <c r="BJ12" s="29">
        <f>((L12+I12+(LOG(J12)*4/3))*0.264)</f>
        <v>3.74687946531074978</v>
      </c>
      <c r="BK12" s="29">
        <f>((M12+I12+(LOG(J12)*4/3))*0.381)</f>
        <v>1.9403283192552701</v>
      </c>
      <c r="BL12" s="29">
        <f>((N12+I12+(LOG(J12)*4/3))*0.673)+((O12+I12+(LOG(J12)*4/3))*0.201)</f>
        <v>11.7140418662181993</v>
      </c>
      <c r="BM12" s="29">
        <f>((O12+I12+(LOG(J12)*4/3))*0.052)</f>
        <v>0.576821712864239</v>
      </c>
      <c r="BN12" s="29">
        <f>((L12+I12+(LOG(J12)*4/3))*0.18)</f>
        <v>2.55469054453006006</v>
      </c>
      <c r="BO12" s="29">
        <f>((L12+I12+(LOG(J12)*4/3))*0.068)</f>
        <v>0.965105316822466008</v>
      </c>
      <c r="BP12" s="29">
        <f>((M12+I12+(LOG(J12)*4/3))*0.305)</f>
        <v>1.55328120045369005</v>
      </c>
      <c r="BQ12" s="29">
        <f>((N12+I12+(LOG(J12)*4/3))*1)+((O12+I12+(LOG(J12)*4/3))*0.286)</f>
        <v>17.2652446681425005</v>
      </c>
      <c r="BR12" s="29">
        <f>((O12+I12+(LOG(J12)*4/3))*0.135)</f>
        <v>1.49751790839754007</v>
      </c>
      <c r="BS12" s="29">
        <f>((L12+I12+(LOG(J12)*4/3))*0.284)</f>
        <v>4.03073397025853009</v>
      </c>
      <c r="BT12" s="29">
        <f>((L12+I12+(LOG(J12)*4/3))*0.244)</f>
        <v>3.46302496036296992</v>
      </c>
      <c r="BU12" s="29">
        <f>((M12+I12+(LOG(J12)*4/3))*0.631)</f>
        <v>3.21350963110256016</v>
      </c>
      <c r="BV12" s="29">
        <f>((N12+I12+(LOG(J12)*4/3))*0.702)+((O12+I12+(LOG(J12)*4/3))*0.193)</f>
        <v>12.0339890964133005</v>
      </c>
      <c r="BW12" s="29">
        <f>((O12+I12+(LOG(J12)*4/3))*0.148)</f>
        <v>1.64172333661359993</v>
      </c>
      <c r="BX12" s="29">
        <f>((M12+I12+(LOG(J12)*4/3))*0.406)</f>
        <v>2.06764645043999984</v>
      </c>
      <c r="BY12" s="29">
        <f>IF(D12="TEC",((N12+I12+(LOG(J12)*4/3))*0.15)+((O12+I12+(LOG(J12)*4/3))*0.324)+((P12+I12+(LOG(J12)*4/3))*0.127),((N12+I12+(LOG(J12)*4/3))*0.144)+((O12+I12+(LOG(J12)*4/3))*0.25)+((P12+I12+(LOG(J12)*4/3))*0.127))</f>
        <v>5.98905985388976969</v>
      </c>
      <c r="BZ12" s="29">
        <f>IF(D12="TEC",((O12+I12+(LOG(J12)*4/3))*0.543)+((P12+I12+(LOG(J12)*4/3))*0.583),((O12+I12+(LOG(J12)*4/3))*0.543)+((P12+I12+(LOG(J12)*4/3))*0.583))</f>
        <v>11.4701586285602009</v>
      </c>
      <c r="CA12" s="29">
        <f>BY12</f>
        <v>5.98905985388976969</v>
      </c>
      <c r="CB12" s="29">
        <f>((P12+I12+(LOG(J12)*4/3))*0.26)+((N12+I12+(LOG(J12)*4/3))*0.221)+((O12+I12+(LOG(J12)*4/3))*0.142)</f>
        <v>7.11876782912345973</v>
      </c>
      <c r="CC12" s="29">
        <f>((P12+I12+(LOG(J12)*4/3))*1)+((O12+I12+(LOG(J12)*4/3))*0.369)</f>
        <v>13.4359408636757998</v>
      </c>
      <c r="CD12" s="29">
        <f>CB12</f>
        <v>7.11876782912345973</v>
      </c>
      <c r="CE12" s="29">
        <f>((M12+I12+(LOG(J12)*4/3))*0.25)</f>
        <v>1.27318131184729011</v>
      </c>
    </row>
    <row r="13" spans="1:83">
      <c r="A13" t="str">
        <f>Plantilla!D14</f>
        <v>Enrique Cubas</v>
      </c>
      <c r="B13">
        <f>Plantilla!E14</f>
        <v>25</v>
      </c>
      <c r="C13" s="27">
        <f>Plantilla!F14</f>
        <v>55</v>
      </c>
      <c r="D13" s="44" t="str">
        <f>Plantilla!G14</f>
        <v>RAP</v>
      </c>
      <c r="E13" s="25">
        <f>Plantilla!M14</f>
        <v>43046</v>
      </c>
      <c r="F13" s="39">
        <f>Plantilla!Q14</f>
        <v>6</v>
      </c>
      <c r="G13" s="40">
        <f>(F13/7)^0.5</f>
        <v>0.925820099772552041</v>
      </c>
      <c r="H13" s="40">
        <f>IF(F13=7,1,((F13+0.99)/7)^0.5)</f>
        <v>0.999285459001294996</v>
      </c>
      <c r="I13" s="106">
        <f>Plantilla!N14</f>
        <v>1.5</v>
      </c>
      <c r="J13" s="31">
        <f>Plantilla!I14</f>
        <v>7.29999999999999982</v>
      </c>
      <c r="K13" s="38">
        <f>Plantilla!X14</f>
        <v>0</v>
      </c>
      <c r="L13" s="38">
        <f>Plantilla!Y14</f>
        <v>11.3333333333333002</v>
      </c>
      <c r="M13" s="38">
        <f>Plantilla!Z14</f>
        <v>5.70000000000000018</v>
      </c>
      <c r="N13" s="38">
        <f>Plantilla!AA14</f>
        <v>14.125</v>
      </c>
      <c r="O13" s="38">
        <f>Plantilla!AB14</f>
        <v>9.5</v>
      </c>
      <c r="P13" s="38">
        <f>Plantilla!AC14</f>
        <v>7.5</v>
      </c>
      <c r="Q13" s="38">
        <f>Plantilla!AD14</f>
        <v>14</v>
      </c>
      <c r="R13" s="38">
        <f>((2*(O13+1))+(L13+1))/8</f>
        <v>4.16666666666665986</v>
      </c>
      <c r="S13" s="38">
        <f>(0.5*P13+0.3*Q13)/10</f>
        <v>0.795000000000000018</v>
      </c>
      <c r="T13" s="38">
        <f>(0.4*L13+0.3*Q13)/10</f>
        <v>0.873333333333332007</v>
      </c>
      <c r="U13" s="38">
        <f>(Q13+I13+(LOG(J13)*4/3))*(F13/7)^0.5</f>
        <v>15.4159204217981003</v>
      </c>
      <c r="V13" s="38">
        <f>IF(F13=7,U13,(Q13+I13+(LOG(J13)*4/3))*((F13+0.99)/7)^0.5)</f>
        <v>16.6391992552424988</v>
      </c>
      <c r="W13" s="29">
        <f>((K13+I13+(LOG(J13)*4/3))*0.597)+((L13+I13+(LOG(J13)*4/3))*0.276)</f>
        <v>5.44240780918021017</v>
      </c>
      <c r="X13" s="29">
        <f>((K13+I13+(LOG(J13)*4/3))*0.866)+((L13+I13+(LOG(J13)*4/3))*0.425)</f>
        <v>8.2392330832206806</v>
      </c>
      <c r="Y13" s="29">
        <f>W13</f>
        <v>5.44240780918021017</v>
      </c>
      <c r="Z13" s="29">
        <f>((L13+I13+(LOG(J13)*4/3))*0.516)</f>
        <v>7.21596612776287039</v>
      </c>
      <c r="AA13" s="29">
        <f>((L13+I13+(LOG(J13)*4/3))*1)</f>
        <v>13.9844304801606008</v>
      </c>
      <c r="AB13" s="29">
        <f>Z13/2</f>
        <v>3.60798306388144008</v>
      </c>
      <c r="AC13" s="29">
        <f>((M13+I13+(LOG(J13)*4/3))*0.238)</f>
        <v>1.98756112094489001</v>
      </c>
      <c r="AD13" s="29">
        <f>((L13+I13+(LOG(J13)*4/3))*0.378)</f>
        <v>5.28611472150071027</v>
      </c>
      <c r="AE13" s="29">
        <f>((L13+I13+(LOG(J13)*4/3))*0.723)</f>
        <v>10.1107432371561003</v>
      </c>
      <c r="AF13" s="29">
        <f>AD13/2</f>
        <v>2.64305736075036002</v>
      </c>
      <c r="AG13" s="29">
        <f>((M13+I13+(LOG(J13)*4/3))*0.385)</f>
        <v>3.21517240152850015</v>
      </c>
      <c r="AH13" s="29">
        <f>((L13+I13+(LOG(J13)*4/3))*0.92)</f>
        <v>12.8656760417478004</v>
      </c>
      <c r="AI13" s="29">
        <f>((L13+I13+(LOG(J13)*4/3))*0.414)</f>
        <v>5.78955421878649013</v>
      </c>
      <c r="AJ13" s="29">
        <f>((M13+I13+(LOG(J13)*4/3))*0.167)</f>
        <v>1.39463322352014995</v>
      </c>
      <c r="AK13" s="29">
        <f>((N13+I13+(LOG(J13)*4/3))*0.588)</f>
        <v>9.86434512233445027</v>
      </c>
      <c r="AL13" s="29">
        <f>((L13+I13+(LOG(J13)*4/3))*0.754)</f>
        <v>10.5442605820410993</v>
      </c>
      <c r="AM13" s="29">
        <f>((L13+I13+(LOG(J13)*4/3))*0.708)</f>
        <v>9.9009767799537105</v>
      </c>
      <c r="AN13" s="29">
        <f>((Q13+I13+(LOG(J13)*4/3))*0.167)</f>
        <v>2.78073322352015984</v>
      </c>
      <c r="AO13" s="29">
        <f>((R13+I13+(LOG(J13)*4/3))*0.288)</f>
        <v>1.96351597828624982</v>
      </c>
      <c r="AP13" s="29">
        <f>((L13+I13+(LOG(J13)*4/3))*0.27)</f>
        <v>3.77579622964336004</v>
      </c>
      <c r="AQ13" s="29">
        <f>((L13+I13+(LOG(J13)*4/3))*0.594)</f>
        <v>8.30675170521539918</v>
      </c>
      <c r="AR13" s="29">
        <f>AP13/2</f>
        <v>1.88789811482168002</v>
      </c>
      <c r="AS13" s="29">
        <f>((M13+I13+(LOG(J13)*4/3))*0.944)</f>
        <v>7.88343570660494031</v>
      </c>
      <c r="AT13" s="29">
        <f>((O13+I13+(LOG(J13)*4/3))*0.13)</f>
        <v>1.57964262908755</v>
      </c>
      <c r="AU13" s="29">
        <f>((P13+I13+(LOG(J13)*4/3))*0.173)+((O13+I13+(LOG(J13)*4/3))*0.12)</f>
        <v>3.21427146402039998</v>
      </c>
      <c r="AV13" s="29">
        <f>AT13/2</f>
        <v>0.789821314543774999</v>
      </c>
      <c r="AW13" s="29">
        <f>((L13+I13+(LOG(J13)*4/3))*0.189)</f>
        <v>2.6430573607503498</v>
      </c>
      <c r="AX13" s="29">
        <f>((L13+I13+(LOG(J13)*4/3))*0.4)</f>
        <v>5.59377219206423959</v>
      </c>
      <c r="AY13" s="29">
        <f>AW13/2</f>
        <v>1.32152868037518001</v>
      </c>
      <c r="AZ13" s="29">
        <f>((M13+I13+(LOG(J13)*4/3))*1)</f>
        <v>8.35109714682726967</v>
      </c>
      <c r="BA13" s="29">
        <f>((O13+I13+(LOG(J13)*4/3))*0.253)</f>
        <v>3.07422757814731007</v>
      </c>
      <c r="BB13" s="29">
        <f>((P13+I13+(LOG(J13)*4/3))*0.21)+((O13+I13+(LOG(J13)*4/3))*0.341)</f>
        <v>6.27525452790183991</v>
      </c>
      <c r="BC13" s="29">
        <f>BA13/2</f>
        <v>1.53711378907365992</v>
      </c>
      <c r="BD13" s="29">
        <f>((L13+I13+(LOG(J13)*4/3))*0.291)</f>
        <v>4.06946926972674028</v>
      </c>
      <c r="BE13" s="29">
        <f>((L13+I13+(LOG(J13)*4/3))*0.348)</f>
        <v>4.86658180709588972</v>
      </c>
      <c r="BF13" s="29">
        <f>((M13+I13+(LOG(J13)*4/3))*0.881)</f>
        <v>7.35731658635483043</v>
      </c>
      <c r="BG13" s="29">
        <f>((N13+I13+(LOG(J13)*4/3))*0.574)+((O13+I13+(LOG(J13)*4/3))*0.315)</f>
        <v>13.4570753635294995</v>
      </c>
      <c r="BH13" s="29">
        <f>((O13+I13+(LOG(J13)*4/3))*0.241)</f>
        <v>2.92841441238538014</v>
      </c>
      <c r="BI13" s="29">
        <f>((L13+I13+(LOG(J13)*4/3))*0.485)</f>
        <v>6.7824487828778901</v>
      </c>
      <c r="BJ13" s="29">
        <f>((L13+I13+(LOG(J13)*4/3))*0.264)</f>
        <v>3.69188964676239983</v>
      </c>
      <c r="BK13" s="29">
        <f>((M13+I13+(LOG(J13)*4/3))*0.381)</f>
        <v>3.18176801294118983</v>
      </c>
      <c r="BL13" s="29">
        <f>((N13+I13+(LOG(J13)*4/3))*0.673)+((O13+I13+(LOG(J13)*4/3))*0.201)</f>
        <v>13.7326839063271002</v>
      </c>
      <c r="BM13" s="29">
        <f>((O13+I13+(LOG(J13)*4/3))*0.052)</f>
        <v>0.631857051635020017</v>
      </c>
      <c r="BN13" s="29">
        <f>((L13+I13+(LOG(J13)*4/3))*0.18)</f>
        <v>2.51719748642890995</v>
      </c>
      <c r="BO13" s="29">
        <f>((L13+I13+(LOG(J13)*4/3))*0.068)</f>
        <v>0.950941272650920943</v>
      </c>
      <c r="BP13" s="29">
        <f>((M13+I13+(LOG(J13)*4/3))*0.305)</f>
        <v>2.54708462978231998</v>
      </c>
      <c r="BQ13" s="29">
        <f>((N13+I13+(LOG(J13)*4/3))*1)+((O13+I13+(LOG(J13)*4/3))*0.286)</f>
        <v>20.2513109308199013</v>
      </c>
      <c r="BR13" s="29">
        <f>((O13+I13+(LOG(J13)*4/3))*0.135)</f>
        <v>1.64039811482169</v>
      </c>
      <c r="BS13" s="29">
        <f>((L13+I13+(LOG(J13)*4/3))*0.284)</f>
        <v>3.97157825636561022</v>
      </c>
      <c r="BT13" s="29">
        <f>((L13+I13+(LOG(J13)*4/3))*0.244)</f>
        <v>3.41220103715918999</v>
      </c>
      <c r="BU13" s="29">
        <f>((M13+I13+(LOG(J13)*4/3))*0.631)</f>
        <v>5.26954229964800991</v>
      </c>
      <c r="BV13" s="29">
        <f>((N13+I13+(LOG(J13)*4/3))*0.702)+((O13+I13+(LOG(J13)*4/3))*0.193)</f>
        <v>14.1219819464105001</v>
      </c>
      <c r="BW13" s="29">
        <f>((O13+I13+(LOG(J13)*4/3))*0.148)</f>
        <v>1.79836237773044001</v>
      </c>
      <c r="BX13" s="29">
        <f>((M13+I13+(LOG(J13)*4/3))*0.406)</f>
        <v>3.3905454416118701</v>
      </c>
      <c r="BY13" s="29">
        <f>IF(D13="TEC",((N13+I13+(LOG(J13)*4/3))*0.15)+((O13+I13+(LOG(J13)*4/3))*0.324)+((P13+I13+(LOG(J13)*4/3))*0.127),((N13+I13+(LOG(J13)*4/3))*0.144)+((O13+I13+(LOG(J13)*4/3))*0.25)+((P13+I13+(LOG(J13)*4/3))*0.127))</f>
        <v>6.74272161349702959</v>
      </c>
      <c r="BZ13" s="29">
        <f>IF(D13="TEC",((O13+I13+(LOG(J13)*4/3))*0.543)+((P13+I13+(LOG(J13)*4/3))*0.583),((O13+I13+(LOG(J13)*4/3))*0.543)+((P13+I13+(LOG(J13)*4/3))*0.583))</f>
        <v>12.5161353873275996</v>
      </c>
      <c r="CA13" s="29">
        <f>BY13</f>
        <v>6.74272161349702959</v>
      </c>
      <c r="CB13" s="29">
        <f>((P13+I13+(LOG(J13)*4/3))*0.26)+((N13+I13+(LOG(J13)*4/3))*0.221)+((O13+I13+(LOG(J13)*4/3))*0.142)</f>
        <v>8.07225852247341003</v>
      </c>
      <c r="CC13" s="29">
        <f>((P13+I13+(LOG(J13)*4/3))*1)+((O13+I13+(LOG(J13)*4/3))*0.369)</f>
        <v>14.6348519940066009</v>
      </c>
      <c r="CD13" s="29">
        <f>CB13</f>
        <v>8.07225852247341003</v>
      </c>
      <c r="CE13" s="29">
        <f>((M13+I13+(LOG(J13)*4/3))*0.25)</f>
        <v>2.08777428670682008</v>
      </c>
    </row>
    <row r="14" spans="1:83">
      <c r="A14" t="str">
        <f>Plantilla!D15</f>
        <v>J. G. Peñuela</v>
      </c>
      <c r="B14">
        <f>Plantilla!E15</f>
        <v>25</v>
      </c>
      <c r="C14" s="27">
        <f>Plantilla!F15</f>
        <v>55</v>
      </c>
      <c r="D14" s="44" t="str">
        <f>Plantilla!G15</f>
        <v>IMP</v>
      </c>
      <c r="E14" s="25">
        <f>Plantilla!M15</f>
        <v>43054</v>
      </c>
      <c r="F14" s="39">
        <f>Plantilla!Q15</f>
        <v>6</v>
      </c>
      <c r="G14" s="40">
        <f>(F14/7)^0.5</f>
        <v>0.925820099772552041</v>
      </c>
      <c r="H14" s="40">
        <f>IF(F14=7,1,((F14+0.99)/7)^0.5)</f>
        <v>0.999285459001294996</v>
      </c>
      <c r="I14" s="106">
        <f>Plantilla!N15</f>
        <v>1</v>
      </c>
      <c r="J14" s="31">
        <f>Plantilla!I15</f>
        <v>6.29999999999999982</v>
      </c>
      <c r="K14" s="38">
        <f>Plantilla!X15</f>
        <v>0</v>
      </c>
      <c r="L14" s="38">
        <f>Plantilla!Y15</f>
        <v>11.5999999999999996</v>
      </c>
      <c r="M14" s="38">
        <f>Plantilla!Z15</f>
        <v>5</v>
      </c>
      <c r="N14" s="38">
        <f>Plantilla!AA15</f>
        <v>13.3328571428570992</v>
      </c>
      <c r="O14" s="38">
        <f>Plantilla!AB15</f>
        <v>8</v>
      </c>
      <c r="P14" s="38">
        <f>Plantilla!AC15</f>
        <v>7.8016666666666703</v>
      </c>
      <c r="Q14" s="38">
        <f>Plantilla!AD15</f>
        <v>13</v>
      </c>
      <c r="R14" s="38">
        <f>((2*(O14+1))+(L14+1))/8</f>
        <v>3.82500000000000018</v>
      </c>
      <c r="S14" s="38">
        <f>(0.5*P14+0.3*Q14)/10</f>
        <v>0.780083333333334039</v>
      </c>
      <c r="T14" s="38">
        <f>(0.4*L14+0.3*Q14)/10</f>
        <v>0.853999999999999915</v>
      </c>
      <c r="U14" s="38">
        <f>(Q14+I14+(LOG(J14)*4/3))*(F14/7)^0.5</f>
        <v>13.9482087931455006</v>
      </c>
      <c r="V14" s="38">
        <f>IF(F14=7,U14,(Q14+I14+(LOG(J14)*4/3))*((F14+0.99)/7)^0.5)</f>
        <v>15.0550222764967998</v>
      </c>
      <c r="W14" s="29">
        <f>((K14+I14+(LOG(J14)*4/3))*0.597)+((L14+I14+(LOG(J14)*4/3))*0.276)</f>
        <v>5.00503239956395962</v>
      </c>
      <c r="X14" s="29">
        <f>((K14+I14+(LOG(J14)*4/3))*0.866)+((L14+I14+(LOG(J14)*4/3))*0.425)</f>
        <v>7.59693153245942021</v>
      </c>
      <c r="Y14" s="29">
        <f>W14</f>
        <v>5.00503239956395962</v>
      </c>
      <c r="Z14" s="29">
        <f>((L14+I14+(LOG(J14)*4/3))*0.516)</f>
        <v>7.0515462980240402</v>
      </c>
      <c r="AA14" s="29">
        <f>((L14+I14+(LOG(J14)*4/3))*1)</f>
        <v>13.6657873992713998</v>
      </c>
      <c r="AB14" s="29">
        <f>Z14/2</f>
        <v>3.5257731490120201</v>
      </c>
      <c r="AC14" s="29">
        <f>((M14+I14+(LOG(J14)*4/3))*0.238)</f>
        <v>1.68165740102660006</v>
      </c>
      <c r="AD14" s="29">
        <f>((L14+I14+(LOG(J14)*4/3))*0.378)</f>
        <v>5.16566763692459041</v>
      </c>
      <c r="AE14" s="29">
        <f>((L14+I14+(LOG(J14)*4/3))*0.723)</f>
        <v>9.88036428967322067</v>
      </c>
      <c r="AF14" s="29">
        <f>AD14/2</f>
        <v>2.58283381846230009</v>
      </c>
      <c r="AG14" s="29">
        <f>((M14+I14+(LOG(J14)*4/3))*0.385)</f>
        <v>2.7203281487195099</v>
      </c>
      <c r="AH14" s="29">
        <f>((L14+I14+(LOG(J14)*4/3))*0.92)</f>
        <v>12.5725244073297002</v>
      </c>
      <c r="AI14" s="29">
        <f>((L14+I14+(LOG(J14)*4/3))*0.414)</f>
        <v>5.65763598329836004</v>
      </c>
      <c r="AJ14" s="29">
        <f>((M14+I14+(LOG(J14)*4/3))*0.167)</f>
        <v>1.17998649567832992</v>
      </c>
      <c r="AK14" s="29">
        <f>((N14+I14+(LOG(J14)*4/3))*0.588)</f>
        <v>9.05440299077156041</v>
      </c>
      <c r="AL14" s="29">
        <f>((L14+I14+(LOG(J14)*4/3))*0.754)</f>
        <v>10.3040036990506003</v>
      </c>
      <c r="AM14" s="29">
        <f>((L14+I14+(LOG(J14)*4/3))*0.708)</f>
        <v>9.67537747868414932</v>
      </c>
      <c r="AN14" s="29">
        <f>((Q14+I14+(LOG(J14)*4/3))*0.167)</f>
        <v>2.51598649567832</v>
      </c>
      <c r="AO14" s="29">
        <f>((R14+I14+(LOG(J14)*4/3))*0.288)</f>
        <v>1.69654677099017004</v>
      </c>
      <c r="AP14" s="29">
        <f>((L14+I14+(LOG(J14)*4/3))*0.27)</f>
        <v>3.6897625978032802</v>
      </c>
      <c r="AQ14" s="29">
        <f>((L14+I14+(LOG(J14)*4/3))*0.594)</f>
        <v>8.11747771516720995</v>
      </c>
      <c r="AR14" s="29">
        <f>AP14/2</f>
        <v>1.84488129890164014</v>
      </c>
      <c r="AS14" s="29">
        <f>((M14+I14+(LOG(J14)*4/3))*0.944)</f>
        <v>6.67010330491223957</v>
      </c>
      <c r="AT14" s="29">
        <f>((O14+I14+(LOG(J14)*4/3))*0.13)</f>
        <v>1.3085523619052799</v>
      </c>
      <c r="AU14" s="29">
        <f>((P14+I14+(LOG(J14)*4/3))*0.173)+((O14+I14+(LOG(J14)*4/3))*0.12)</f>
        <v>2.91496404131985987</v>
      </c>
      <c r="AV14" s="29">
        <f>AT14/2</f>
        <v>0.65427618095263993</v>
      </c>
      <c r="AW14" s="29">
        <f>((L14+I14+(LOG(J14)*4/3))*0.189)</f>
        <v>2.58283381846230009</v>
      </c>
      <c r="AX14" s="29">
        <f>((L14+I14+(LOG(J14)*4/3))*0.4)</f>
        <v>5.46631495970856029</v>
      </c>
      <c r="AY14" s="29">
        <f>AW14/2</f>
        <v>1.29141690923115004</v>
      </c>
      <c r="AZ14" s="29">
        <f>((M14+I14+(LOG(J14)*4/3))*1)</f>
        <v>7.06578739927144017</v>
      </c>
      <c r="BA14" s="29">
        <f>((O14+I14+(LOG(J14)*4/3))*0.253)</f>
        <v>2.54664421201565982</v>
      </c>
      <c r="BB14" s="29">
        <f>((P14+I14+(LOG(J14)*4/3))*0.21)+((O14+I14+(LOG(J14)*4/3))*0.341)</f>
        <v>5.50459885699855</v>
      </c>
      <c r="BC14" s="29">
        <f>BA14/2</f>
        <v>1.27332210600782991</v>
      </c>
      <c r="BD14" s="29">
        <f>((L14+I14+(LOG(J14)*4/3))*0.291)</f>
        <v>3.97674413318797981</v>
      </c>
      <c r="BE14" s="29">
        <f>((L14+I14+(LOG(J14)*4/3))*0.348)</f>
        <v>4.75569401494645039</v>
      </c>
      <c r="BF14" s="29">
        <f>((M14+I14+(LOG(J14)*4/3))*0.881)</f>
        <v>6.22495869875814023</v>
      </c>
      <c r="BG14" s="29">
        <f>((N14+I14+(LOG(J14)*4/3))*0.574)+((O14+I14+(LOG(J14)*4/3))*0.315)</f>
        <v>12.0095449979523003</v>
      </c>
      <c r="BH14" s="29">
        <f>((O14+I14+(LOG(J14)*4/3))*0.241)</f>
        <v>2.42585476322441007</v>
      </c>
      <c r="BI14" s="29">
        <f>((L14+I14+(LOG(J14)*4/3))*0.485)</f>
        <v>6.62790688864663036</v>
      </c>
      <c r="BJ14" s="29">
        <f>((L14+I14+(LOG(J14)*4/3))*0.264)</f>
        <v>3.60776787340765015</v>
      </c>
      <c r="BK14" s="29">
        <f>((M14+I14+(LOG(J14)*4/3))*0.381)</f>
        <v>2.69206499912242014</v>
      </c>
      <c r="BL14" s="29">
        <f>((N14+I14+(LOG(J14)*4/3))*0.673)+((O14+I14+(LOG(J14)*4/3))*0.201)</f>
        <v>12.3865110441061006</v>
      </c>
      <c r="BM14" s="29">
        <f>((O14+I14+(LOG(J14)*4/3))*0.052)</f>
        <v>0.523420944762112939</v>
      </c>
      <c r="BN14" s="29">
        <f>((L14+I14+(LOG(J14)*4/3))*0.18)</f>
        <v>2.45984173186884991</v>
      </c>
      <c r="BO14" s="29">
        <f>((L14+I14+(LOG(J14)*4/3))*0.068)</f>
        <v>0.929273543150454984</v>
      </c>
      <c r="BP14" s="29">
        <f>((M14+I14+(LOG(J14)*4/3))*0.305)</f>
        <v>2.15506515677778987</v>
      </c>
      <c r="BQ14" s="29">
        <f>((N14+I14+(LOG(J14)*4/3))*1)+((O14+I14+(LOG(J14)*4/3))*0.286)</f>
        <v>18.2774597383201005</v>
      </c>
      <c r="BR14" s="29">
        <f>((O14+I14+(LOG(J14)*4/3))*0.135)</f>
        <v>1.35888129890163989</v>
      </c>
      <c r="BS14" s="29">
        <f>((L14+I14+(LOG(J14)*4/3))*0.284)</f>
        <v>3.88108362139307985</v>
      </c>
      <c r="BT14" s="29">
        <f>((L14+I14+(LOG(J14)*4/3))*0.244)</f>
        <v>3.33445212542221991</v>
      </c>
      <c r="BU14" s="29">
        <f>((M14+I14+(LOG(J14)*4/3))*0.631)</f>
        <v>4.45851184894028041</v>
      </c>
      <c r="BV14" s="29">
        <f>((N14+I14+(LOG(J14)*4/3))*0.702)+((O14+I14+(LOG(J14)*4/3))*0.193)</f>
        <v>12.7525454366336</v>
      </c>
      <c r="BW14" s="29">
        <f>((O14+I14+(LOG(J14)*4/3))*0.148)</f>
        <v>1.48973653509217012</v>
      </c>
      <c r="BX14" s="29">
        <f>((M14+I14+(LOG(J14)*4/3))*0.406)</f>
        <v>2.86870968410421021</v>
      </c>
      <c r="BY14" s="29">
        <f>IF(D14="TEC",((N14+I14+(LOG(J14)*4/3))*0.15)+((O14+I14+(LOG(J14)*4/3))*0.324)+((P14+I14+(LOG(J14)*4/3))*0.127),((N14+I14+(LOG(J14)*4/3))*0.144)+((O14+I14+(LOG(J14)*4/3))*0.25)+((P14+I14+(LOG(J14)*4/3))*0.127))</f>
        <v>5.98701833025848984</v>
      </c>
      <c r="BZ14" s="29">
        <f>IF(D14="TEC",((O14+I14+(LOG(J14)*4/3))*0.543)+((P14+I14+(LOG(J14)*4/3))*0.583),((O14+I14+(LOG(J14)*4/3))*0.543)+((P14+I14+(LOG(J14)*4/3))*0.583))</f>
        <v>11.2184482782462993</v>
      </c>
      <c r="CA14" s="29">
        <f>BY14</f>
        <v>5.98701833025848984</v>
      </c>
      <c r="CB14" s="29">
        <f>((P14+I14+(LOG(J14)*4/3))*0.26)+((N14+I14+(LOG(J14)*4/3))*0.221)+((O14+I14+(LOG(J14)*4/3))*0.142)</f>
        <v>7.39798031165084957</v>
      </c>
      <c r="CC14" s="29">
        <f>((P14+I14+(LOG(J14)*4/3))*1)+((O14+I14+(LOG(J14)*4/3))*0.369)</f>
        <v>13.5817296162692998</v>
      </c>
      <c r="CD14" s="29">
        <f>CB14</f>
        <v>7.39798031165084957</v>
      </c>
      <c r="CE14" s="29">
        <f>((M14+I14+(LOG(J14)*4/3))*0.25)</f>
        <v>1.76644684981786</v>
      </c>
    </row>
    <row r="15" spans="1:83">
      <c r="A15" t="e">
        <f>#REF!</f>
        <v>#REF!</v>
      </c>
      <c r="B15" t="e">
        <f>#REF!</f>
        <v>#REF!</v>
      </c>
      <c r="C15" s="27" t="e">
        <f>#REF!</f>
        <v>#REF!</v>
      </c>
      <c r="D15" s="44" t="e">
        <f>#REF!</f>
        <v>#REF!</v>
      </c>
      <c r="E15" s="25" t="e">
        <f>#REF!</f>
        <v>#REF!</v>
      </c>
      <c r="F15" s="39" t="e">
        <f>#REF!</f>
        <v>#REF!</v>
      </c>
      <c r="G15" s="40" t="e">
        <f>(F15/7)^0.5</f>
        <v>#REF!</v>
      </c>
      <c r="H15" s="40" t="e">
        <f>IF(F15=7,1,((F15+0.99)/7)^0.5)</f>
        <v>#REF!</v>
      </c>
      <c r="I15" s="106" t="e">
        <f>#REF!</f>
        <v>#REF!</v>
      </c>
      <c r="J15" s="31" t="e">
        <f>#REF!</f>
        <v>#REF!</v>
      </c>
      <c r="K15" s="38" t="e">
        <f>#REF!</f>
        <v>#REF!</v>
      </c>
      <c r="L15" s="38" t="e">
        <f>#REF!</f>
        <v>#REF!</v>
      </c>
      <c r="M15" s="38" t="e">
        <f>#REF!</f>
        <v>#REF!</v>
      </c>
      <c r="N15" s="38" t="e">
        <f>#REF!</f>
        <v>#REF!</v>
      </c>
      <c r="O15" s="38" t="e">
        <f>#REF!</f>
        <v>#REF!</v>
      </c>
      <c r="P15" s="38" t="e">
        <f>#REF!</f>
        <v>#REF!</v>
      </c>
      <c r="Q15" s="38" t="e">
        <f>#REF!</f>
        <v>#REF!</v>
      </c>
      <c r="R15" s="38" t="e">
        <f>((2*(O15+1))+(L15+1))/8</f>
        <v>#REF!</v>
      </c>
      <c r="S15" s="38" t="e">
        <f>(0.5*P15+0.3*Q15)/10</f>
        <v>#REF!</v>
      </c>
      <c r="T15" s="38" t="e">
        <f>(0.4*L15+0.3*Q15)/10</f>
        <v>#REF!</v>
      </c>
      <c r="U15" s="38" t="e">
        <f>(Q15+I15+(LOG(J15)*4/3))*(F15/7)^0.5</f>
        <v>#REF!</v>
      </c>
      <c r="V15" s="38" t="e">
        <f>IF(F15=7,U15,(Q15+I15+(LOG(J15)*4/3))*((F15+0.99)/7)^0.5)</f>
        <v>#REF!</v>
      </c>
      <c r="W15" s="29" t="e">
        <f>((K15+I15+(LOG(J15)*4/3))*0.597)+((L15+I15+(LOG(J15)*4/3))*0.276)</f>
        <v>#REF!</v>
      </c>
      <c r="X15" s="29" t="e">
        <f>((K15+I15+(LOG(J15)*4/3))*0.866)+((L15+I15+(LOG(J15)*4/3))*0.425)</f>
        <v>#REF!</v>
      </c>
      <c r="Y15" s="29" t="e">
        <f>W15</f>
        <v>#REF!</v>
      </c>
      <c r="Z15" s="29" t="e">
        <f>((L15+I15+(LOG(J15)*4/3))*0.516)</f>
        <v>#REF!</v>
      </c>
      <c r="AA15" s="29" t="e">
        <f>((L15+I15+(LOG(J15)*4/3))*1)</f>
        <v>#REF!</v>
      </c>
      <c r="AB15" s="29" t="e">
        <f>Z15/2</f>
        <v>#REF!</v>
      </c>
      <c r="AC15" s="29" t="e">
        <f>((M15+I15+(LOG(J15)*4/3))*0.238)</f>
        <v>#REF!</v>
      </c>
      <c r="AD15" s="29" t="e">
        <f>((L15+I15+(LOG(J15)*4/3))*0.378)</f>
        <v>#REF!</v>
      </c>
      <c r="AE15" s="29" t="e">
        <f>((L15+I15+(LOG(J15)*4/3))*0.723)</f>
        <v>#REF!</v>
      </c>
      <c r="AF15" s="29" t="e">
        <f>AD15/2</f>
        <v>#REF!</v>
      </c>
      <c r="AG15" s="29" t="e">
        <f>((M15+I15+(LOG(J15)*4/3))*0.385)</f>
        <v>#REF!</v>
      </c>
      <c r="AH15" s="29" t="e">
        <f>((L15+I15+(LOG(J15)*4/3))*0.92)</f>
        <v>#REF!</v>
      </c>
      <c r="AI15" s="29" t="e">
        <f>((L15+I15+(LOG(J15)*4/3))*0.414)</f>
        <v>#REF!</v>
      </c>
      <c r="AJ15" s="29" t="e">
        <f>((M15+I15+(LOG(J15)*4/3))*0.167)</f>
        <v>#REF!</v>
      </c>
      <c r="AK15" s="29" t="e">
        <f>((N15+I15+(LOG(J15)*4/3))*0.588)</f>
        <v>#REF!</v>
      </c>
      <c r="AL15" s="29" t="e">
        <f>((L15+I15+(LOG(J15)*4/3))*0.754)</f>
        <v>#REF!</v>
      </c>
      <c r="AM15" s="29" t="e">
        <f>((L15+I15+(LOG(J15)*4/3))*0.708)</f>
        <v>#REF!</v>
      </c>
      <c r="AN15" s="29" t="e">
        <f>((Q15+I15+(LOG(J15)*4/3))*0.167)</f>
        <v>#REF!</v>
      </c>
      <c r="AO15" s="29" t="e">
        <f>((R15+I15+(LOG(J15)*4/3))*0.288)</f>
        <v>#REF!</v>
      </c>
      <c r="AP15" s="29" t="e">
        <f>((L15+I15+(LOG(J15)*4/3))*0.27)</f>
        <v>#REF!</v>
      </c>
      <c r="AQ15" s="29" t="e">
        <f>((L15+I15+(LOG(J15)*4/3))*0.594)</f>
        <v>#REF!</v>
      </c>
      <c r="AR15" s="29" t="e">
        <f>AP15/2</f>
        <v>#REF!</v>
      </c>
      <c r="AS15" s="29" t="e">
        <f>((M15+I15+(LOG(J15)*4/3))*0.944)</f>
        <v>#REF!</v>
      </c>
      <c r="AT15" s="29" t="e">
        <f>((O15+I15+(LOG(J15)*4/3))*0.13)</f>
        <v>#REF!</v>
      </c>
      <c r="AU15" s="29" t="e">
        <f>((P15+I15+(LOG(J15)*4/3))*0.173)+((O15+I15+(LOG(J15)*4/3))*0.12)</f>
        <v>#REF!</v>
      </c>
      <c r="AV15" s="29" t="e">
        <f>AT15/2</f>
        <v>#REF!</v>
      </c>
      <c r="AW15" s="29" t="e">
        <f>((L15+I15+(LOG(J15)*4/3))*0.189)</f>
        <v>#REF!</v>
      </c>
      <c r="AX15" s="29" t="e">
        <f>((L15+I15+(LOG(J15)*4/3))*0.4)</f>
        <v>#REF!</v>
      </c>
      <c r="AY15" s="29" t="e">
        <f>AW15/2</f>
        <v>#REF!</v>
      </c>
      <c r="AZ15" s="29" t="e">
        <f>((M15+I15+(LOG(J15)*4/3))*1)</f>
        <v>#REF!</v>
      </c>
      <c r="BA15" s="29" t="e">
        <f>((O15+I15+(LOG(J15)*4/3))*0.253)</f>
        <v>#REF!</v>
      </c>
      <c r="BB15" s="29" t="e">
        <f>((P15+I15+(LOG(J15)*4/3))*0.21)+((O15+I15+(LOG(J15)*4/3))*0.341)</f>
        <v>#REF!</v>
      </c>
      <c r="BC15" s="29" t="e">
        <f>BA15/2</f>
        <v>#REF!</v>
      </c>
      <c r="BD15" s="29" t="e">
        <f>((L15+I15+(LOG(J15)*4/3))*0.291)</f>
        <v>#REF!</v>
      </c>
      <c r="BE15" s="29" t="e">
        <f>((L15+I15+(LOG(J15)*4/3))*0.348)</f>
        <v>#REF!</v>
      </c>
      <c r="BF15" s="29" t="e">
        <f>((M15+I15+(LOG(J15)*4/3))*0.881)</f>
        <v>#REF!</v>
      </c>
      <c r="BG15" s="29" t="e">
        <f>((N15+I15+(LOG(J15)*4/3))*0.574)+((O15+I15+(LOG(J15)*4/3))*0.315)</f>
        <v>#REF!</v>
      </c>
      <c r="BH15" s="29" t="e">
        <f>((O15+I15+(LOG(J15)*4/3))*0.241)</f>
        <v>#REF!</v>
      </c>
      <c r="BI15" s="29" t="e">
        <f>((L15+I15+(LOG(J15)*4/3))*0.485)</f>
        <v>#REF!</v>
      </c>
      <c r="BJ15" s="29" t="e">
        <f>((L15+I15+(LOG(J15)*4/3))*0.264)</f>
        <v>#REF!</v>
      </c>
      <c r="BK15" s="29" t="e">
        <f>((M15+I15+(LOG(J15)*4/3))*0.381)</f>
        <v>#REF!</v>
      </c>
      <c r="BL15" s="29" t="e">
        <f>((N15+I15+(LOG(J15)*4/3))*0.673)+((O15+I15+(LOG(J15)*4/3))*0.201)</f>
        <v>#REF!</v>
      </c>
      <c r="BM15" s="29" t="e">
        <f>((O15+I15+(LOG(J15)*4/3))*0.052)</f>
        <v>#REF!</v>
      </c>
      <c r="BN15" s="29" t="e">
        <f>((L15+I15+(LOG(J15)*4/3))*0.18)</f>
        <v>#REF!</v>
      </c>
      <c r="BO15" s="29" t="e">
        <f>((L15+I15+(LOG(J15)*4/3))*0.068)</f>
        <v>#REF!</v>
      </c>
      <c r="BP15" s="29" t="e">
        <f>((M15+I15+(LOG(J15)*4/3))*0.305)</f>
        <v>#REF!</v>
      </c>
      <c r="BQ15" s="29" t="e">
        <f>((N15+I15+(LOG(J15)*4/3))*1)+((O15+I15+(LOG(J15)*4/3))*0.286)</f>
        <v>#REF!</v>
      </c>
      <c r="BR15" s="29" t="e">
        <f>((O15+I15+(LOG(J15)*4/3))*0.135)</f>
        <v>#REF!</v>
      </c>
      <c r="BS15" s="29" t="e">
        <f>((L15+I15+(LOG(J15)*4/3))*0.284)</f>
        <v>#REF!</v>
      </c>
      <c r="BT15" s="29" t="e">
        <f>((L15+I15+(LOG(J15)*4/3))*0.244)</f>
        <v>#REF!</v>
      </c>
      <c r="BU15" s="29" t="e">
        <f>((M15+I15+(LOG(J15)*4/3))*0.631)</f>
        <v>#REF!</v>
      </c>
      <c r="BV15" s="29" t="e">
        <f>((N15+I15+(LOG(J15)*4/3))*0.702)+((O15+I15+(LOG(J15)*4/3))*0.193)</f>
        <v>#REF!</v>
      </c>
      <c r="BW15" s="29" t="e">
        <f>((O15+I15+(LOG(J15)*4/3))*0.148)</f>
        <v>#REF!</v>
      </c>
      <c r="BX15" s="29" t="e">
        <f>((M15+I15+(LOG(J15)*4/3))*0.406)</f>
        <v>#REF!</v>
      </c>
      <c r="BY15" s="29" t="e">
        <f>IF(D15="TEC",((N15+I15+(LOG(J15)*4/3))*0.15)+((O15+I15+(LOG(J15)*4/3))*0.324)+((P15+I15+(LOG(J15)*4/3))*0.127),((N15+I15+(LOG(J15)*4/3))*0.144)+((O15+I15+(LOG(J15)*4/3))*0.25)+((P15+I15+(LOG(J15)*4/3))*0.127))</f>
        <v>#REF!</v>
      </c>
      <c r="BZ15" s="29" t="e">
        <f>IF(D15="TEC",((O15+I15+(LOG(J15)*4/3))*0.543)+((P15+I15+(LOG(J15)*4/3))*0.583),((O15+I15+(LOG(J15)*4/3))*0.543)+((P15+I15+(LOG(J15)*4/3))*0.583))</f>
        <v>#REF!</v>
      </c>
      <c r="CA15" s="29" t="e">
        <f>BY15</f>
        <v>#REF!</v>
      </c>
      <c r="CB15" s="29" t="e">
        <f>((P15+I15+(LOG(J15)*4/3))*0.26)+((N15+I15+(LOG(J15)*4/3))*0.221)+((O15+I15+(LOG(J15)*4/3))*0.142)</f>
        <v>#REF!</v>
      </c>
      <c r="CC15" s="29" t="e">
        <f>((P15+I15+(LOG(J15)*4/3))*1)+((O15+I15+(LOG(J15)*4/3))*0.369)</f>
        <v>#REF!</v>
      </c>
      <c r="CD15" s="29" t="e">
        <f>CB15</f>
        <v>#REF!</v>
      </c>
      <c r="CE15" s="29" t="e">
        <f>((M15+I15+(LOG(J15)*4/3))*0.25)</f>
        <v>#REF!</v>
      </c>
    </row>
    <row r="16" spans="1:83">
      <c r="A16" t="str">
        <f>Plantilla!D17</f>
        <v>Ryan Clarke</v>
      </c>
      <c r="B16">
        <f>Plantilla!E17</f>
        <v>29</v>
      </c>
      <c r="C16" s="27">
        <f>Plantilla!F17</f>
        <v>107</v>
      </c>
      <c r="D16" s="44" t="str">
        <f>Plantilla!G17</f>
        <v>CAB</v>
      </c>
      <c r="E16" s="25">
        <f>Plantilla!M17</f>
        <v>43415</v>
      </c>
      <c r="F16" s="39">
        <f>Plantilla!Q17</f>
        <v>6</v>
      </c>
      <c r="G16" s="40">
        <f>(F16/7)^0.5</f>
        <v>0.925820099772552041</v>
      </c>
      <c r="H16" s="40">
        <f>IF(F16=7,1,((F16+0.99)/7)^0.5)</f>
        <v>0.999285459001294996</v>
      </c>
      <c r="I16" s="106">
        <f>Plantilla!N17</f>
        <v>1</v>
      </c>
      <c r="J16" s="31">
        <f>Plantilla!I17</f>
        <v>7.5</v>
      </c>
      <c r="K16" s="38">
        <f>Plantilla!X17</f>
        <v>0</v>
      </c>
      <c r="L16" s="38">
        <f>Plantilla!Y17</f>
        <v>11</v>
      </c>
      <c r="M16" s="38">
        <f>Plantilla!Z17</f>
        <v>10</v>
      </c>
      <c r="N16" s="38">
        <f>Plantilla!AA17</f>
        <v>5</v>
      </c>
      <c r="O16" s="38">
        <f>Plantilla!AB17</f>
        <v>13</v>
      </c>
      <c r="P16" s="38">
        <f>Plantilla!AC17</f>
        <v>5</v>
      </c>
      <c r="Q16" s="38">
        <f>Plantilla!AD17</f>
        <v>14</v>
      </c>
      <c r="R16" s="38">
        <f>((2*(O16+1))+(L16+1))/8</f>
        <v>5</v>
      </c>
      <c r="S16" s="38">
        <f>(0.5*P16+0.3*Q16)/10</f>
        <v>0.670000000000000018</v>
      </c>
      <c r="T16" s="38">
        <f>(0.4*L16+0.3*Q16)/10</f>
        <v>0.859999999999999964</v>
      </c>
      <c r="U16" s="38">
        <f>(Q16+I16+(LOG(J16)*4/3))*(F16/7)^0.5</f>
        <v>14.9675005714953997</v>
      </c>
      <c r="V16" s="38">
        <f>IF(F16=7,U16,(Q16+I16+(LOG(J16)*4/3))*((F16+0.99)/7)^0.5)</f>
        <v>16.1551965466762013</v>
      </c>
      <c r="W16" s="29">
        <f>((K16+I16+(LOG(J16)*4/3))*0.597)+((L16+I16+(LOG(J16)*4/3))*0.276)</f>
        <v>4.92757131058792996</v>
      </c>
      <c r="X16" s="29">
        <f>((K16+I16+(LOG(J16)*4/3))*0.866)+((L16+I16+(LOG(J16)*4/3))*0.425)</f>
        <v>7.47227212138488994</v>
      </c>
      <c r="Y16" s="29">
        <f>W16</f>
        <v>4.92757131058792996</v>
      </c>
      <c r="Z16" s="29">
        <f>((L16+I16+(LOG(J16)*4/3))*0.516)</f>
        <v>6.79404214921347016</v>
      </c>
      <c r="AA16" s="29">
        <f>((L16+I16+(LOG(J16)*4/3))*1)</f>
        <v>13.1667483511889003</v>
      </c>
      <c r="AB16" s="29">
        <f>Z16/2</f>
        <v>3.39702107460673997</v>
      </c>
      <c r="AC16" s="29">
        <f>((M16+I16+(LOG(J16)*4/3))*0.238)</f>
        <v>2.89568610758295986</v>
      </c>
      <c r="AD16" s="29">
        <f>((L16+I16+(LOG(J16)*4/3))*0.378)</f>
        <v>4.97703087674941003</v>
      </c>
      <c r="AE16" s="29">
        <f>((L16+I16+(LOG(J16)*4/3))*0.723)</f>
        <v>9.51955905790958035</v>
      </c>
      <c r="AF16" s="29">
        <f>AD16/2</f>
        <v>2.4885154383747099</v>
      </c>
      <c r="AG16" s="29">
        <f>((M16+I16+(LOG(J16)*4/3))*0.385)</f>
        <v>4.68419811520772988</v>
      </c>
      <c r="AH16" s="29">
        <f>((L16+I16+(LOG(J16)*4/3))*0.92)</f>
        <v>12.1134084830937994</v>
      </c>
      <c r="AI16" s="29">
        <f>((L16+I16+(LOG(J16)*4/3))*0.414)</f>
        <v>5.45103381739220971</v>
      </c>
      <c r="AJ16" s="29">
        <f>((M16+I16+(LOG(J16)*4/3))*0.167)</f>
        <v>2.03184697464855013</v>
      </c>
      <c r="AK16" s="29">
        <f>((N16+I16+(LOG(J16)*4/3))*0.588)</f>
        <v>4.21404803049909038</v>
      </c>
      <c r="AL16" s="29">
        <f>((L16+I16+(LOG(J16)*4/3))*0.754)</f>
        <v>9.92772825679642956</v>
      </c>
      <c r="AM16" s="29">
        <f>((L16+I16+(LOG(J16)*4/3))*0.708)</f>
        <v>9.32205783264173959</v>
      </c>
      <c r="AN16" s="29">
        <f>((Q16+I16+(LOG(J16)*4/3))*0.167)</f>
        <v>2.69984697464854984</v>
      </c>
      <c r="AO16" s="29">
        <f>((R16+I16+(LOG(J16)*4/3))*0.288)</f>
        <v>2.06402352514241016</v>
      </c>
      <c r="AP16" s="29">
        <f>((L16+I16+(LOG(J16)*4/3))*0.27)</f>
        <v>3.55502205482099987</v>
      </c>
      <c r="AQ16" s="29">
        <f>((L16+I16+(LOG(J16)*4/3))*0.594)</f>
        <v>7.82104852060620992</v>
      </c>
      <c r="AR16" s="29">
        <f>AP16/2</f>
        <v>1.77751102741049998</v>
      </c>
      <c r="AS16" s="29">
        <f>((M16+I16+(LOG(J16)*4/3))*0.944)</f>
        <v>11.4854104435222997</v>
      </c>
      <c r="AT16" s="29">
        <f>((O16+I16+(LOG(J16)*4/3))*0.13)</f>
        <v>1.97167728565455995</v>
      </c>
      <c r="AU16" s="29">
        <f>((P16+I16+(LOG(J16)*4/3))*0.173)+((O16+I16+(LOG(J16)*4/3))*0.12)</f>
        <v>3.05985726689835014</v>
      </c>
      <c r="AV16" s="29">
        <f>AT16/2</f>
        <v>0.985838642827279976</v>
      </c>
      <c r="AW16" s="29">
        <f>((L16+I16+(LOG(J16)*4/3))*0.189)</f>
        <v>2.48851543837470013</v>
      </c>
      <c r="AX16" s="29">
        <f>((L16+I16+(LOG(J16)*4/3))*0.4)</f>
        <v>5.26669934047555977</v>
      </c>
      <c r="AY16" s="29">
        <f>AW16/2</f>
        <v>1.24425771918735006</v>
      </c>
      <c r="AZ16" s="29">
        <f>((M16+I16+(LOG(J16)*4/3))*1)</f>
        <v>12.1667483511889003</v>
      </c>
      <c r="BA16" s="29">
        <f>((O16+I16+(LOG(J16)*4/3))*0.253)</f>
        <v>3.83718733285079026</v>
      </c>
      <c r="BB16" s="29">
        <f>((P16+I16+(LOG(J16)*4/3))*0.21)+((O16+I16+(LOG(J16)*4/3))*0.341)</f>
        <v>6.67687834150510007</v>
      </c>
      <c r="BC16" s="29">
        <f>BA16/2</f>
        <v>1.91859366642539992</v>
      </c>
      <c r="BD16" s="29">
        <f>((L16+I16+(LOG(J16)*4/3))*0.291)</f>
        <v>3.8315237701959699</v>
      </c>
      <c r="BE16" s="29">
        <f>((L16+I16+(LOG(J16)*4/3))*0.348)</f>
        <v>4.58202842621374007</v>
      </c>
      <c r="BF16" s="29">
        <f>((M16+I16+(LOG(J16)*4/3))*0.881)</f>
        <v>10.7189052973974004</v>
      </c>
      <c r="BG16" s="29">
        <f>((N16+I16+(LOG(J16)*4/3))*0.574)+((O16+I16+(LOG(J16)*4/3))*0.315)</f>
        <v>8.89123928420695009</v>
      </c>
      <c r="BH16" s="29">
        <f>((O16+I16+(LOG(J16)*4/3))*0.241)</f>
        <v>3.6551863526365298</v>
      </c>
      <c r="BI16" s="29">
        <f>((L16+I16+(LOG(J16)*4/3))*0.485)</f>
        <v>6.38587295032662006</v>
      </c>
      <c r="BJ16" s="29">
        <f>((L16+I16+(LOG(J16)*4/3))*0.264)</f>
        <v>3.47602156471387014</v>
      </c>
      <c r="BK16" s="29">
        <f>((M16+I16+(LOG(J16)*4/3))*0.381)</f>
        <v>4.63553112180296978</v>
      </c>
      <c r="BL16" s="29">
        <f>((N16+I16+(LOG(J16)*4/3))*0.673)+((O16+I16+(LOG(J16)*4/3))*0.201)</f>
        <v>7.87173805893911993</v>
      </c>
      <c r="BM16" s="29">
        <f>((O16+I16+(LOG(J16)*4/3))*0.052)</f>
        <v>0.788670914261822986</v>
      </c>
      <c r="BN16" s="29">
        <f>((L16+I16+(LOG(J16)*4/3))*0.18)</f>
        <v>2.37001470321400021</v>
      </c>
      <c r="BO16" s="29">
        <f>((L16+I16+(LOG(J16)*4/3))*0.068)</f>
        <v>0.895338887880845036</v>
      </c>
      <c r="BP16" s="29">
        <f>((M16+I16+(LOG(J16)*4/3))*0.305)</f>
        <v>3.71085824711260992</v>
      </c>
      <c r="BQ16" s="29">
        <f>((N16+I16+(LOG(J16)*4/3))*1)+((O16+I16+(LOG(J16)*4/3))*0.286)</f>
        <v>11.5044383796290006</v>
      </c>
      <c r="BR16" s="29">
        <f>((O16+I16+(LOG(J16)*4/3))*0.135)</f>
        <v>2.04751102741050017</v>
      </c>
      <c r="BS16" s="29">
        <f>((L16+I16+(LOG(J16)*4/3))*0.284)</f>
        <v>3.73935653173764981</v>
      </c>
      <c r="BT16" s="29">
        <f>((L16+I16+(LOG(J16)*4/3))*0.244)</f>
        <v>3.21268659769009002</v>
      </c>
      <c r="BU16" s="29">
        <f>((M16+I16+(LOG(J16)*4/3))*0.631)</f>
        <v>7.67721820960020018</v>
      </c>
      <c r="BV16" s="29">
        <f>((N16+I16+(LOG(J16)*4/3))*0.702)+((O16+I16+(LOG(J16)*4/3))*0.193)</f>
        <v>7.95823977431409002</v>
      </c>
      <c r="BW16" s="29">
        <f>((O16+I16+(LOG(J16)*4/3))*0.148)</f>
        <v>2.24467875597596001</v>
      </c>
      <c r="BX16" s="29">
        <f>((M16+I16+(LOG(J16)*4/3))*0.406)</f>
        <v>4.93969983058269957</v>
      </c>
      <c r="BY16" s="29">
        <f>IF(D16="TEC",((N16+I16+(LOG(J16)*4/3))*0.15)+((O16+I16+(LOG(J16)*4/3))*0.324)+((P16+I16+(LOG(J16)*4/3))*0.127),((N16+I16+(LOG(J16)*4/3))*0.144)+((O16+I16+(LOG(J16)*4/3))*0.25)+((P16+I16+(LOG(J16)*4/3))*0.127))</f>
        <v>5.73387589096943007</v>
      </c>
      <c r="BZ16" s="29">
        <f>IF(D16="TEC",((O16+I16+(LOG(J16)*4/3))*0.543)+((P16+I16+(LOG(J16)*4/3))*0.583),((O16+I16+(LOG(J16)*4/3))*0.543)+((P16+I16+(LOG(J16)*4/3))*0.583))</f>
        <v>12.4137586434386993</v>
      </c>
      <c r="CA16" s="29">
        <f>BY16</f>
        <v>5.73387589096943007</v>
      </c>
      <c r="CB16" s="29">
        <f>((P16+I16+(LOG(J16)*4/3))*0.26)+((N16+I16+(LOG(J16)*4/3))*0.221)+((O16+I16+(LOG(J16)*4/3))*0.142)</f>
        <v>5.60088422279068965</v>
      </c>
      <c r="CC16" s="29">
        <f>((P16+I16+(LOG(J16)*4/3))*1)+((O16+I16+(LOG(J16)*4/3))*0.369)</f>
        <v>12.7632784927775997</v>
      </c>
      <c r="CD16" s="29">
        <f>CB16</f>
        <v>5.60088422279068965</v>
      </c>
      <c r="CE16" s="29">
        <f>((M16+I16+(LOG(J16)*4/3))*0.25)</f>
        <v>3.04168708779722996</v>
      </c>
    </row>
    <row r="17" spans="1:83">
      <c r="A17" t="str">
        <f>Plantilla!D18</f>
        <v>Renato Galeano</v>
      </c>
      <c r="B17">
        <f>Plantilla!E18</f>
        <v>28</v>
      </c>
      <c r="C17" s="27">
        <f>Plantilla!F18</f>
        <v>34</v>
      </c>
      <c r="D17" s="44" t="str">
        <f>Plantilla!G18</f>
        <v>RAP</v>
      </c>
      <c r="E17" s="25">
        <f>Plantilla!M18</f>
        <v>43687</v>
      </c>
      <c r="F17" s="39">
        <f>Plantilla!Q18</f>
        <v>6</v>
      </c>
      <c r="G17" s="40">
        <f>(F17/7)^0.5</f>
        <v>0.925820099772552041</v>
      </c>
      <c r="H17" s="40">
        <f>IF(F17=7,1,((F17+0.99)/7)^0.5)</f>
        <v>0.999285459001294996</v>
      </c>
      <c r="I17" s="106">
        <f>Plantilla!N18</f>
        <v>0.937954898760798983</v>
      </c>
      <c r="J17" s="31">
        <f>Plantilla!I18</f>
        <v>6.79999999999999982</v>
      </c>
      <c r="K17" s="38">
        <f>Plantilla!X18</f>
        <v>0</v>
      </c>
      <c r="L17" s="38">
        <f>Plantilla!Y18</f>
        <v>2</v>
      </c>
      <c r="M17" s="38">
        <f>Plantilla!Z18</f>
        <v>5</v>
      </c>
      <c r="N17" s="38">
        <f>Plantilla!AA18</f>
        <v>8</v>
      </c>
      <c r="O17" s="38">
        <f>Plantilla!AB18</f>
        <v>7</v>
      </c>
      <c r="P17" s="38">
        <f>Plantilla!AC18</f>
        <v>13</v>
      </c>
      <c r="Q17" s="38">
        <f>Plantilla!AD18</f>
        <v>11</v>
      </c>
      <c r="R17" s="38">
        <f>((2*(O17+1))+(L17+1))/8</f>
        <v>2.375</v>
      </c>
      <c r="S17" s="38">
        <f>(0.5*P17+0.3*Q17)/10</f>
        <v>0.980000000000000071</v>
      </c>
      <c r="T17" s="38">
        <f>(0.4*L17+0.3*Q17)/10</f>
        <v>0.409999999999999964</v>
      </c>
      <c r="U17" s="38">
        <f>(Q17+I17+(LOG(J17)*4/3))*(F17/7)^0.5</f>
        <v>12.0800699082818994</v>
      </c>
      <c r="V17" s="38">
        <f>IF(F17=7,U17,(Q17+I17+(LOG(J17)*4/3))*((F17+0.99)/7)^0.5)</f>
        <v>13.0386434751533997</v>
      </c>
      <c r="W17" s="29">
        <f>((K17+I17+(LOG(J17)*4/3))*0.597)+((L17+I17+(LOG(J17)*4/3))*0.276)</f>
        <v>2.33987500100823009</v>
      </c>
      <c r="X17" s="29">
        <f>((K17+I17+(LOG(J17)*4/3))*0.866)+((L17+I17+(LOG(J17)*4/3))*0.425)</f>
        <v>3.49392511603852007</v>
      </c>
      <c r="Y17" s="29">
        <f>W17</f>
        <v>2.33987500100823009</v>
      </c>
      <c r="Z17" s="29">
        <f>((L17+I17+(LOG(J17)*4/3))*0.516)</f>
        <v>2.08875085970245999</v>
      </c>
      <c r="AA17" s="29">
        <f>((L17+I17+(LOG(J17)*4/3))*1)</f>
        <v>4.04796678236910967</v>
      </c>
      <c r="AB17" s="29">
        <f>Z17/2</f>
        <v>1.04437542985123</v>
      </c>
      <c r="AC17" s="29">
        <f>((M17+I17+(LOG(J17)*4/3))*0.238)</f>
        <v>1.67741609420385007</v>
      </c>
      <c r="AD17" s="29">
        <f>((L17+I17+(LOG(J17)*4/3))*0.378)</f>
        <v>1.53013144373552006</v>
      </c>
      <c r="AE17" s="29">
        <f>((L17+I17+(LOG(J17)*4/3))*0.723)</f>
        <v>2.92667998365286977</v>
      </c>
      <c r="AF17" s="29">
        <f>AD17/2</f>
        <v>0.765065721867760029</v>
      </c>
      <c r="AG17" s="29">
        <f>((M17+I17+(LOG(J17)*4/3))*0.385)</f>
        <v>2.7134672112121101</v>
      </c>
      <c r="AH17" s="29">
        <f>((L17+I17+(LOG(J17)*4/3))*0.92)</f>
        <v>3.72412943977957989</v>
      </c>
      <c r="AI17" s="29">
        <f>((L17+I17+(LOG(J17)*4/3))*0.414)</f>
        <v>1.67585824790080995</v>
      </c>
      <c r="AJ17" s="29">
        <f>((M17+I17+(LOG(J17)*4/3))*0.167)</f>
        <v>1.17701045265563997</v>
      </c>
      <c r="AK17" s="29">
        <f>((N17+I17+(LOG(J17)*4/3))*0.588)</f>
        <v>5.90820446803302968</v>
      </c>
      <c r="AL17" s="29">
        <f>((L17+I17+(LOG(J17)*4/3))*0.754)</f>
        <v>3.0521669539063101</v>
      </c>
      <c r="AM17" s="29">
        <f>((L17+I17+(LOG(J17)*4/3))*0.708)</f>
        <v>2.86596048191732997</v>
      </c>
      <c r="AN17" s="29">
        <f>((Q17+I17+(LOG(J17)*4/3))*0.167)</f>
        <v>2.17901045265563997</v>
      </c>
      <c r="AO17" s="29">
        <f>((R17+I17+(LOG(J17)*4/3))*0.288)</f>
        <v>1.27381443332230004</v>
      </c>
      <c r="AP17" s="29">
        <f>((L17+I17+(LOG(J17)*4/3))*0.27)</f>
        <v>1.09295103123965998</v>
      </c>
      <c r="AQ17" s="29">
        <f>((L17+I17+(LOG(J17)*4/3))*0.594)</f>
        <v>2.40449226872725008</v>
      </c>
      <c r="AR17" s="29">
        <f>AP17/2</f>
        <v>0.546475515619829988</v>
      </c>
      <c r="AS17" s="29">
        <f>((M17+I17+(LOG(J17)*4/3))*0.944)</f>
        <v>6.65328064255643969</v>
      </c>
      <c r="AT17" s="29">
        <f>((O17+I17+(LOG(J17)*4/3))*0.13)</f>
        <v>1.17623568170797999</v>
      </c>
      <c r="AU17" s="29">
        <f>((P17+I17+(LOG(J17)*4/3))*0.173)+((O17+I17+(LOG(J17)*4/3))*0.12)</f>
        <v>3.68905426723414021</v>
      </c>
      <c r="AV17" s="29">
        <f>AT17/2</f>
        <v>0.588117840853989993</v>
      </c>
      <c r="AW17" s="29">
        <f>((L17+I17+(LOG(J17)*4/3))*0.189)</f>
        <v>0.765065721867761983</v>
      </c>
      <c r="AX17" s="29">
        <f>((L17+I17+(LOG(J17)*4/3))*0.4)</f>
        <v>1.61918671294764005</v>
      </c>
      <c r="AY17" s="29">
        <f>AW17/2</f>
        <v>0.382532860933880983</v>
      </c>
      <c r="AZ17" s="29">
        <f>((M17+I17+(LOG(J17)*4/3))*1)</f>
        <v>7.04796678236910967</v>
      </c>
      <c r="BA17" s="29">
        <f>((O17+I17+(LOG(J17)*4/3))*0.253)</f>
        <v>2.2891355959393902</v>
      </c>
      <c r="BB17" s="29">
        <f>((P17+I17+(LOG(J17)*4/3))*0.21)+((O17+I17+(LOG(J17)*4/3))*0.341)</f>
        <v>6.24542969708538021</v>
      </c>
      <c r="BC17" s="29">
        <f>BA17/2</f>
        <v>1.14456779796969998</v>
      </c>
      <c r="BD17" s="29">
        <f>((L17+I17+(LOG(J17)*4/3))*0.291)</f>
        <v>1.17795833366940994</v>
      </c>
      <c r="BE17" s="29">
        <f>((L17+I17+(LOG(J17)*4/3))*0.348)</f>
        <v>1.40869244026445006</v>
      </c>
      <c r="BF17" s="29">
        <f>((M17+I17+(LOG(J17)*4/3))*0.881)</f>
        <v>6.20925873526719041</v>
      </c>
      <c r="BG17" s="29">
        <f>((N17+I17+(LOG(J17)*4/3))*0.574)+((O17+I17+(LOG(J17)*4/3))*0.315)</f>
        <v>8.61764246952613</v>
      </c>
      <c r="BH17" s="29">
        <f>((O17+I17+(LOG(J17)*4/3))*0.241)</f>
        <v>2.18055999455095995</v>
      </c>
      <c r="BI17" s="29">
        <f>((L17+I17+(LOG(J17)*4/3))*0.485)</f>
        <v>1.96326388944901993</v>
      </c>
      <c r="BJ17" s="29">
        <f>((L17+I17+(LOG(J17)*4/3))*0.264)</f>
        <v>1.06866323054544998</v>
      </c>
      <c r="BK17" s="29">
        <f>((M17+I17+(LOG(J17)*4/3))*0.381)</f>
        <v>2.6852753440826298</v>
      </c>
      <c r="BL17" s="29">
        <f>((N17+I17+(LOG(J17)*4/3))*0.673)+((O17+I17+(LOG(J17)*4/3))*0.201)</f>
        <v>8.58092296779060071</v>
      </c>
      <c r="BM17" s="29">
        <f>((O17+I17+(LOG(J17)*4/3))*0.052)</f>
        <v>0.470494272683193948</v>
      </c>
      <c r="BN17" s="29">
        <f>((L17+I17+(LOG(J17)*4/3))*0.18)</f>
        <v>0.728634020826440043</v>
      </c>
      <c r="BO17" s="29">
        <f>((L17+I17+(LOG(J17)*4/3))*0.068)</f>
        <v>0.275261741201099985</v>
      </c>
      <c r="BP17" s="29">
        <f>((M17+I17+(LOG(J17)*4/3))*0.305)</f>
        <v>2.1496298686225801</v>
      </c>
      <c r="BQ17" s="29">
        <f>((N17+I17+(LOG(J17)*4/3))*1)+((O17+I17+(LOG(J17)*4/3))*0.286)</f>
        <v>12.6356852821266994</v>
      </c>
      <c r="BR17" s="29">
        <f>((O17+I17+(LOG(J17)*4/3))*0.135)</f>
        <v>1.22147551561983003</v>
      </c>
      <c r="BS17" s="29">
        <f>((L17+I17+(LOG(J17)*4/3))*0.284)</f>
        <v>1.1496225661928301</v>
      </c>
      <c r="BT17" s="29">
        <f>((L17+I17+(LOG(J17)*4/3))*0.244)</f>
        <v>0.987703894898062984</v>
      </c>
      <c r="BU17" s="29">
        <f>((M17+I17+(LOG(J17)*4/3))*0.631)</f>
        <v>4.44726703967490966</v>
      </c>
      <c r="BV17" s="29">
        <f>((N17+I17+(LOG(J17)*4/3))*0.702)+((O17+I17+(LOG(J17)*4/3))*0.193)</f>
        <v>8.79993027022035079</v>
      </c>
      <c r="BW17" s="29">
        <f>((O17+I17+(LOG(J17)*4/3))*0.148)</f>
        <v>1.33909908379063003</v>
      </c>
      <c r="BX17" s="29">
        <f>((M17+I17+(LOG(J17)*4/3))*0.406)</f>
        <v>2.86147451364186001</v>
      </c>
      <c r="BY17" s="29">
        <f>IF(D17="TEC",((N17+I17+(LOG(J17)*4/3))*0.15)+((O17+I17+(LOG(J17)*4/3))*0.324)+((P17+I17+(LOG(J17)*4/3))*0.127),((N17+I17+(LOG(J17)*4/3))*0.144)+((O17+I17+(LOG(J17)*4/3))*0.25)+((P17+I17+(LOG(J17)*4/3))*0.127))</f>
        <v>5.61999069361430958</v>
      </c>
      <c r="BZ17" s="29">
        <f>IF(D17="TEC",((O17+I17+(LOG(J17)*4/3))*0.543)+((P17+I17+(LOG(J17)*4/3))*0.583),((O17+I17+(LOG(J17)*4/3))*0.543)+((P17+I17+(LOG(J17)*4/3))*0.583))</f>
        <v>13.6860105969476002</v>
      </c>
      <c r="CA17" s="29">
        <f>BY17</f>
        <v>5.61999069361430958</v>
      </c>
      <c r="CB17" s="29">
        <f>((P17+I17+(LOG(J17)*4/3))*0.26)+((N17+I17+(LOG(J17)*4/3))*0.221)+((O17+I17+(LOG(J17)*4/3))*0.142)</f>
        <v>7.41788330541595009</v>
      </c>
      <c r="CC17" s="29">
        <f>((P17+I17+(LOG(J17)*4/3))*1)+((O17+I17+(LOG(J17)*4/3))*0.369)</f>
        <v>18.3866665250633012</v>
      </c>
      <c r="CD17" s="29">
        <f>CB17</f>
        <v>7.41788330541595009</v>
      </c>
      <c r="CE17" s="29">
        <f>((M17+I17+(LOG(J17)*4/3))*0.25)</f>
        <v>1.76199169559228004</v>
      </c>
    </row>
    <row r="18" spans="1:83">
      <c r="A18" t="str">
        <f>Plantilla!D19</f>
        <v>Tommaso Niscola</v>
      </c>
      <c r="B18">
        <f>Plantilla!E19</f>
        <v>31</v>
      </c>
      <c r="C18" s="27">
        <f>Plantilla!F19</f>
        <v>30</v>
      </c>
      <c r="D18" s="44" t="str">
        <f>Plantilla!G19</f>
        <v>IMP</v>
      </c>
      <c r="E18" s="25">
        <f>Plantilla!M19</f>
        <v>43761</v>
      </c>
      <c r="F18" s="39">
        <f>Plantilla!Q19</f>
        <v>5</v>
      </c>
      <c r="G18" s="40">
        <f>(F18/7)^0.5</f>
        <v>0.845154254728516108</v>
      </c>
      <c r="H18" s="40">
        <f>IF(F18=7,1,((F18+0.99)/7)^0.5)</f>
        <v>0.925048261289262008</v>
      </c>
      <c r="I18" s="106">
        <f>Plantilla!N19</f>
        <v>0.784600675180819973</v>
      </c>
      <c r="J18" s="31">
        <f>Plantilla!I19</f>
        <v>8.40000000000000036</v>
      </c>
      <c r="K18" s="38">
        <f>Plantilla!X19</f>
        <v>0</v>
      </c>
      <c r="L18" s="38">
        <f>Plantilla!Y19</f>
        <v>3</v>
      </c>
      <c r="M18" s="38">
        <f>Plantilla!Z19</f>
        <v>9</v>
      </c>
      <c r="N18" s="38">
        <f>Plantilla!AA19</f>
        <v>2</v>
      </c>
      <c r="O18" s="38">
        <f>Plantilla!AB19</f>
        <v>13</v>
      </c>
      <c r="P18" s="38">
        <f>Plantilla!AC19</f>
        <v>11.9499999999999993</v>
      </c>
      <c r="Q18" s="38">
        <f>Plantilla!AD19</f>
        <v>20</v>
      </c>
      <c r="R18" s="38">
        <f>((2*(O18+1))+(L18+1))/8</f>
        <v>4</v>
      </c>
      <c r="S18" s="38">
        <f>(0.5*P18+0.3*Q18)/10</f>
        <v>1.1975</v>
      </c>
      <c r="T18" s="38">
        <f>(0.4*L18+0.3*Q18)/10</f>
        <v>0.719999999999999929</v>
      </c>
      <c r="U18" s="38">
        <f>(Q18+I18+(LOG(J18)*4/3))*(F18/7)^0.5</f>
        <v>18.6077384550257001</v>
      </c>
      <c r="V18" s="38">
        <f>IF(F18=7,U18,(Q18+I18+(LOG(J18)*4/3))*((F18+0.99)/7)^0.5)</f>
        <v>20.3667626448572001</v>
      </c>
      <c r="W18" s="29">
        <f>((K18+I18+(LOG(J18)*4/3))*0.597)+((L18+I18+(LOG(J18)*4/3))*0.276)</f>
        <v>2.58881747840888998</v>
      </c>
      <c r="X18" s="29">
        <f>((K18+I18+(LOG(J18)*4/3))*0.866)+((L18+I18+(LOG(J18)*4/3))*0.425)</f>
        <v>3.87891221606628989</v>
      </c>
      <c r="Y18" s="29">
        <f>W18</f>
        <v>2.58881747840888998</v>
      </c>
      <c r="Z18" s="29">
        <f>((L18+I18+(LOG(J18)*4/3))*0.516)</f>
        <v>2.58875809720387995</v>
      </c>
      <c r="AA18" s="29">
        <f>((L18+I18+(LOG(J18)*4/3))*1)</f>
        <v>5.01697305659665993</v>
      </c>
      <c r="AB18" s="29">
        <f>Z18/2</f>
        <v>1.29437904860193997</v>
      </c>
      <c r="AC18" s="29">
        <f>((M18+I18+(LOG(J18)*4/3))*0.238)</f>
        <v>2.62203958747002019</v>
      </c>
      <c r="AD18" s="29">
        <f>((L18+I18+(LOG(J18)*4/3))*0.378)</f>
        <v>1.89641581539354007</v>
      </c>
      <c r="AE18" s="29">
        <f>((L18+I18+(LOG(J18)*4/3))*0.723)</f>
        <v>3.62727151991939012</v>
      </c>
      <c r="AF18" s="29">
        <f>AD18/2</f>
        <v>0.948207907696770036</v>
      </c>
      <c r="AG18" s="29">
        <f>((M18+I18+(LOG(J18)*4/3))*0.385)</f>
        <v>4.24153462678973003</v>
      </c>
      <c r="AH18" s="29">
        <f>((L18+I18+(LOG(J18)*4/3))*0.92)</f>
        <v>4.61561521206893044</v>
      </c>
      <c r="AI18" s="29">
        <f>((L18+I18+(LOG(J18)*4/3))*0.414)</f>
        <v>2.0770268454310199</v>
      </c>
      <c r="AJ18" s="29">
        <f>((M18+I18+(LOG(J18)*4/3))*0.167)</f>
        <v>1.83983450045165</v>
      </c>
      <c r="AK18" s="29">
        <f>((N18+I18+(LOG(J18)*4/3))*0.588)</f>
        <v>2.36198015727884014</v>
      </c>
      <c r="AL18" s="29">
        <f>((L18+I18+(LOG(J18)*4/3))*0.754)</f>
        <v>3.78279768467387978</v>
      </c>
      <c r="AM18" s="29">
        <f>((L18+I18+(LOG(J18)*4/3))*0.708)</f>
        <v>3.55201692407043979</v>
      </c>
      <c r="AN18" s="29">
        <f>((Q18+I18+(LOG(J18)*4/3))*0.167)</f>
        <v>3.67683450045162985</v>
      </c>
      <c r="AO18" s="29">
        <f>((R18+I18+(LOG(J18)*4/3))*0.288)</f>
        <v>1.73288824029984001</v>
      </c>
      <c r="AP18" s="29">
        <f>((L18+I18+(LOG(J18)*4/3))*0.27)</f>
        <v>1.35458272528110002</v>
      </c>
      <c r="AQ18" s="29">
        <f>((L18+I18+(LOG(J18)*4/3))*0.594)</f>
        <v>2.98008199561841991</v>
      </c>
      <c r="AR18" s="29">
        <f>AP18/2</f>
        <v>0.677291362640549988</v>
      </c>
      <c r="AS18" s="29">
        <f>((M18+I18+(LOG(J18)*4/3))*0.944)</f>
        <v>10.4000225654272995</v>
      </c>
      <c r="AT18" s="29">
        <f>((O18+I18+(LOG(J18)*4/3))*0.13)</f>
        <v>1.95220649735755991</v>
      </c>
      <c r="AU18" s="29">
        <f>((P18+I18+(LOG(J18)*4/3))*0.173)+((O18+I18+(LOG(J18)*4/3))*0.12)</f>
        <v>4.2183231055828001</v>
      </c>
      <c r="AV18" s="29">
        <f>AT18/2</f>
        <v>0.976103248678779956</v>
      </c>
      <c r="AW18" s="29">
        <f>((L18+I18+(LOG(J18)*4/3))*0.189)</f>
        <v>0.94820790769676897</v>
      </c>
      <c r="AX18" s="29">
        <f>((L18+I18+(LOG(J18)*4/3))*0.4)</f>
        <v>2.00678922263865989</v>
      </c>
      <c r="AY18" s="29">
        <f>AW18/2</f>
        <v>0.474103953848385018</v>
      </c>
      <c r="AZ18" s="29">
        <f>((M18+I18+(LOG(J18)*4/3))*1)</f>
        <v>11.0169730565967008</v>
      </c>
      <c r="BA18" s="29">
        <f>((O18+I18+(LOG(J18)*4/3))*0.253)</f>
        <v>3.7992941833189402</v>
      </c>
      <c r="BB18" s="29">
        <f>((P18+I18+(LOG(J18)*4/3))*0.21)+((O18+I18+(LOG(J18)*4/3))*0.341)</f>
        <v>8.05385215418472988</v>
      </c>
      <c r="BC18" s="29">
        <f>BA18/2</f>
        <v>1.8996470916594701</v>
      </c>
      <c r="BD18" s="29">
        <f>((L18+I18+(LOG(J18)*4/3))*0.291)</f>
        <v>1.45993915946963</v>
      </c>
      <c r="BE18" s="29">
        <f>((L18+I18+(LOG(J18)*4/3))*0.348)</f>
        <v>1.74590662369563994</v>
      </c>
      <c r="BF18" s="29">
        <f>((M18+I18+(LOG(J18)*4/3))*0.881)</f>
        <v>9.70595326286169957</v>
      </c>
      <c r="BG18" s="29">
        <f>((N18+I18+(LOG(J18)*4/3))*0.574)+((O18+I18+(LOG(J18)*4/3))*0.315)</f>
        <v>7.03608904731440976</v>
      </c>
      <c r="BH18" s="29">
        <f>((O18+I18+(LOG(J18)*4/3))*0.241)</f>
        <v>3.61909050663977983</v>
      </c>
      <c r="BI18" s="29">
        <f>((L18+I18+(LOG(J18)*4/3))*0.485)</f>
        <v>2.43323193244938007</v>
      </c>
      <c r="BJ18" s="29">
        <f>((L18+I18+(LOG(J18)*4/3))*0.264)</f>
        <v>1.32448088694152011</v>
      </c>
      <c r="BK18" s="29">
        <f>((M18+I18+(LOG(J18)*4/3))*0.381)</f>
        <v>4.1974667345633403</v>
      </c>
      <c r="BL18" s="29">
        <f>((N18+I18+(LOG(J18)*4/3))*0.673)+((O18+I18+(LOG(J18)*4/3))*0.201)</f>
        <v>5.72183445146546976</v>
      </c>
      <c r="BM18" s="29">
        <f>((O18+I18+(LOG(J18)*4/3))*0.052)</f>
        <v>0.780882598943023076</v>
      </c>
      <c r="BN18" s="29">
        <f>((L18+I18+(LOG(J18)*4/3))*0.18)</f>
        <v>0.903055150187399036</v>
      </c>
      <c r="BO18" s="29">
        <f>((L18+I18+(LOG(J18)*4/3))*0.068)</f>
        <v>0.341154167848572998</v>
      </c>
      <c r="BP18" s="29">
        <f>((M18+I18+(LOG(J18)*4/3))*0.305)</f>
        <v>3.3601767822619899</v>
      </c>
      <c r="BQ18" s="29">
        <f>((N18+I18+(LOG(J18)*4/3))*1)+((O18+I18+(LOG(J18)*4/3))*0.286)</f>
        <v>8.3118273507832896</v>
      </c>
      <c r="BR18" s="29">
        <f>((O18+I18+(LOG(J18)*4/3))*0.135)</f>
        <v>2.02729136264054022</v>
      </c>
      <c r="BS18" s="29">
        <f>((L18+I18+(LOG(J18)*4/3))*0.284)</f>
        <v>1.42482034807345004</v>
      </c>
      <c r="BT18" s="29">
        <f>((L18+I18+(LOG(J18)*4/3))*0.244)</f>
        <v>1.22414142580958996</v>
      </c>
      <c r="BU18" s="29">
        <f>((M18+I18+(LOG(J18)*4/3))*0.631)</f>
        <v>6.95170999871251993</v>
      </c>
      <c r="BV18" s="29">
        <f>((N18+I18+(LOG(J18)*4/3))*0.702)+((O18+I18+(LOG(J18)*4/3))*0.193)</f>
        <v>5.7181908856539998</v>
      </c>
      <c r="BW18" s="29">
        <f>((O18+I18+(LOG(J18)*4/3))*0.148)</f>
        <v>2.22251201237630003</v>
      </c>
      <c r="BX18" s="29">
        <f>((M18+I18+(LOG(J18)*4/3))*0.406)</f>
        <v>4.47289106097826039</v>
      </c>
      <c r="BY18" s="29">
        <f>IF(D18="TEC",((N18+I18+(LOG(J18)*4/3))*0.15)+((O18+I18+(LOG(J18)*4/3))*0.324)+((P18+I18+(LOG(J18)*4/3))*0.127),((N18+I18+(LOG(J18)*4/3))*0.144)+((O18+I18+(LOG(J18)*4/3))*0.25)+((P18+I18+(LOG(J18)*4/3))*0.127))</f>
        <v>6.10649296248683982</v>
      </c>
      <c r="BZ18" s="29">
        <f>IF(D18="TEC",((O18+I18+(LOG(J18)*4/3))*0.543)+((P18+I18+(LOG(J18)*4/3))*0.583),((O18+I18+(LOG(J18)*4/3))*0.543)+((P18+I18+(LOG(J18)*4/3))*0.583))</f>
        <v>16.2969616617277993</v>
      </c>
      <c r="CA18" s="29">
        <f>BY18</f>
        <v>6.10649296248683982</v>
      </c>
      <c r="CB18" s="29">
        <f>((P18+I18+(LOG(J18)*4/3))*0.26)+((N18+I18+(LOG(J18)*4/3))*0.221)+((O18+I18+(LOG(J18)*4/3))*0.142)</f>
        <v>6.65157421425969986</v>
      </c>
      <c r="CC18" s="29">
        <f>((P18+I18+(LOG(J18)*4/3))*1)+((O18+I18+(LOG(J18)*4/3))*0.369)</f>
        <v>19.5082361144807983</v>
      </c>
      <c r="CD18" s="29">
        <f>CB18</f>
        <v>6.65157421425969986</v>
      </c>
      <c r="CE18" s="29">
        <f>((M18+I18+(LOG(J18)*4/3))*0.25)</f>
        <v>2.75424326414918008</v>
      </c>
    </row>
    <row r="19" spans="1:83">
      <c r="A19" t="str">
        <f>Plantilla!D20</f>
        <v>Rodolfo Rinaldo  Paso</v>
      </c>
      <c r="B19">
        <f>Plantilla!E20</f>
        <v>25</v>
      </c>
      <c r="C19" s="27">
        <f>Plantilla!F20</f>
        <v>78</v>
      </c>
      <c r="D19" s="44" t="str">
        <f>Plantilla!G20</f>
        <v>RAP</v>
      </c>
      <c r="E19" s="25">
        <f>Plantilla!M20</f>
        <v>43590</v>
      </c>
      <c r="F19" s="39">
        <f>Plantilla!Q20</f>
        <v>7</v>
      </c>
      <c r="G19" s="40">
        <f>(F19/7)^0.5</f>
        <v>1</v>
      </c>
      <c r="H19" s="40">
        <f>IF(F19=7,1,((F19+0.99)/7)^0.5)</f>
        <v>1</v>
      </c>
      <c r="I19" s="106">
        <f>Plantilla!N20</f>
        <v>1</v>
      </c>
      <c r="J19" s="31">
        <f>Plantilla!I20</f>
        <v>4.29999999999999982</v>
      </c>
      <c r="K19" s="38">
        <f>Plantilla!X20</f>
        <v>0</v>
      </c>
      <c r="L19" s="38">
        <f>Plantilla!Y20</f>
        <v>3</v>
      </c>
      <c r="M19" s="38">
        <f>Plantilla!Z20</f>
        <v>7</v>
      </c>
      <c r="N19" s="38">
        <f>Plantilla!AA20</f>
        <v>9</v>
      </c>
      <c r="O19" s="38">
        <f>Plantilla!AB20</f>
        <v>12</v>
      </c>
      <c r="P19" s="38">
        <f>Plantilla!AC20</f>
        <v>14</v>
      </c>
      <c r="Q19" s="38">
        <f>Plantilla!AD20</f>
        <v>9</v>
      </c>
      <c r="R19" s="38">
        <f>((2*(O19+1))+(L19+1))/8</f>
        <v>3.75</v>
      </c>
      <c r="S19" s="38">
        <f>(0.5*P19+0.3*Q19)/10</f>
        <v>0.969999999999999929</v>
      </c>
      <c r="T19" s="38">
        <f>(0.4*L19+0.3*Q19)/10</f>
        <v>0.390000000000000036</v>
      </c>
      <c r="U19" s="38">
        <f>(Q19+I19+(LOG(J19)*4/3))*(F19/7)^0.5</f>
        <v>10.8446246074394992</v>
      </c>
      <c r="V19" s="38">
        <f>IF(F19=7,U19,(Q19+I19+(LOG(J19)*4/3))*((F19+0.99)/7)^0.5)</f>
        <v>10.8446246074394992</v>
      </c>
      <c r="W19" s="29">
        <f>((K19+I19+(LOG(J19)*4/3))*0.597)+((L19+I19+(LOG(J19)*4/3))*0.276)</f>
        <v>2.43835728229463999</v>
      </c>
      <c r="X19" s="29">
        <f>((K19+I19+(LOG(J19)*4/3))*0.866)+((L19+I19+(LOG(J19)*4/3))*0.425)</f>
        <v>3.65641036820432985</v>
      </c>
      <c r="Y19" s="29">
        <f>W19</f>
        <v>2.43835728229463999</v>
      </c>
      <c r="Z19" s="29">
        <f>((L19+I19+(LOG(J19)*4/3))*0.516)</f>
        <v>2.49982629743875995</v>
      </c>
      <c r="AA19" s="29">
        <f>((L19+I19+(LOG(J19)*4/3))*1)</f>
        <v>4.84462460743945034</v>
      </c>
      <c r="AB19" s="29">
        <f>Z19/2</f>
        <v>1.24991314871937997</v>
      </c>
      <c r="AC19" s="29">
        <f>((M19+I19+(LOG(J19)*4/3))*0.238)</f>
        <v>2.10502065657059001</v>
      </c>
      <c r="AD19" s="29">
        <f>((L19+I19+(LOG(J19)*4/3))*0.378)</f>
        <v>1.83126810161211004</v>
      </c>
      <c r="AE19" s="29">
        <f>((L19+I19+(LOG(J19)*4/3))*0.723)</f>
        <v>3.50266359117871984</v>
      </c>
      <c r="AF19" s="29">
        <f>AD19/2</f>
        <v>0.915634050806055022</v>
      </c>
      <c r="AG19" s="29">
        <f>((M19+I19+(LOG(J19)*4/3))*0.385)</f>
        <v>3.4051804738641902</v>
      </c>
      <c r="AH19" s="29">
        <f>((L19+I19+(LOG(J19)*4/3))*0.92)</f>
        <v>4.45705463884430042</v>
      </c>
      <c r="AI19" s="29">
        <f>((L19+I19+(LOG(J19)*4/3))*0.414)</f>
        <v>2.00567458747992999</v>
      </c>
      <c r="AJ19" s="29">
        <f>((M19+I19+(LOG(J19)*4/3))*0.167)</f>
        <v>1.47705230944238997</v>
      </c>
      <c r="AK19" s="29">
        <f>((N19+I19+(LOG(J19)*4/3))*0.588)</f>
        <v>6.37663926917443025</v>
      </c>
      <c r="AL19" s="29">
        <f>((L19+I19+(LOG(J19)*4/3))*0.754)</f>
        <v>3.65284695400935</v>
      </c>
      <c r="AM19" s="29">
        <f>((L19+I19+(LOG(J19)*4/3))*0.708)</f>
        <v>3.42999422206712978</v>
      </c>
      <c r="AN19" s="29">
        <f>((Q19+I19+(LOG(J19)*4/3))*0.167)</f>
        <v>1.81105230944239999</v>
      </c>
      <c r="AO19" s="29">
        <f>((R19+I19+(LOG(J19)*4/3))*0.288)</f>
        <v>1.61125188694256005</v>
      </c>
      <c r="AP19" s="29">
        <f>((L19+I19+(LOG(J19)*4/3))*0.27)</f>
        <v>1.30804864400865006</v>
      </c>
      <c r="AQ19" s="29">
        <f>((L19+I19+(LOG(J19)*4/3))*0.594)</f>
        <v>2.87770701681903027</v>
      </c>
      <c r="AR19" s="29">
        <f>AP19/2</f>
        <v>0.654024322004325054</v>
      </c>
      <c r="AS19" s="29">
        <f>((M19+I19+(LOG(J19)*4/3))*0.944)</f>
        <v>8.34932562942283951</v>
      </c>
      <c r="AT19" s="29">
        <f>((O19+I19+(LOG(J19)*4/3))*0.13)</f>
        <v>1.79980119896714008</v>
      </c>
      <c r="AU19" s="29">
        <f>((P19+I19+(LOG(J19)*4/3))*0.173)+((O19+I19+(LOG(J19)*4/3))*0.12)</f>
        <v>4.40247500997976982</v>
      </c>
      <c r="AV19" s="29">
        <f>AT19/2</f>
        <v>0.899900599483570041</v>
      </c>
      <c r="AW19" s="29">
        <f>((L19+I19+(LOG(J19)*4/3))*0.189)</f>
        <v>0.91563405080605591</v>
      </c>
      <c r="AX19" s="29">
        <f>((L19+I19+(LOG(J19)*4/3))*0.4)</f>
        <v>1.93784984297577996</v>
      </c>
      <c r="AY19" s="29">
        <f>AW19/2</f>
        <v>0.457817025403027955</v>
      </c>
      <c r="AZ19" s="29">
        <f>((M19+I19+(LOG(J19)*4/3))*1)</f>
        <v>8.84462460743944945</v>
      </c>
      <c r="BA19" s="29">
        <f>((O19+I19+(LOG(J19)*4/3))*0.253)</f>
        <v>3.50269002568219001</v>
      </c>
      <c r="BB19" s="29">
        <f>((P19+I19+(LOG(J19)*4/3))*0.21)+((O19+I19+(LOG(J19)*4/3))*0.341)</f>
        <v>8.04838815869917035</v>
      </c>
      <c r="BC19" s="29">
        <f>BA19/2</f>
        <v>1.75134501284109989</v>
      </c>
      <c r="BD19" s="29">
        <f>((L19+I19+(LOG(J19)*4/3))*0.291)</f>
        <v>1.40978576076488</v>
      </c>
      <c r="BE19" s="29">
        <f>((L19+I19+(LOG(J19)*4/3))*0.348)</f>
        <v>1.68592936338893011</v>
      </c>
      <c r="BF19" s="29">
        <f>((M19+I19+(LOG(J19)*4/3))*0.881)</f>
        <v>7.79211427915415999</v>
      </c>
      <c r="BG19" s="29">
        <f>((N19+I19+(LOG(J19)*4/3))*0.574)+((O19+I19+(LOG(J19)*4/3))*0.315)</f>
        <v>10.5858712760136999</v>
      </c>
      <c r="BH19" s="29">
        <f>((O19+I19+(LOG(J19)*4/3))*0.241)</f>
        <v>3.33655453039291983</v>
      </c>
      <c r="BI19" s="29">
        <f>((L19+I19+(LOG(J19)*4/3))*0.485)</f>
        <v>2.34964293460812979</v>
      </c>
      <c r="BJ19" s="29">
        <f>((L19+I19+(LOG(J19)*4/3))*0.264)</f>
        <v>1.2789808963640199</v>
      </c>
      <c r="BK19" s="29">
        <f>((M19+I19+(LOG(J19)*4/3))*0.381)</f>
        <v>3.36980197543442994</v>
      </c>
      <c r="BL19" s="29">
        <f>((N19+I19+(LOG(J19)*4/3))*0.673)+((O19+I19+(LOG(J19)*4/3))*0.201)</f>
        <v>10.0812019069021002</v>
      </c>
      <c r="BM19" s="29">
        <f>((O19+I19+(LOG(J19)*4/3))*0.052)</f>
        <v>0.71992047958685399</v>
      </c>
      <c r="BN19" s="29">
        <f>((L19+I19+(LOG(J19)*4/3))*0.18)</f>
        <v>0.872032429339100901</v>
      </c>
      <c r="BO19" s="29">
        <f>((L19+I19+(LOG(J19)*4/3))*0.068)</f>
        <v>0.32943447330588298</v>
      </c>
      <c r="BP19" s="29">
        <f>((M19+I19+(LOG(J19)*4/3))*0.305)</f>
        <v>2.69761050526902979</v>
      </c>
      <c r="BQ19" s="29">
        <f>((N19+I19+(LOG(J19)*4/3))*1)+((O19+I19+(LOG(J19)*4/3))*0.286)</f>
        <v>14.8041872451671992</v>
      </c>
      <c r="BR19" s="29">
        <f>((O19+I19+(LOG(J19)*4/3))*0.135)</f>
        <v>1.86902432200433015</v>
      </c>
      <c r="BS19" s="29">
        <f>((L19+I19+(LOG(J19)*4/3))*0.284)</f>
        <v>1.37587338851280006</v>
      </c>
      <c r="BT19" s="29">
        <f>((L19+I19+(LOG(J19)*4/3))*0.244)</f>
        <v>1.18208840421522998</v>
      </c>
      <c r="BU19" s="29">
        <f>((M19+I19+(LOG(J19)*4/3))*0.631)</f>
        <v>5.58095812729428964</v>
      </c>
      <c r="BV19" s="29">
        <f>((N19+I19+(LOG(J19)*4/3))*0.702)+((O19+I19+(LOG(J19)*4/3))*0.193)</f>
        <v>10.2849390236583993</v>
      </c>
      <c r="BW19" s="29">
        <f>((O19+I19+(LOG(J19)*4/3))*0.148)</f>
        <v>2.04900444190105002</v>
      </c>
      <c r="BX19" s="29">
        <f>((M19+I19+(LOG(J19)*4/3))*0.406)</f>
        <v>3.59091759062041982</v>
      </c>
      <c r="BY19" s="29">
        <f>IF(D19="TEC",((N19+I19+(LOG(J19)*4/3))*0.15)+((O19+I19+(LOG(J19)*4/3))*0.324)+((P19+I19+(LOG(J19)*4/3))*0.127),((N19+I19+(LOG(J19)*4/3))*0.144)+((O19+I19+(LOG(J19)*4/3))*0.25)+((P19+I19+(LOG(J19)*4/3))*0.127))</f>
        <v>7.03504942047598991</v>
      </c>
      <c r="BZ19" s="29">
        <f>IF(D19="TEC",((O19+I19+(LOG(J19)*4/3))*0.543)+((P19+I19+(LOG(J19)*4/3))*0.583),((O19+I19+(LOG(J19)*4/3))*0.543)+((P19+I19+(LOG(J19)*4/3))*0.583))</f>
        <v>16.7550473079768985</v>
      </c>
      <c r="CA19" s="29">
        <f>BY19</f>
        <v>7.03504942047598991</v>
      </c>
      <c r="CB19" s="29">
        <f>((P19+I19+(LOG(J19)*4/3))*0.26)+((N19+I19+(LOG(J19)*4/3))*0.221)+((O19+I19+(LOG(J19)*4/3))*0.142)</f>
        <v>8.4822011304348095</v>
      </c>
      <c r="CC19" s="29">
        <f>((P19+I19+(LOG(J19)*4/3))*1)+((O19+I19+(LOG(J19)*4/3))*0.369)</f>
        <v>20.9532910875846987</v>
      </c>
      <c r="CD19" s="29">
        <f>CB19</f>
        <v>8.4822011304348095</v>
      </c>
      <c r="CE19" s="29">
        <f>((M19+I19+(LOG(J19)*4/3))*0.25)</f>
        <v>2.21115615185986014</v>
      </c>
    </row>
    <row r="20" spans="13:35">
      <c r="M20" s="29"/>
      <c r="N20" s="29"/>
      <c r="AH20" s="29"/>
      <c r="AI20" s="29"/>
    </row>
    <row r="21" spans="1:75">
      <c r="A21" s="49" t="s">
        <v>869</v>
      </c>
      <c r="B21" s="49" t="s">
        <v>629</v>
      </c>
      <c r="C21" s="49"/>
      <c r="D21" s="50"/>
      <c r="Z21" s="29"/>
      <c r="AA21" s="29"/>
      <c r="BV21" s="29"/>
      <c r="BW21" s="29"/>
    </row>
    <row r="22" spans="1:35">
      <c r="A22" s="51" t="s">
        <v>870</v>
      </c>
      <c r="B22" s="52" t="n">
        <v>1</v>
      </c>
      <c r="C22" s="54" t="n">
        <v>0.624000000000000021</v>
      </c>
      <c r="D22" s="55" t="n">
        <v>0.245000000000000018</v>
      </c>
      <c r="AH22" s="29"/>
      <c r="AI22" s="29"/>
    </row>
    <row r="23" spans="1:34">
      <c r="A23" s="51" t="s">
        <v>871</v>
      </c>
      <c r="B23" s="52" t="n">
        <v>1</v>
      </c>
      <c r="C23" s="54" t="n">
        <v>1.002</v>
      </c>
      <c r="D23" s="55" t="n">
        <v>0.34000000000000008</v>
      </c>
      <c r="AG23" s="2"/>
      <c r="AH23" s="60"/>
    </row>
    <row r="24" spans="1:75">
      <c r="A24" s="51" t="s">
        <v>872</v>
      </c>
      <c r="B24" s="52" t="n">
        <v>1</v>
      </c>
      <c r="C24" s="54" t="n">
        <v>0.46800000000000006</v>
      </c>
      <c r="D24" s="55" t="n">
        <v>0.125</v>
      </c>
      <c r="Z24" s="29"/>
      <c r="AA24" s="29"/>
      <c r="AH24" s="61"/>
      <c r="AI24" s="61"/>
      <c r="BV24" s="29"/>
      <c r="BW24" s="29"/>
    </row>
    <row r="25" spans="1:23">
      <c r="A25" s="51" t="s">
        <v>873</v>
      </c>
      <c r="B25" s="52" t="n">
        <v>1</v>
      </c>
      <c r="C25" s="54" t="n">
        <v>0.876999999999999957</v>
      </c>
      <c r="D25" s="55" t="n">
        <v>0.25</v>
      </c>
      <c r="W25" s="60"/>
    </row>
    <row r="26" spans="1:23">
      <c r="A26" s="51" t="s">
        <v>874</v>
      </c>
      <c r="B26" s="52" t="n">
        <v>1</v>
      </c>
      <c r="C26" s="54" t="n">
        <v>0.592999999999999972</v>
      </c>
      <c r="D26" s="55" t="n">
        <v>0.19</v>
      </c>
      <c r="W26" s="60"/>
    </row>
    <row r="28" spans="26:75">
      <c r="Z28" s="60"/>
      <c r="AA28" s="60"/>
      <c r="BV28" s="60"/>
      <c r="BW28" s="60"/>
    </row>
  </sheetData>
  <conditionalFormatting sqref="J3:J19">
    <cfRule type="cellIs" dxfId="47" priority="1" operator="greaterThan">
      <formula>7</formula>
    </cfRule>
  </conditionalFormatting>
  <conditionalFormatting sqref="W3:AI19 AK3:AM19 AO3:BD19 BF3:CE19">
    <cfRule type="cellIs" dxfId="48" priority="2" operator="greaterThan">
      <formula>12.5</formula>
    </cfRule>
  </conditionalFormatting>
  <conditionalFormatting sqref="S3:T19">
    <cfRule type="cellIs" dxfId="49" priority="3" operator="greaterThan">
      <formula>0.6</formula>
    </cfRule>
  </conditionalFormatting>
  <conditionalFormatting sqref="R3:R19">
    <cfRule type="cellIs" dxfId="50" priority="4" operator="greaterThan">
      <formula>3.2</formula>
    </cfRule>
  </conditionalFormatting>
  <conditionalFormatting sqref="U3:V19">
    <cfRule type="cellIs" dxfId="51" priority="5" operator="greaterThan">
      <formula>15</formula>
    </cfRule>
  </conditionalFormatting>
  <conditionalFormatting sqref="K3:Q19">
    <cfRule type="colorScale" priority="6">
      <colorScale>
        <cfvo type="min"/>
        <cfvo type="max"/>
        <color rgb="FFFCFCFF"/>
        <color rgb="FFF8696B"/>
      </colorScale>
    </cfRule>
  </conditionalFormatting>
  <printOptions>
    <extLst>
      <ext uri="smNativeData">
        <pm:pageFlags xmlns:pm="smNativeData" id="1591683921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91683921" l="56" r="56" t="56" b="56" borderId="0" fillId="0" vertical="0"/>
        <pm:footer xmlns:pm="smNativeData" id="1591683921" l="56" r="56" t="56" b="56" borderId="0" fillId="0" vertical="2"/>
      </ext>
    </extLst>
  </headerFooter>
  <legacyDrawing r:id="rId2"/>
  <extLst>
    <ext uri="smNativeData">
      <pm:sheetPrefs xmlns:pm="smNativeData" day="1591683921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4.xml><?xml version="1.0" encoding="utf-8"?>
<worksheet xmlns="http://schemas.openxmlformats.org/spreadsheetml/2006/main" xmlns:r="http://schemas.openxmlformats.org/officeDocument/2006/relationships">
  <sheetPr>
    <tabColor rgb="E26B0A"/>
  </sheetPr>
  <dimension ref="A1:W35"/>
  <sheetViews>
    <sheetView view="normal" zoomScale="120" workbookViewId="0">
      <selection activeCell="N19" sqref="N19"/>
    </sheetView>
  </sheetViews>
  <sheetFormatPr baseColWidth="10" defaultColWidth="11.428571" defaultRowHeight="15.40"/>
  <cols>
    <col min="1" max="1" width="4.000000" customWidth="1"/>
    <col min="2" max="2" width="18.285714" customWidth="1"/>
    <col min="3" max="3" width="5.571429" customWidth="1"/>
    <col min="4" max="4" width="5.000000" customWidth="1"/>
    <col min="5" max="11" width="5.571429" customWidth="1"/>
    <col min="12" max="12" width="6.428571" customWidth="1"/>
    <col min="13" max="13" width="5.571429" customWidth="1"/>
    <col min="14" max="14" width="8.142857" customWidth="1"/>
    <col min="15" max="20" width="5.857143" customWidth="1"/>
    <col min="21" max="21" width="6.857143" customWidth="1"/>
    <col min="22" max="22" width="5.000000" customWidth="1"/>
    <col min="23" max="23" width="5.571429" customWidth="1"/>
  </cols>
  <sheetData>
    <row r="1" spans="2:23">
      <c r="B1" t="s">
        <v>875</v>
      </c>
      <c r="L1" s="44"/>
      <c r="M1" s="44"/>
      <c r="N1" s="44"/>
      <c r="W1" s="44"/>
    </row>
    <row r="2" spans="2:23">
      <c r="B2" s="25" t="n">
        <v>43636</v>
      </c>
      <c r="L2" s="44"/>
      <c r="M2" s="44"/>
      <c r="N2" s="44"/>
      <c r="U2" s="107"/>
      <c r="W2" s="44"/>
    </row>
    <row r="3" spans="1:23">
      <c r="A3" s="14" t="s">
        <v>115</v>
      </c>
      <c r="B3" s="14" t="s">
        <v>195</v>
      </c>
      <c r="C3" s="14" t="s">
        <v>858</v>
      </c>
      <c r="D3" s="14" t="s">
        <v>120</v>
      </c>
      <c r="E3" s="14" t="str">
        <f>Plantilla!X3</f>
        <v>Po</v>
      </c>
      <c r="F3" s="14" t="str">
        <f>Plantilla!Y3</f>
        <v>De</v>
      </c>
      <c r="G3" s="14" t="str">
        <f>Plantilla!Z3</f>
        <v>Cr</v>
      </c>
      <c r="H3" s="14" t="str">
        <f>Plantilla!AA3</f>
        <v>Ex</v>
      </c>
      <c r="I3" s="14" t="str">
        <f>Plantilla!AB3</f>
        <v>Ps</v>
      </c>
      <c r="J3" s="14" t="str">
        <f>Plantilla!AC3</f>
        <v>An</v>
      </c>
      <c r="K3" s="14" t="str">
        <f>Plantilla!AD3</f>
        <v>PA</v>
      </c>
      <c r="L3" s="108" t="n">
        <v>1</v>
      </c>
      <c r="M3" s="108" t="n">
        <v>0.5</v>
      </c>
      <c r="N3" s="14" t="s">
        <v>876</v>
      </c>
      <c r="O3" s="110" t="s">
        <v>877</v>
      </c>
      <c r="P3" s="110" t="s">
        <v>878</v>
      </c>
      <c r="Q3" s="110" t="s">
        <v>853</v>
      </c>
      <c r="R3" s="110" t="s">
        <v>879</v>
      </c>
      <c r="S3" s="109" t="s">
        <v>857</v>
      </c>
      <c r="T3" s="114" t="s">
        <v>880</v>
      </c>
      <c r="U3" s="66" t="s">
        <v>593</v>
      </c>
      <c r="W3" s="44"/>
    </row>
    <row r="4" spans="1:23">
      <c r="A4" s="19" t="str">
        <f>Plantilla!A4</f>
        <v>#1</v>
      </c>
      <c r="B4" s="111" t="str">
        <f>Plantilla!D4</f>
        <v>Cosme Fonteboa</v>
      </c>
      <c r="C4" s="19">
        <f>Plantilla!E4</f>
        <v>25</v>
      </c>
      <c r="D4" s="113">
        <f>Plantilla!F4</f>
        <v>66</v>
      </c>
      <c r="E4" s="38">
        <f>Plantilla!X4</f>
        <v>15</v>
      </c>
      <c r="F4" s="38">
        <f>Plantilla!Y4</f>
        <v>12.1999999999999993</v>
      </c>
      <c r="G4" s="38">
        <f>Plantilla!Z4</f>
        <v>0</v>
      </c>
      <c r="H4" s="38">
        <f>Plantilla!AA4</f>
        <v>0</v>
      </c>
      <c r="I4" s="38">
        <f>Plantilla!AB4</f>
        <v>0</v>
      </c>
      <c r="J4" s="38">
        <f>Plantilla!AC4</f>
        <v>1</v>
      </c>
      <c r="K4" s="38">
        <f>Plantilla!AD4</f>
        <v>14</v>
      </c>
      <c r="L4" s="112"/>
      <c r="M4" s="112"/>
      <c r="N4" s="112"/>
      <c r="O4" s="62"/>
      <c r="P4" s="62"/>
      <c r="Q4" s="62"/>
      <c r="R4" s="62"/>
      <c r="S4" s="62"/>
      <c r="T4" s="62"/>
      <c r="U4" s="62"/>
      <c r="W4" s="44"/>
    </row>
    <row r="5" spans="1:23">
      <c r="A5" s="19" t="str">
        <f>Plantilla!A5</f>
        <v>#17</v>
      </c>
      <c r="B5" s="111" t="str">
        <f>Plantilla!D5</f>
        <v>Nicolae Hornet</v>
      </c>
      <c r="C5" s="19">
        <f>Plantilla!E5</f>
        <v>25</v>
      </c>
      <c r="D5" s="113">
        <f>Plantilla!F5</f>
        <v>91</v>
      </c>
      <c r="E5" s="38">
        <f>Plantilla!X5</f>
        <v>6</v>
      </c>
      <c r="F5" s="38">
        <f>Plantilla!Y5</f>
        <v>5.40000000000000036</v>
      </c>
      <c r="G5" s="38">
        <f>Plantilla!Z5</f>
        <v>0</v>
      </c>
      <c r="H5" s="38">
        <f>Plantilla!AA5</f>
        <v>3</v>
      </c>
      <c r="I5" s="38">
        <f>Plantilla!AB5</f>
        <v>0</v>
      </c>
      <c r="J5" s="38">
        <f>Plantilla!AC5</f>
        <v>1</v>
      </c>
      <c r="K5" s="38">
        <f>Plantilla!AD5</f>
        <v>4</v>
      </c>
      <c r="L5" s="112"/>
      <c r="M5" s="112"/>
      <c r="N5" s="112"/>
      <c r="O5" s="62"/>
      <c r="P5" s="62"/>
      <c r="Q5" s="62"/>
      <c r="R5" s="62"/>
      <c r="S5" s="62"/>
      <c r="T5" s="62"/>
      <c r="U5" s="62"/>
      <c r="W5" s="44"/>
    </row>
    <row r="6" spans="1:23">
      <c r="A6" s="19" t="str">
        <f>Plantilla!A6</f>
        <v>#2</v>
      </c>
      <c r="B6" s="111" t="str">
        <f>Plantilla!D6</f>
        <v>Miguel Fernández</v>
      </c>
      <c r="C6" s="19">
        <f>Plantilla!E6</f>
        <v>25</v>
      </c>
      <c r="D6" s="113">
        <f>Plantilla!F6</f>
        <v>63</v>
      </c>
      <c r="E6" s="38">
        <f>Plantilla!X6</f>
        <v>0</v>
      </c>
      <c r="F6" s="38">
        <f>Plantilla!Y6</f>
        <v>15.4034722222222005</v>
      </c>
      <c r="G6" s="38">
        <f>Plantilla!Z6</f>
        <v>5</v>
      </c>
      <c r="H6" s="38">
        <f>Plantilla!AA6</f>
        <v>6</v>
      </c>
      <c r="I6" s="38">
        <f>Plantilla!AB6</f>
        <v>8</v>
      </c>
      <c r="J6" s="38">
        <f>Plantilla!AC6</f>
        <v>2</v>
      </c>
      <c r="K6" s="38">
        <f>Plantilla!AD6</f>
        <v>13</v>
      </c>
      <c r="L6" s="112">
        <f>1/3</f>
        <v>0.333333333333332993</v>
      </c>
      <c r="M6" s="112">
        <f>L6/2</f>
        <v>0.16666666666666698</v>
      </c>
      <c r="N6" s="112">
        <f>L6/8</f>
        <v>0.0416666666666669983</v>
      </c>
      <c r="O6" s="62">
        <f>L6*0.286</f>
        <v>0.0953333333333329946</v>
      </c>
      <c r="P6" s="62"/>
      <c r="Q6" s="62"/>
      <c r="R6" s="62"/>
      <c r="S6" s="62"/>
      <c r="T6" s="62"/>
      <c r="U6" s="62">
        <f>MAX(O6:T6)</f>
        <v>0.0953333333333329946</v>
      </c>
      <c r="W6" s="44"/>
    </row>
    <row r="7" spans="1:23">
      <c r="A7" s="19" t="str">
        <f>Plantilla!A7</f>
        <v>#13</v>
      </c>
      <c r="B7" s="111" t="str">
        <f>Plantilla!D7</f>
        <v>Iván Real Figueroa</v>
      </c>
      <c r="C7" s="19">
        <f>Plantilla!E7</f>
        <v>25</v>
      </c>
      <c r="D7" s="113">
        <f>Plantilla!F7</f>
        <v>44</v>
      </c>
      <c r="E7" s="38">
        <f>Plantilla!X7</f>
        <v>0</v>
      </c>
      <c r="F7" s="38">
        <f>Plantilla!Y7</f>
        <v>15.3125</v>
      </c>
      <c r="G7" s="38">
        <f>Plantilla!Z7</f>
        <v>5</v>
      </c>
      <c r="H7" s="38">
        <f>Plantilla!AA7</f>
        <v>7.75</v>
      </c>
      <c r="I7" s="38">
        <f>Plantilla!AB7</f>
        <v>8.5</v>
      </c>
      <c r="J7" s="38">
        <f>Plantilla!AC7</f>
        <v>1</v>
      </c>
      <c r="K7" s="38">
        <f>Plantilla!AD7</f>
        <v>12</v>
      </c>
      <c r="L7" s="112">
        <f>1/4</f>
        <v>0.25</v>
      </c>
      <c r="M7" s="112">
        <f>L7/2</f>
        <v>0.125</v>
      </c>
      <c r="N7" s="112">
        <f>L7/8</f>
        <v>0.03125</v>
      </c>
      <c r="O7" s="62">
        <f>L7*0.286</f>
        <v>0.0714999999999999947</v>
      </c>
      <c r="P7" s="62"/>
      <c r="Q7" s="62"/>
      <c r="R7" s="62"/>
      <c r="S7" s="62"/>
      <c r="T7" s="62"/>
      <c r="U7" s="62">
        <f>MAX(O7:T7)</f>
        <v>0.0714999999999999947</v>
      </c>
      <c r="W7" s="44"/>
    </row>
    <row r="8" spans="1:23">
      <c r="A8" s="19" t="str">
        <f>Plantilla!A8</f>
        <v>#4</v>
      </c>
      <c r="B8" s="111" t="str">
        <f>Plantilla!D8</f>
        <v>Berto Abandero</v>
      </c>
      <c r="C8" s="19">
        <f>Plantilla!E8</f>
        <v>25</v>
      </c>
      <c r="D8" s="113">
        <f>Plantilla!F8</f>
        <v>94</v>
      </c>
      <c r="E8" s="38">
        <f>Plantilla!X8</f>
        <v>0</v>
      </c>
      <c r="F8" s="38">
        <f>Plantilla!Y8</f>
        <v>14</v>
      </c>
      <c r="G8" s="38">
        <f>Plantilla!Z8</f>
        <v>3</v>
      </c>
      <c r="H8" s="38">
        <f>Plantilla!AA8</f>
        <v>7.8666666666666698</v>
      </c>
      <c r="I8" s="38">
        <f>Plantilla!AB8</f>
        <v>11.4285714285714004</v>
      </c>
      <c r="J8" s="38">
        <f>Plantilla!AC8</f>
        <v>3</v>
      </c>
      <c r="K8" s="38">
        <f>Plantilla!AD8</f>
        <v>13</v>
      </c>
      <c r="L8" s="112">
        <f>1/4</f>
        <v>0.25</v>
      </c>
      <c r="M8" s="112">
        <f>L8/2</f>
        <v>0.125</v>
      </c>
      <c r="N8" s="112">
        <f>L8/8</f>
        <v>0.03125</v>
      </c>
      <c r="O8" s="62">
        <f>L8*0.286</f>
        <v>0.0714999999999999947</v>
      </c>
      <c r="P8" s="62"/>
      <c r="Q8" s="62"/>
      <c r="R8" s="62"/>
      <c r="S8" s="62"/>
      <c r="T8" s="62"/>
      <c r="U8" s="62">
        <f>MAX(O8:T8)</f>
        <v>0.0714999999999999947</v>
      </c>
      <c r="W8" s="44"/>
    </row>
    <row r="9" spans="1:23">
      <c r="A9" s="19" t="str">
        <f>Plantilla!A9</f>
        <v>#14</v>
      </c>
      <c r="B9" s="111" t="str">
        <f>Plantilla!D9</f>
        <v>Guillermo Pedrajas</v>
      </c>
      <c r="C9" s="19">
        <f>Plantilla!E9</f>
        <v>25</v>
      </c>
      <c r="D9" s="113">
        <f>Plantilla!F9</f>
        <v>79</v>
      </c>
      <c r="E9" s="38">
        <f>Plantilla!X9</f>
        <v>0</v>
      </c>
      <c r="F9" s="38">
        <f>Plantilla!Y9</f>
        <v>12.2727272727273</v>
      </c>
      <c r="G9" s="38">
        <f>Plantilla!Z9</f>
        <v>11</v>
      </c>
      <c r="H9" s="38">
        <f>Plantilla!AA9</f>
        <v>4</v>
      </c>
      <c r="I9" s="38">
        <f>Plantilla!AB9</f>
        <v>11</v>
      </c>
      <c r="J9" s="38">
        <f>Plantilla!AC9</f>
        <v>4</v>
      </c>
      <c r="K9" s="38">
        <f>Plantilla!AD9</f>
        <v>13</v>
      </c>
      <c r="L9" s="112">
        <f>1/3</f>
        <v>0.333333333333332993</v>
      </c>
      <c r="M9" s="112">
        <f>L9/2</f>
        <v>0.16666666666666698</v>
      </c>
      <c r="N9" s="112">
        <f>L9/8</f>
        <v>0.0416666666666669983</v>
      </c>
      <c r="O9" s="62"/>
      <c r="P9" s="62"/>
      <c r="Q9" s="62"/>
      <c r="R9" s="62"/>
      <c r="S9" s="62"/>
      <c r="T9" s="62"/>
      <c r="U9" s="62">
        <f>MAX(O9:T9)</f>
        <v>0</v>
      </c>
      <c r="W9" s="44"/>
    </row>
    <row r="10" spans="1:23">
      <c r="A10" s="19" t="str">
        <f>Plantilla!A10</f>
        <v>#7</v>
      </c>
      <c r="B10" s="111" t="str">
        <f>Plantilla!D10</f>
        <v>Venanci Oset</v>
      </c>
      <c r="C10" s="19">
        <f>Plantilla!E10</f>
        <v>26</v>
      </c>
      <c r="D10" s="113">
        <f>Plantilla!F10</f>
        <v>10</v>
      </c>
      <c r="E10" s="38">
        <f>Plantilla!X10</f>
        <v>0</v>
      </c>
      <c r="F10" s="38">
        <f>Plantilla!Y10</f>
        <v>14</v>
      </c>
      <c r="G10" s="38">
        <f>Plantilla!Z10</f>
        <v>5</v>
      </c>
      <c r="H10" s="38">
        <f>Plantilla!AA10</f>
        <v>2</v>
      </c>
      <c r="I10" s="38">
        <f>Plantilla!AB10</f>
        <v>12</v>
      </c>
      <c r="J10" s="38">
        <f>Plantilla!AC10</f>
        <v>6</v>
      </c>
      <c r="K10" s="38">
        <f>Plantilla!AD10</f>
        <v>11.5</v>
      </c>
      <c r="L10" s="112"/>
      <c r="M10" s="112"/>
      <c r="N10" s="112"/>
      <c r="O10" s="62"/>
      <c r="P10" s="62"/>
      <c r="Q10" s="62"/>
      <c r="R10" s="62"/>
      <c r="S10" s="62"/>
      <c r="T10" s="62"/>
      <c r="U10" s="62"/>
      <c r="W10" s="44"/>
    </row>
    <row r="11" spans="1:23">
      <c r="A11" s="19" t="str">
        <f>Plantilla!A11</f>
        <v>#9</v>
      </c>
      <c r="B11" s="111" t="str">
        <f>Plantilla!D11</f>
        <v>Francesc Añigas</v>
      </c>
      <c r="C11" s="19">
        <f>Plantilla!E11</f>
        <v>25</v>
      </c>
      <c r="D11" s="113">
        <f>Plantilla!F11</f>
        <v>59</v>
      </c>
      <c r="E11" s="38">
        <f>Plantilla!X11</f>
        <v>0</v>
      </c>
      <c r="F11" s="38">
        <f>Plantilla!Y11</f>
        <v>13.25</v>
      </c>
      <c r="G11" s="38">
        <f>Plantilla!Z11</f>
        <v>4</v>
      </c>
      <c r="H11" s="38">
        <f>Plantilla!AA11</f>
        <v>13</v>
      </c>
      <c r="I11" s="38">
        <f>Plantilla!AB11</f>
        <v>7.75</v>
      </c>
      <c r="J11" s="38">
        <f>Plantilla!AC11</f>
        <v>7</v>
      </c>
      <c r="K11" s="38">
        <f>Plantilla!AD11</f>
        <v>13</v>
      </c>
      <c r="L11" s="112">
        <f>1/7</f>
        <v>0.142857142857142989</v>
      </c>
      <c r="M11" s="112">
        <f>L11/2</f>
        <v>0.0714285714285719919</v>
      </c>
      <c r="N11" s="112">
        <f>L11/8</f>
        <v>0.017857142857142998</v>
      </c>
      <c r="O11" s="62">
        <f>L11*0.286</f>
        <v>0.0408571428571430051</v>
      </c>
      <c r="P11" s="62">
        <f>L11*(0.588)</f>
        <v>0.0840000000000000036</v>
      </c>
      <c r="Q11" s="62">
        <f>L11*(0.574)</f>
        <v>0.0820000000000000107</v>
      </c>
      <c r="R11" s="62">
        <f>L11*(0.864)</f>
        <v>0.123428571428571998</v>
      </c>
      <c r="S11" s="62">
        <f>L11*(0.144)</f>
        <v>0.0205714285714290002</v>
      </c>
      <c r="T11" s="62">
        <f>L11*(0.607)</f>
        <v>0.0867142857142859924</v>
      </c>
      <c r="U11" s="62">
        <f>MAX(O11:T11)</f>
        <v>0.123428571428571998</v>
      </c>
      <c r="W11" s="44"/>
    </row>
    <row r="12" spans="1:23">
      <c r="A12" s="19" t="str">
        <f>Plantilla!A12</f>
        <v>#3</v>
      </c>
      <c r="B12" s="111" t="str">
        <f>Plantilla!D12</f>
        <v>Will Duffill</v>
      </c>
      <c r="C12" s="19">
        <f>Plantilla!E12</f>
        <v>25</v>
      </c>
      <c r="D12" s="113">
        <f>Plantilla!F12</f>
        <v>20</v>
      </c>
      <c r="E12" s="38">
        <f>Plantilla!X12</f>
        <v>0</v>
      </c>
      <c r="F12" s="38">
        <f>Plantilla!Y12</f>
        <v>12.5999999999999996</v>
      </c>
      <c r="G12" s="38">
        <f>Plantilla!Z12</f>
        <v>3</v>
      </c>
      <c r="H12" s="38">
        <f>Plantilla!AA12</f>
        <v>13</v>
      </c>
      <c r="I12" s="38">
        <f>Plantilla!AB12</f>
        <v>9.66666666666666963</v>
      </c>
      <c r="J12" s="38">
        <f>Plantilla!AC12</f>
        <v>7</v>
      </c>
      <c r="K12" s="38">
        <f>Plantilla!AD12</f>
        <v>14</v>
      </c>
      <c r="L12" s="112">
        <f>1/8</f>
        <v>0.125</v>
      </c>
      <c r="M12" s="112">
        <f>L12/2</f>
        <v>0.0625</v>
      </c>
      <c r="N12" s="112">
        <f>L12/8</f>
        <v>0.015625</v>
      </c>
      <c r="O12" s="62">
        <f>L12*0.286</f>
        <v>0.0357499999999999973</v>
      </c>
      <c r="P12" s="62">
        <f>L12*(0.588)</f>
        <v>0.0734999999999999964</v>
      </c>
      <c r="Q12" s="62">
        <f>L12*(0.574)</f>
        <v>0.0717499999999999893</v>
      </c>
      <c r="R12" s="62">
        <f>L12*(0.864)</f>
        <v>0.108000000000000007</v>
      </c>
      <c r="S12" s="62">
        <f>L12*(0.144)</f>
        <v>0.0179999999999999982</v>
      </c>
      <c r="T12" s="62">
        <f>L12*(0.607)</f>
        <v>0.0758750000000000036</v>
      </c>
      <c r="U12" s="62">
        <f>MAX(O12:T12)</f>
        <v>0.108000000000000007</v>
      </c>
      <c r="W12" s="44"/>
    </row>
    <row r="13" spans="1:23">
      <c r="A13" s="19" t="str">
        <f>Plantilla!A13</f>
        <v>#5</v>
      </c>
      <c r="B13" s="111" t="str">
        <f>Plantilla!D13</f>
        <v>Valeri Gomis</v>
      </c>
      <c r="C13" s="19">
        <f>Plantilla!E13</f>
        <v>25</v>
      </c>
      <c r="D13" s="113">
        <f>Plantilla!F13</f>
        <v>59</v>
      </c>
      <c r="E13" s="38">
        <f>Plantilla!X13</f>
        <v>0</v>
      </c>
      <c r="F13" s="38">
        <f>Plantilla!Y13</f>
        <v>12.0999999999999996</v>
      </c>
      <c r="G13" s="38">
        <f>Plantilla!Z13</f>
        <v>3</v>
      </c>
      <c r="H13" s="38">
        <f>Plantilla!AA13</f>
        <v>12</v>
      </c>
      <c r="I13" s="38">
        <f>Plantilla!AB13</f>
        <v>9</v>
      </c>
      <c r="J13" s="38">
        <f>Plantilla!AC13</f>
        <v>7.25</v>
      </c>
      <c r="K13" s="38">
        <f>Plantilla!AD13</f>
        <v>14</v>
      </c>
      <c r="L13" s="112">
        <f>1/7</f>
        <v>0.142857142857142989</v>
      </c>
      <c r="M13" s="112">
        <f>L13/2</f>
        <v>0.0714285714285719919</v>
      </c>
      <c r="N13" s="112">
        <f>L13/8</f>
        <v>0.017857142857142998</v>
      </c>
      <c r="O13" s="62">
        <f>L13*0.286</f>
        <v>0.0408571428571430051</v>
      </c>
      <c r="P13" s="62">
        <f>L13*(0.588)</f>
        <v>0.0840000000000000036</v>
      </c>
      <c r="Q13" s="62">
        <f>L13*(0.574)</f>
        <v>0.0820000000000000107</v>
      </c>
      <c r="R13" s="62">
        <f>L13*(0.864)</f>
        <v>0.123428571428571998</v>
      </c>
      <c r="S13" s="62">
        <f>L13*(0.144)</f>
        <v>0.0205714285714290002</v>
      </c>
      <c r="T13" s="62">
        <f>L13*(0.607)</f>
        <v>0.0867142857142859924</v>
      </c>
      <c r="U13" s="62">
        <f>MAX(O13:T13)</f>
        <v>0.123428571428571998</v>
      </c>
      <c r="W13" s="44"/>
    </row>
    <row r="14" spans="1:23">
      <c r="A14" s="19" t="str">
        <f>Plantilla!A14</f>
        <v>#8</v>
      </c>
      <c r="B14" s="111" t="str">
        <f>Plantilla!D14</f>
        <v>Enrique Cubas</v>
      </c>
      <c r="C14" s="19">
        <f>Plantilla!E14</f>
        <v>25</v>
      </c>
      <c r="D14" s="113">
        <f>Plantilla!F14</f>
        <v>55</v>
      </c>
      <c r="E14" s="38">
        <f>Plantilla!X14</f>
        <v>0</v>
      </c>
      <c r="F14" s="38">
        <f>Plantilla!Y14</f>
        <v>11.3333333333333002</v>
      </c>
      <c r="G14" s="38">
        <f>Plantilla!Z14</f>
        <v>5.70000000000000018</v>
      </c>
      <c r="H14" s="38">
        <f>Plantilla!AA14</f>
        <v>14.125</v>
      </c>
      <c r="I14" s="38">
        <f>Plantilla!AB14</f>
        <v>9.5</v>
      </c>
      <c r="J14" s="38">
        <f>Plantilla!AC14</f>
        <v>7.5</v>
      </c>
      <c r="K14" s="38">
        <f>Plantilla!AD14</f>
        <v>14</v>
      </c>
      <c r="L14" s="112">
        <f>1/9</f>
        <v>0.111111111111110983</v>
      </c>
      <c r="M14" s="112">
        <f>L14/2</f>
        <v>0.0555555555555559977</v>
      </c>
      <c r="N14" s="112">
        <f>L14/8</f>
        <v>0.0138888888888889994</v>
      </c>
      <c r="O14" s="62">
        <f>L14*0.286</f>
        <v>0.0317777777777780024</v>
      </c>
      <c r="P14" s="62">
        <f>L14*(0.588)</f>
        <v>0.0653333333333329946</v>
      </c>
      <c r="Q14" s="62">
        <f>L14*(0.574)</f>
        <v>0.0637777777777779953</v>
      </c>
      <c r="R14" s="62">
        <f>L14*(0.864)</f>
        <v>0.0959999999999999964</v>
      </c>
      <c r="S14" s="62">
        <f>L14*(0.144)</f>
        <v>0.0160000000000000009</v>
      </c>
      <c r="T14" s="62">
        <f>L14*(0.607)</f>
        <v>0.0674444444444439917</v>
      </c>
      <c r="U14" s="62">
        <f>MAX(O14:T14)</f>
        <v>0.0959999999999999964</v>
      </c>
      <c r="W14" s="44"/>
    </row>
    <row r="15" spans="1:23">
      <c r="A15" s="19" t="str">
        <f>Plantilla!A15</f>
        <v>#11</v>
      </c>
      <c r="B15" s="111" t="str">
        <f>Plantilla!D15</f>
        <v>J. G. Peñuela</v>
      </c>
      <c r="C15" s="19">
        <f>Plantilla!E15</f>
        <v>25</v>
      </c>
      <c r="D15" s="113">
        <f>Plantilla!F15</f>
        <v>55</v>
      </c>
      <c r="E15" s="38">
        <f>Plantilla!X15</f>
        <v>0</v>
      </c>
      <c r="F15" s="38">
        <f>Plantilla!Y15</f>
        <v>11.5999999999999996</v>
      </c>
      <c r="G15" s="38">
        <f>Plantilla!Z15</f>
        <v>5</v>
      </c>
      <c r="H15" s="38">
        <f>Plantilla!AA15</f>
        <v>13.3328571428570992</v>
      </c>
      <c r="I15" s="38">
        <f>Plantilla!AB15</f>
        <v>8</v>
      </c>
      <c r="J15" s="38">
        <f>Plantilla!AC15</f>
        <v>7.8016666666666703</v>
      </c>
      <c r="K15" s="38">
        <f>Plantilla!AD15</f>
        <v>13</v>
      </c>
      <c r="L15" s="112">
        <f>1/8</f>
        <v>0.125</v>
      </c>
      <c r="M15" s="112">
        <f>L15/2</f>
        <v>0.0625</v>
      </c>
      <c r="N15" s="112">
        <f>L15/8</f>
        <v>0.015625</v>
      </c>
      <c r="O15" s="62">
        <f>L15*0.286</f>
        <v>0.0357499999999999973</v>
      </c>
      <c r="P15" s="62">
        <f>L15*(0.588)</f>
        <v>0.0734999999999999964</v>
      </c>
      <c r="Q15" s="62">
        <f>L15*(0.574)</f>
        <v>0.0717499999999999893</v>
      </c>
      <c r="R15" s="62">
        <f>L15*(0.864)</f>
        <v>0.108000000000000007</v>
      </c>
      <c r="S15" s="62">
        <f>L15*(0.144)</f>
        <v>0.0179999999999999982</v>
      </c>
      <c r="T15" s="62">
        <f>L15*(0.607)</f>
        <v>0.0758750000000000036</v>
      </c>
      <c r="U15" s="62">
        <f>MAX(O15:T15)</f>
        <v>0.108000000000000007</v>
      </c>
      <c r="W15" s="44"/>
    </row>
    <row r="16" spans="1:23">
      <c r="A16" s="19" t="e">
        <f>#REF!</f>
        <v>#REF!</v>
      </c>
      <c r="B16" s="111" t="e">
        <f>#REF!</f>
        <v>#REF!</v>
      </c>
      <c r="C16" s="19" t="e">
        <f>#REF!</f>
        <v>#REF!</v>
      </c>
      <c r="D16" s="113" t="e">
        <f>#REF!</f>
        <v>#REF!</v>
      </c>
      <c r="E16" s="38" t="e">
        <f>#REF!</f>
        <v>#REF!</v>
      </c>
      <c r="F16" s="38" t="e">
        <f>#REF!</f>
        <v>#REF!</v>
      </c>
      <c r="G16" s="38" t="e">
        <f>#REF!</f>
        <v>#REF!</v>
      </c>
      <c r="H16" s="38" t="e">
        <f>#REF!</f>
        <v>#REF!</v>
      </c>
      <c r="I16" s="38" t="e">
        <f>#REF!</f>
        <v>#REF!</v>
      </c>
      <c r="J16" s="38" t="e">
        <f>#REF!</f>
        <v>#REF!</v>
      </c>
      <c r="K16" s="38" t="e">
        <f>#REF!</f>
        <v>#REF!</v>
      </c>
      <c r="L16" s="112"/>
      <c r="M16" s="112"/>
      <c r="N16" s="112"/>
      <c r="O16" s="62"/>
      <c r="P16" s="62"/>
      <c r="Q16" s="62"/>
      <c r="R16" s="62"/>
      <c r="S16" s="62"/>
      <c r="T16" s="62"/>
      <c r="U16" s="62"/>
      <c r="W16" s="44"/>
    </row>
    <row r="17" spans="1:23">
      <c r="A17" s="19" t="str">
        <f>Plantilla!A17</f>
        <v>#16</v>
      </c>
      <c r="B17" s="111" t="str">
        <f>Plantilla!D17</f>
        <v>Ryan Clarke</v>
      </c>
      <c r="C17" s="19">
        <f>Plantilla!E17</f>
        <v>29</v>
      </c>
      <c r="D17" s="113">
        <f>Plantilla!F17</f>
        <v>107</v>
      </c>
      <c r="E17" s="38">
        <f>Plantilla!X17</f>
        <v>0</v>
      </c>
      <c r="F17" s="38">
        <f>Plantilla!Y17</f>
        <v>11</v>
      </c>
      <c r="G17" s="38">
        <f>Plantilla!Z17</f>
        <v>10</v>
      </c>
      <c r="H17" s="38">
        <f>Plantilla!AA17</f>
        <v>5</v>
      </c>
      <c r="I17" s="38">
        <f>Plantilla!AB17</f>
        <v>13</v>
      </c>
      <c r="J17" s="38">
        <f>Plantilla!AC17</f>
        <v>5</v>
      </c>
      <c r="K17" s="38">
        <f>Plantilla!AD17</f>
        <v>14</v>
      </c>
      <c r="L17" s="112"/>
      <c r="M17" s="112"/>
      <c r="N17" s="112"/>
      <c r="O17" s="62"/>
      <c r="P17" s="62"/>
      <c r="Q17" s="62"/>
      <c r="R17" s="62"/>
      <c r="S17" s="62"/>
      <c r="T17" s="62"/>
      <c r="U17" s="62"/>
      <c r="W17" s="44"/>
    </row>
    <row r="18" spans="1:23">
      <c r="A18" s="19" t="e">
        <f>#REF!</f>
        <v>#REF!</v>
      </c>
      <c r="B18" s="111" t="e">
        <f>#REF!</f>
        <v>#REF!</v>
      </c>
      <c r="C18" s="19" t="e">
        <f>#REF!</f>
        <v>#REF!</v>
      </c>
      <c r="D18" s="113" t="e">
        <f>#REF!</f>
        <v>#REF!</v>
      </c>
      <c r="E18" s="38" t="e">
        <f>#REF!</f>
        <v>#REF!</v>
      </c>
      <c r="F18" s="38" t="e">
        <f>#REF!</f>
        <v>#REF!</v>
      </c>
      <c r="G18" s="38" t="e">
        <f>#REF!</f>
        <v>#REF!</v>
      </c>
      <c r="H18" s="38" t="e">
        <f>#REF!</f>
        <v>#REF!</v>
      </c>
      <c r="I18" s="38" t="e">
        <f>#REF!</f>
        <v>#REF!</v>
      </c>
      <c r="J18" s="38" t="e">
        <f>#REF!</f>
        <v>#REF!</v>
      </c>
      <c r="K18" s="38" t="e">
        <f>#REF!</f>
        <v>#REF!</v>
      </c>
      <c r="L18" s="112"/>
      <c r="M18" s="112"/>
      <c r="N18" s="112"/>
      <c r="O18" s="62"/>
      <c r="P18" s="62"/>
      <c r="Q18" s="62"/>
      <c r="R18" s="62"/>
      <c r="S18" s="62"/>
      <c r="T18" s="62"/>
      <c r="U18" s="62"/>
      <c r="W18" s="44"/>
    </row>
    <row r="19" spans="1:23">
      <c r="A19" s="19" t="str">
        <f>Plantilla!A18</f>
        <v>#15</v>
      </c>
      <c r="B19" s="111" t="str">
        <f>Plantilla!D18</f>
        <v>Renato Galeano</v>
      </c>
      <c r="C19" s="19">
        <f>Plantilla!E18</f>
        <v>28</v>
      </c>
      <c r="D19" s="113">
        <f>Plantilla!F18</f>
        <v>34</v>
      </c>
      <c r="E19" s="38">
        <f>Plantilla!X18</f>
        <v>0</v>
      </c>
      <c r="F19" s="38">
        <f>Plantilla!Y18</f>
        <v>2</v>
      </c>
      <c r="G19" s="38">
        <f>Plantilla!Z18</f>
        <v>5</v>
      </c>
      <c r="H19" s="38">
        <f>Plantilla!AA18</f>
        <v>8</v>
      </c>
      <c r="I19" s="38">
        <f>Plantilla!AB18</f>
        <v>7</v>
      </c>
      <c r="J19" s="38">
        <f>Plantilla!AC18</f>
        <v>13</v>
      </c>
      <c r="K19" s="38">
        <f>Plantilla!AD18</f>
        <v>11</v>
      </c>
      <c r="L19" s="112"/>
      <c r="M19" s="112"/>
      <c r="N19" s="112"/>
      <c r="O19" s="62"/>
      <c r="P19" s="62"/>
      <c r="Q19" s="62"/>
      <c r="R19" s="62"/>
      <c r="S19" s="62"/>
      <c r="T19" s="62"/>
      <c r="U19" s="62"/>
      <c r="W19" s="44"/>
    </row>
    <row r="20" spans="1:23">
      <c r="A20" s="19" t="str">
        <f>Plantilla!A19</f>
        <v>#18</v>
      </c>
      <c r="B20" s="111" t="str">
        <f>Plantilla!D19</f>
        <v>Tommaso Niscola</v>
      </c>
      <c r="C20" s="19">
        <f>Plantilla!E19</f>
        <v>31</v>
      </c>
      <c r="D20" s="113">
        <f>Plantilla!F19</f>
        <v>30</v>
      </c>
      <c r="E20" s="38">
        <f>Plantilla!X19</f>
        <v>0</v>
      </c>
      <c r="F20" s="38">
        <f>Plantilla!Y19</f>
        <v>3</v>
      </c>
      <c r="G20" s="38">
        <f>Plantilla!Z19</f>
        <v>9</v>
      </c>
      <c r="H20" s="38">
        <f>Plantilla!AA19</f>
        <v>2</v>
      </c>
      <c r="I20" s="38">
        <f>Plantilla!AB19</f>
        <v>13</v>
      </c>
      <c r="J20" s="38">
        <f>Plantilla!AC19</f>
        <v>11.9499999999999993</v>
      </c>
      <c r="K20" s="38">
        <f>Plantilla!AD19</f>
        <v>20</v>
      </c>
      <c r="L20" s="112"/>
      <c r="M20" s="112"/>
      <c r="N20" s="112"/>
      <c r="O20" s="62"/>
      <c r="P20" s="62"/>
      <c r="Q20" s="62"/>
      <c r="R20" s="62"/>
      <c r="S20" s="62"/>
      <c r="T20" s="62"/>
      <c r="U20" s="62"/>
      <c r="W20" s="44"/>
    </row>
    <row r="21" spans="1:23">
      <c r="A21" s="19" t="str">
        <f>Plantilla!A20</f>
        <v>#19</v>
      </c>
      <c r="B21" s="111" t="str">
        <f>Plantilla!D20</f>
        <v>Rodolfo Rinaldo  Paso</v>
      </c>
      <c r="C21" s="19">
        <f>Plantilla!E20</f>
        <v>25</v>
      </c>
      <c r="D21" s="113">
        <f>Plantilla!F20</f>
        <v>78</v>
      </c>
      <c r="E21" s="38">
        <f>Plantilla!X20</f>
        <v>0</v>
      </c>
      <c r="F21" s="38">
        <f>Plantilla!Y20</f>
        <v>3</v>
      </c>
      <c r="G21" s="38">
        <f>Plantilla!Z20</f>
        <v>7</v>
      </c>
      <c r="H21" s="38">
        <f>Plantilla!AA20</f>
        <v>9</v>
      </c>
      <c r="I21" s="38">
        <f>Plantilla!AB20</f>
        <v>12</v>
      </c>
      <c r="J21" s="38">
        <f>Plantilla!AC20</f>
        <v>14</v>
      </c>
      <c r="K21" s="38">
        <f>Plantilla!AD20</f>
        <v>9</v>
      </c>
      <c r="L21" s="112"/>
      <c r="M21" s="112"/>
      <c r="N21" s="112"/>
      <c r="O21" s="62"/>
      <c r="P21" s="62"/>
      <c r="Q21" s="62"/>
      <c r="R21" s="62"/>
      <c r="S21" s="62"/>
      <c r="T21" s="62"/>
      <c r="U21" s="62"/>
      <c r="W21" s="44"/>
    </row>
    <row r="22" spans="3:23">
      <c r="C22" s="71"/>
      <c r="D22" s="56"/>
      <c r="G22" s="44"/>
      <c r="H22" s="43"/>
      <c r="J22" s="44"/>
      <c r="K22" s="44"/>
      <c r="M22" s="72"/>
      <c r="Q22" s="44"/>
      <c r="R22" s="44"/>
      <c r="S22" s="44"/>
      <c r="T22" s="44"/>
      <c r="U22" s="44"/>
      <c r="V22" s="44"/>
      <c r="W22" s="44"/>
    </row>
    <row r="23" spans="3:23">
      <c r="C23" s="71"/>
      <c r="D23" s="56"/>
      <c r="G23" s="44"/>
      <c r="H23" s="43"/>
      <c r="J23" s="44"/>
      <c r="K23" s="44"/>
      <c r="M23" s="72"/>
      <c r="Q23" s="44"/>
      <c r="R23" s="44"/>
      <c r="S23" s="44"/>
      <c r="T23" s="44"/>
      <c r="U23" s="44"/>
      <c r="V23" s="44"/>
      <c r="W23" s="44"/>
    </row>
    <row r="24" spans="3:23">
      <c r="C24" s="71"/>
      <c r="D24" s="56"/>
      <c r="G24" s="44"/>
      <c r="H24" s="43"/>
      <c r="J24" s="44"/>
      <c r="K24" s="44"/>
      <c r="M24" s="72"/>
      <c r="Q24" s="44"/>
      <c r="R24" s="44"/>
      <c r="S24" s="44"/>
      <c r="T24" s="44"/>
      <c r="U24" s="44"/>
      <c r="V24" s="44"/>
      <c r="W24" s="44"/>
    </row>
    <row r="25" spans="3:23">
      <c r="C25" s="71"/>
      <c r="D25" s="56"/>
      <c r="G25" s="44"/>
      <c r="H25" s="43"/>
      <c r="J25" s="44"/>
      <c r="K25" s="44"/>
      <c r="M25" s="72"/>
      <c r="Q25" s="44"/>
      <c r="R25" s="44"/>
      <c r="S25" s="44"/>
      <c r="T25" s="44"/>
      <c r="U25" s="44"/>
      <c r="V25" s="44"/>
      <c r="W25" s="44"/>
    </row>
    <row r="26" spans="3:23">
      <c r="C26" s="71"/>
      <c r="D26" s="56"/>
      <c r="G26" s="44"/>
      <c r="H26" s="43"/>
      <c r="J26" s="44"/>
      <c r="K26" s="44"/>
      <c r="M26" s="72"/>
      <c r="Q26" s="44"/>
      <c r="R26" s="44"/>
      <c r="S26" s="44"/>
      <c r="T26" s="44"/>
      <c r="U26" s="44"/>
      <c r="V26" s="44"/>
      <c r="W26" s="44"/>
    </row>
    <row r="27" spans="3:23">
      <c r="C27" s="71"/>
      <c r="D27" s="56"/>
      <c r="G27" s="44"/>
      <c r="H27" s="43"/>
      <c r="J27" s="44"/>
      <c r="K27" s="44"/>
      <c r="M27" s="72"/>
      <c r="Q27" s="44"/>
      <c r="R27" s="44"/>
      <c r="S27" s="44"/>
      <c r="T27" s="44"/>
      <c r="U27" s="44"/>
      <c r="V27" s="44"/>
      <c r="W27" s="44"/>
    </row>
    <row r="28" spans="3:23">
      <c r="C28" s="71"/>
      <c r="D28" s="56"/>
      <c r="G28" s="44"/>
      <c r="H28" s="43"/>
      <c r="J28" s="44"/>
      <c r="K28" s="44"/>
      <c r="M28" s="72"/>
      <c r="Q28" s="44"/>
      <c r="R28" s="44"/>
      <c r="S28" s="44"/>
      <c r="T28" s="44"/>
      <c r="U28" s="44"/>
      <c r="V28" s="44"/>
      <c r="W28" s="44"/>
    </row>
    <row r="29" spans="3:23">
      <c r="C29" s="71"/>
      <c r="D29" s="56"/>
      <c r="G29" s="44"/>
      <c r="H29" s="43"/>
      <c r="J29" s="44"/>
      <c r="K29" s="44"/>
      <c r="M29" s="72"/>
      <c r="Q29" s="44"/>
      <c r="R29" s="44"/>
      <c r="S29" s="44"/>
      <c r="T29" s="44"/>
      <c r="U29" s="44"/>
      <c r="V29" s="44"/>
      <c r="W29" s="44"/>
    </row>
    <row r="30" spans="3:23">
      <c r="C30" s="71"/>
      <c r="D30" s="56"/>
      <c r="G30" s="44"/>
      <c r="H30" s="43"/>
      <c r="J30" s="44"/>
      <c r="K30" s="44"/>
      <c r="M30" s="72"/>
      <c r="Q30" s="44"/>
      <c r="R30" s="44"/>
      <c r="S30" s="44"/>
      <c r="T30" s="44"/>
      <c r="U30" s="44"/>
      <c r="V30" s="44"/>
      <c r="W30" s="44"/>
    </row>
    <row r="31" spans="3:23">
      <c r="C31" s="71"/>
      <c r="D31" s="56"/>
      <c r="G31" s="44"/>
      <c r="H31" s="43"/>
      <c r="J31" s="44"/>
      <c r="K31" s="44"/>
      <c r="M31" s="72"/>
      <c r="Q31" s="44"/>
      <c r="R31" s="44"/>
      <c r="S31" s="44"/>
      <c r="T31" s="44"/>
      <c r="U31" s="44"/>
      <c r="V31" s="44"/>
      <c r="W31" s="44"/>
    </row>
    <row r="32" spans="3:23">
      <c r="C32" s="71"/>
      <c r="D32" s="56"/>
      <c r="G32" s="44"/>
      <c r="H32" s="43"/>
      <c r="J32" s="44"/>
      <c r="K32" s="44"/>
      <c r="M32" s="72"/>
      <c r="Q32" s="44"/>
      <c r="R32" s="44"/>
      <c r="S32" s="44"/>
      <c r="T32" s="44"/>
      <c r="U32" s="44"/>
      <c r="V32" s="44"/>
      <c r="W32" s="44"/>
    </row>
    <row r="33" spans="3:23">
      <c r="C33" s="71"/>
      <c r="D33" s="56"/>
      <c r="G33" s="44"/>
      <c r="H33" s="43"/>
      <c r="J33" s="44"/>
      <c r="K33" s="44"/>
      <c r="M33" s="72"/>
      <c r="Q33" s="44"/>
      <c r="R33" s="44"/>
      <c r="S33" s="44"/>
      <c r="T33" s="44"/>
      <c r="U33" s="44"/>
      <c r="V33" s="44"/>
      <c r="W33" s="44"/>
    </row>
    <row r="34" spans="3:23">
      <c r="C34" s="71"/>
      <c r="D34" s="56"/>
      <c r="G34" s="44"/>
      <c r="H34" s="43"/>
      <c r="J34" s="44"/>
      <c r="K34" s="44"/>
      <c r="M34" s="72"/>
      <c r="Q34" s="44"/>
      <c r="R34" s="44"/>
      <c r="S34" s="44"/>
      <c r="T34" s="44"/>
      <c r="U34" s="44"/>
      <c r="V34" s="44"/>
      <c r="W34" s="44"/>
    </row>
    <row r="35" spans="3:23">
      <c r="C35" s="71"/>
      <c r="D35" s="56"/>
      <c r="G35" s="44"/>
      <c r="H35" s="43"/>
      <c r="J35" s="44"/>
      <c r="K35" s="44"/>
      <c r="M35" s="72"/>
      <c r="Q35" s="44"/>
      <c r="R35" s="44"/>
      <c r="S35" s="44"/>
      <c r="T35" s="44"/>
      <c r="U35" s="44"/>
      <c r="V35" s="44"/>
      <c r="W35" s="44"/>
    </row>
  </sheetData>
  <conditionalFormatting sqref="O4:T2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{344C5284-8DC7-F6A3-DAF1-C61A5589DE62}</x14:id>
        </ext>
      </extLst>
    </cfRule>
  </conditionalFormatting>
  <conditionalFormatting sqref="U4:U2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{7D3E5D8C-A334-6D6F-BA28-AB13D405E457}</x14:id>
        </ext>
      </extLst>
    </cfRule>
  </conditionalFormatting>
  <conditionalFormatting sqref="E4:K21">
    <cfRule type="colorScale" priority="3">
      <colorScale>
        <cfvo type="min"/>
        <cfvo type="max"/>
        <color rgb="FFFCFCFF"/>
        <color rgb="FFF8696B"/>
      </colorScale>
    </cfRule>
  </conditionalFormatting>
  <conditionalFormatting sqref="L4:N21">
    <cfRule type="colorScale" priority="4">
      <colorScale>
        <cfvo type="min"/>
        <cfvo type="max"/>
        <color rgb="FFFFEF9C"/>
        <color rgb="FF63BE7B"/>
      </colorScale>
    </cfRule>
  </conditionalFormatting>
  <printOptions>
    <extLst>
      <ext uri="smNativeData">
        <pm:pageFlags xmlns:pm="smNativeData" id="1591683921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 pageOrder="overThenDown"/>
  <headerFooter>
    <extLst>
      <ext uri="smNativeData">
        <pm:header xmlns:pm="smNativeData" id="1591683921" l="56" r="56" t="56" b="56" borderId="0" fillId="0" vertical="0"/>
        <pm:footer xmlns:pm="smNativeData" id="1591683921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44C5284-8DC7-F6A3-DAF1-C61A5589DE6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O4:T21</xm:sqref>
        </x14:conditionalFormatting>
        <x14:conditionalFormatting xmlns:xm="http://schemas.microsoft.com/office/excel/2006/main">
          <x14:cfRule type="dataBar" id="{7D3E5D8C-A334-6D6F-BA28-AB13D405E45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U4:U21</xm:sqref>
        </x14:conditionalFormatting>
      </x14:conditionalFormattings>
    </ext>
    <ext uri="smNativeData">
      <pm:sheetPrefs xmlns:pm="smNativeData" day="1591683921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5.xml><?xml version="1.0" encoding="utf-8"?>
<worksheet xmlns="http://schemas.openxmlformats.org/spreadsheetml/2006/main" xmlns:r="http://schemas.openxmlformats.org/officeDocument/2006/relationships">
  <sheetPr>
    <tabColor rgb="60497A"/>
  </sheetPr>
  <dimension ref="A1:AM64"/>
  <sheetViews>
    <sheetView view="normal" workbookViewId="0">
      <pane ySplit="2" topLeftCell="A3" activePane="bottomLeft" state="frozen"/>
      <selection pane="bottomLeft" activeCell="F5" sqref="F5"/>
    </sheetView>
  </sheetViews>
  <sheetFormatPr baseColWidth="10" defaultColWidth="10.669643" defaultRowHeight="15.40"/>
  <cols>
    <col min="1" max="1" width="26.000000" customWidth="1"/>
    <col min="2" max="2" width="5.428571" customWidth="1"/>
    <col min="3" max="3" width="4.714286" customWidth="1"/>
    <col min="4" max="4" width="6.000000" customWidth="1" style="44"/>
    <col min="5" max="5" width="4.142857" customWidth="1"/>
    <col min="6" max="6" width="7.428571" customWidth="1"/>
    <col min="7" max="7" width="4.571429" customWidth="1"/>
    <col min="8" max="14" width="5.571429" customWidth="1"/>
    <col min="15" max="15" width="5.142857" customWidth="1"/>
    <col min="16" max="16" width="6.428571" customWidth="1"/>
    <col min="17" max="17" width="6.857143" customWidth="1"/>
    <col min="18" max="18" width="6.428571" customWidth="1"/>
    <col min="19" max="19" width="5.142857" customWidth="1"/>
    <col min="20" max="20" width="6.428571" customWidth="1"/>
    <col min="21" max="21" width="6.857143" customWidth="1"/>
    <col min="22" max="22" width="6.428571" customWidth="1"/>
    <col min="23" max="23" width="5.142857" customWidth="1"/>
    <col min="24" max="24" width="6.428571" customWidth="1"/>
    <col min="25" max="25" width="6.857143" customWidth="1"/>
    <col min="26" max="26" width="6.428571" customWidth="1"/>
    <col min="27" max="27" width="6.571429" customWidth="1"/>
    <col min="28" max="28" width="7.142857" customWidth="1"/>
    <col min="29" max="31" width="7.142857" customWidth="1" style="43"/>
    <col min="32" max="34" width="9.000000" customWidth="1"/>
    <col min="35" max="37" width="8.428571" customWidth="1"/>
  </cols>
  <sheetData>
    <row r="1" spans="4:23" s="43" customFormat="1">
      <c r="D1" s="45"/>
      <c r="O1" s="43" t="s">
        <v>881</v>
      </c>
      <c r="S1" s="43" t="s">
        <v>857</v>
      </c>
      <c r="W1" s="43" t="s">
        <v>187</v>
      </c>
    </row>
    <row r="2" spans="1:37">
      <c r="A2" s="476" t="s">
        <v>195</v>
      </c>
      <c r="B2" s="476" t="s">
        <v>858</v>
      </c>
      <c r="C2" s="477" t="s">
        <v>120</v>
      </c>
      <c r="D2" s="478" t="s">
        <v>477</v>
      </c>
      <c r="E2" s="479" t="s">
        <v>882</v>
      </c>
      <c r="F2" s="480" t="s">
        <v>128</v>
      </c>
      <c r="G2" s="481" t="s">
        <v>747</v>
      </c>
      <c r="H2" s="482" t="s">
        <v>161</v>
      </c>
      <c r="I2" s="482" t="s">
        <v>203</v>
      </c>
      <c r="J2" s="482" t="s">
        <v>204</v>
      </c>
      <c r="K2" s="482" t="s">
        <v>501</v>
      </c>
      <c r="L2" s="482" t="s">
        <v>206</v>
      </c>
      <c r="M2" s="482" t="s">
        <v>207</v>
      </c>
      <c r="N2" s="483" t="s">
        <v>208</v>
      </c>
      <c r="O2" s="484" t="s">
        <v>181</v>
      </c>
      <c r="P2" s="484" t="s">
        <v>867</v>
      </c>
      <c r="Q2" s="484" t="s">
        <v>868</v>
      </c>
      <c r="R2" s="485" t="s">
        <v>867</v>
      </c>
      <c r="S2" s="484" t="s">
        <v>181</v>
      </c>
      <c r="T2" s="484" t="s">
        <v>867</v>
      </c>
      <c r="U2" s="484" t="s">
        <v>868</v>
      </c>
      <c r="V2" s="485" t="s">
        <v>867</v>
      </c>
      <c r="W2" s="486" t="s">
        <v>181</v>
      </c>
      <c r="X2" s="486" t="s">
        <v>867</v>
      </c>
      <c r="Y2" s="486" t="s">
        <v>868</v>
      </c>
      <c r="Z2" s="487" t="s">
        <v>867</v>
      </c>
      <c r="AA2" s="486" t="s">
        <v>883</v>
      </c>
      <c r="AB2" s="487" t="s">
        <v>480</v>
      </c>
      <c r="AC2" s="486" t="s">
        <v>884</v>
      </c>
      <c r="AD2" s="486" t="s">
        <v>885</v>
      </c>
      <c r="AE2" s="487" t="s">
        <v>886</v>
      </c>
      <c r="AF2" s="486" t="s">
        <v>887</v>
      </c>
      <c r="AG2" s="486" t="s">
        <v>888</v>
      </c>
      <c r="AH2" s="487" t="s">
        <v>889</v>
      </c>
      <c r="AI2" s="486" t="s">
        <v>890</v>
      </c>
      <c r="AJ2" s="486" t="s">
        <v>891</v>
      </c>
      <c r="AK2" s="487" t="s">
        <v>892</v>
      </c>
    </row>
    <row r="3" spans="1:37">
      <c r="A3" s="456" t="s">
        <v>893</v>
      </c>
      <c r="B3" s="280" t="n">
        <v>29</v>
      </c>
      <c r="C3" s="27" t="n">
        <v>22</v>
      </c>
      <c r="D3" s="44" t="s">
        <v>175</v>
      </c>
      <c r="E3" s="451" t="n">
        <v>3</v>
      </c>
      <c r="F3" s="459" t="n">
        <v>1</v>
      </c>
      <c r="G3" s="460" t="n">
        <v>6</v>
      </c>
      <c r="H3" s="38" t="n">
        <v>0</v>
      </c>
      <c r="I3" s="38" t="n">
        <v>5</v>
      </c>
      <c r="J3" s="38" t="n">
        <v>6</v>
      </c>
      <c r="K3" s="38" t="n">
        <v>11</v>
      </c>
      <c r="L3" s="38" t="n">
        <v>11</v>
      </c>
      <c r="M3" s="38" t="n">
        <v>11</v>
      </c>
      <c r="N3" s="463" t="n">
        <v>3</v>
      </c>
      <c r="O3" s="29">
        <f>((J3+F3+(LOG(G3)*4/3))*0.15)</f>
        <v>1.20563025007672997</v>
      </c>
      <c r="P3" s="29">
        <f>((M3+F3+(LOG(G3)*4/3))*0.552)+((K3+F3+(LOG(G3)*4/3))*0.576)+((L3+F3+(LOG(G3)*4/3))*0.195)</f>
        <v>17.2486588056767012</v>
      </c>
      <c r="Q3" s="29">
        <f>((M3+F3+(LOG(G3)*4/3))*0.607)+((L3+F3+(LOG(G3)*4/3))*0.248)</f>
        <v>11.1470924254373003</v>
      </c>
      <c r="R3" s="466">
        <f>((M3+F3+(LOG(G3)*4/3))*0.223)+((K3+F3+(LOG(G3)*4/3))*0)+((L3+F3+(LOG(G3)*4/3))*0)</f>
        <v>2.90737030511406012</v>
      </c>
      <c r="S3" s="29">
        <f>((J3+F3+(LOG(G3)*4/3))*0.406)</f>
        <v>3.26323921020768015</v>
      </c>
      <c r="T3" s="29">
        <f>IF(D3="TEC",((K3+F3+(LOG(G3)*4/3))*0.15)+((L3+F3+(LOG(G3)*4/3))*0.324)+((M3+F3+(LOG(G3)*4/3))*0.127),((K3+F3+(LOG(G3)*4/3))*0.144)+((L3+F3+(LOG(G3)*4/3))*0.25)+((M3+F3+(LOG(G3)*4/3))*0.127))</f>
        <v>6.79255573526650025</v>
      </c>
      <c r="U3" s="29">
        <f>IF(D3="TEC",((L3+F3+(LOG(G3)*4/3))*0.543)+((M3+F3+(LOG(G3)*4/3))*0.583),((L3+F3+(LOG(G3)*4/3))*0.543)+((M3+F3+(LOG(G3)*4/3))*0.583))</f>
        <v>14.6802644105759992</v>
      </c>
      <c r="V3" s="466">
        <f>T3</f>
        <v>6.79255573526650025</v>
      </c>
      <c r="W3" s="29">
        <f>((J3+F3+(LOG(G3)*4/3))*0.25)</f>
        <v>2.00938375012787995</v>
      </c>
      <c r="X3" s="29">
        <f>((M3+F3+(LOG(G3)*4/3))*0.26)+((K3+F3+(LOG(G3)*4/3))*0.221)+((L3+F3+(LOG(G3)*4/3))*0.142)</f>
        <v>8.12238430531865951</v>
      </c>
      <c r="Y3" s="29">
        <f>((M3+F3+(LOG(G3)*4/3))*1)+((L3+F3+(LOG(G3)*4/3))*0.369)</f>
        <v>17.8483854157002</v>
      </c>
      <c r="Z3" s="466">
        <f>X3</f>
        <v>8.12238430531865951</v>
      </c>
      <c r="AA3" t="n">
        <v>4400</v>
      </c>
      <c r="AB3" s="288">
        <f>7.3*1.2</f>
        <v>8.75999999999999979</v>
      </c>
      <c r="AC3" s="43" t="n">
        <v>1600</v>
      </c>
      <c r="AD3" s="43" t="n">
        <v>2000</v>
      </c>
      <c r="AE3" s="471" t="n">
        <v>3250</v>
      </c>
      <c r="AF3" s="27">
        <f>AA3+(AB3*16*(36-B3-((112-C3)/112)))-AC3</f>
        <v>3668.49142857142988</v>
      </c>
      <c r="AG3" s="27">
        <f>AA3+(AB3*16*(34-B3-((112-C3)/112)))-AD3</f>
        <v>2988.17142857143017</v>
      </c>
      <c r="AH3" s="474">
        <f>AA3+(AB3*16*(32-B3-((112-C3)/112)))-AE3</f>
        <v>1457.85142857143001</v>
      </c>
      <c r="AI3" s="27">
        <f>(AF3-AC3)/(36-B3+((112-C3)/112))</f>
        <v>265.069839816934007</v>
      </c>
      <c r="AJ3" s="27">
        <f>(AF3-AD3)/(34-B3+((112-C3)/112))</f>
        <v>287.493907692308028</v>
      </c>
      <c r="AK3" s="474">
        <f>(AF3-AE3)/(32-B3+((112-C3)/112))</f>
        <v>110.025915492958006</v>
      </c>
    </row>
    <row r="4" spans="1:37">
      <c r="A4" s="457" t="s">
        <v>190</v>
      </c>
      <c r="B4" s="280" t="n">
        <v>29</v>
      </c>
      <c r="C4" s="27" t="n">
        <v>23</v>
      </c>
      <c r="D4" s="44" t="s">
        <v>172</v>
      </c>
      <c r="E4" s="451" t="n">
        <v>4</v>
      </c>
      <c r="F4" s="459" t="n">
        <v>1</v>
      </c>
      <c r="G4" s="460" t="n">
        <v>7</v>
      </c>
      <c r="H4" s="38" t="n">
        <v>0</v>
      </c>
      <c r="I4" s="38" t="n">
        <v>3</v>
      </c>
      <c r="J4" s="38" t="n">
        <v>9</v>
      </c>
      <c r="K4" s="38" t="n">
        <v>2</v>
      </c>
      <c r="L4" s="38" t="n">
        <v>13</v>
      </c>
      <c r="M4" s="38" t="n">
        <v>12</v>
      </c>
      <c r="N4" s="463" t="n">
        <v>17</v>
      </c>
      <c r="O4" s="29">
        <f>((J4+F4+(LOG(G4)*4/3))*0.15)</f>
        <v>1.66901960800286009</v>
      </c>
      <c r="P4" s="29">
        <f>((M4+F4+(LOG(G4)*4/3))*0.552)+((K4+F4+(LOG(G4)*4/3))*0.576)+((L4+F4+(LOG(G4)*4/3))*0.195)</f>
        <v>13.1247529425852001</v>
      </c>
      <c r="Q4" s="29">
        <f>((M4+F4+(LOG(G4)*4/3))*0.607)+((L4+F4+(LOG(G4)*4/3))*0.248)</f>
        <v>12.3264117656162995</v>
      </c>
      <c r="R4" s="466">
        <f>((M4+F4+(LOG(G4)*4/3))*0.223)+((K4+F4+(LOG(G4)*4/3))*0)+((L4+F4+(LOG(G4)*4/3))*0)</f>
        <v>3.15027581723091021</v>
      </c>
      <c r="S4" s="29">
        <f>((J4+F4+(LOG(G4)*4/3))*0.406)</f>
        <v>4.5174797389943997</v>
      </c>
      <c r="T4" s="29">
        <f>IF(D4="TEC",((K4+F4+(LOG(G4)*4/3))*0.15)+((L4+F4+(LOG(G4)*4/3))*0.324)+((M4+F4+(LOG(G4)*4/3))*0.127),((K4+F4+(LOG(G4)*4/3))*0.144)+((L4+F4+(LOG(G4)*4/3))*0.25)+((M4+F4+(LOG(G4)*4/3))*0.127))</f>
        <v>6.17006143846325017</v>
      </c>
      <c r="U4" s="29">
        <f>IF(D4="TEC",((L4+F4+(LOG(G4)*4/3))*0.543)+((M4+F4+(LOG(G4)*4/3))*0.583),((L4+F4+(LOG(G4)*4/3))*0.543)+((M4+F4+(LOG(G4)*4/3))*0.583))</f>
        <v>16.4497738574081005</v>
      </c>
      <c r="V4" s="466">
        <f>T4</f>
        <v>6.17006143846325017</v>
      </c>
      <c r="W4" s="29">
        <f>((J4+F4+(LOG(G4)*4/3))*0.25)</f>
        <v>2.78169934667142993</v>
      </c>
      <c r="X4" s="29">
        <f>((M4+F4+(LOG(G4)*4/3))*0.26)+((K4+F4+(LOG(G4)*4/3))*0.221)+((L4+F4+(LOG(G4)*4/3))*0.142)</f>
        <v>6.73299477190519013</v>
      </c>
      <c r="Y4" s="29">
        <f>((M4+F4+(LOG(G4)*4/3))*1)+((L4+F4+(LOG(G4)*4/3))*0.369)</f>
        <v>19.7085856223726985</v>
      </c>
      <c r="Z4" s="466">
        <f>X4</f>
        <v>6.73299477190519013</v>
      </c>
      <c r="AA4" t="n">
        <v>4000</v>
      </c>
      <c r="AB4" s="288">
        <f>12.1*1.2</f>
        <v>14.5199999999999996</v>
      </c>
      <c r="AC4" s="43" t="n">
        <v>650</v>
      </c>
      <c r="AD4" s="43" t="n">
        <v>1500</v>
      </c>
      <c r="AE4" s="471" t="n">
        <v>2200</v>
      </c>
      <c r="AF4" s="27">
        <f>AA4+(AB4*16*(36-B4-((112-C4)/112)))-AC4</f>
        <v>4791.62857142856956</v>
      </c>
      <c r="AG4" s="27">
        <f>AA4+(AB4*16*(34-B4-((112-C4)/112)))-AD4</f>
        <v>3476.98857142857014</v>
      </c>
      <c r="AH4" s="474">
        <f>AA4+(AB4*16*(32-B4-((112-C4)/112)))-AE4</f>
        <v>2312.34857142856981</v>
      </c>
      <c r="AI4" s="27">
        <f>(AF4-AC4)/(36-B4+((112-C4)/112))</f>
        <v>531.342955326460014</v>
      </c>
      <c r="AJ4" s="27">
        <f>(AF4-AD4)/(34-B4+((112-C4)/112))</f>
        <v>568.046841294298019</v>
      </c>
      <c r="AK4" s="474">
        <f>(AF4-AE4)/(32-B4+((112-C4)/112))</f>
        <v>682.970352941175975</v>
      </c>
    </row>
    <row r="5" spans="1:37">
      <c r="A5" s="456" t="s">
        <v>894</v>
      </c>
      <c r="B5" s="280" t="n">
        <v>29</v>
      </c>
      <c r="C5" s="27" t="n">
        <v>80</v>
      </c>
      <c r="D5" s="44" t="s">
        <v>175</v>
      </c>
      <c r="E5" s="451" t="n">
        <v>4</v>
      </c>
      <c r="F5" s="459" t="n">
        <v>1</v>
      </c>
      <c r="G5" s="460" t="n">
        <v>6</v>
      </c>
      <c r="H5" s="38" t="n">
        <v>0</v>
      </c>
      <c r="I5" s="38" t="n">
        <v>2</v>
      </c>
      <c r="J5" s="38" t="n">
        <v>4</v>
      </c>
      <c r="K5" s="38" t="n">
        <v>7</v>
      </c>
      <c r="L5" s="38" t="n">
        <v>13</v>
      </c>
      <c r="M5" s="38" t="n">
        <v>12</v>
      </c>
      <c r="N5" s="463" t="n">
        <v>7</v>
      </c>
      <c r="O5" s="29">
        <f>((J5+F5+(LOG(G5)*4/3))*0.15)</f>
        <v>0.905630250076729126</v>
      </c>
      <c r="P5" s="29">
        <f>((M5+F5+(LOG(G5)*4/3))*0.552)+((K5+F5+(LOG(G5)*4/3))*0.576)+((L5+F5+(LOG(G5)*4/3))*0.195)</f>
        <v>15.8866588056766993</v>
      </c>
      <c r="Q5" s="29">
        <f>((M5+F5+(LOG(G5)*4/3))*0.607)+((L5+F5+(LOG(G5)*4/3))*0.248)</f>
        <v>12.2500924254373</v>
      </c>
      <c r="R5" s="466">
        <f>((M5+F5+(LOG(G5)*4/3))*0.223)+((K5+F5+(LOG(G5)*4/3))*0)+((L5+F5+(LOG(G5)*4/3))*0)</f>
        <v>3.13037030511407011</v>
      </c>
      <c r="S5" s="29">
        <f>((J5+F5+(LOG(G5)*4/3))*0.406)</f>
        <v>2.45123921020767987</v>
      </c>
      <c r="T5" s="29">
        <f>IF(D5="TEC",((K5+F5+(LOG(G5)*4/3))*0.15)+((L5+F5+(LOG(G5)*4/3))*0.324)+((M5+F5+(LOG(G5)*4/3))*0.127),((K5+F5+(LOG(G5)*4/3))*0.144)+((L5+F5+(LOG(G5)*4/3))*0.25)+((M5+F5+(LOG(G5)*4/3))*0.127))</f>
        <v>6.84355573526650041</v>
      </c>
      <c r="U5" s="29">
        <f>IF(D5="TEC",((L5+F5+(LOG(G5)*4/3))*0.543)+((M5+F5+(LOG(G5)*4/3))*0.583),((L5+F5+(LOG(G5)*4/3))*0.543)+((M5+F5+(LOG(G5)*4/3))*0.583))</f>
        <v>16.3492644105760014</v>
      </c>
      <c r="V5" s="466">
        <f>T5</f>
        <v>6.84355573526650041</v>
      </c>
      <c r="W5" s="29">
        <f>((J5+F5+(LOG(G5)*4/3))*0.25)</f>
        <v>1.50938375012787995</v>
      </c>
      <c r="X5" s="29">
        <f>((M5+F5+(LOG(G5)*4/3))*0.26)+((K5+F5+(LOG(G5)*4/3))*0.221)+((L5+F5+(LOG(G5)*4/3))*0.142)</f>
        <v>7.78238430531867031</v>
      </c>
      <c r="Y5" s="29">
        <f>((M5+F5+(LOG(G5)*4/3))*1)+((L5+F5+(LOG(G5)*4/3))*0.369)</f>
        <v>19.5863854157001995</v>
      </c>
      <c r="Z5" s="466">
        <f>X5</f>
        <v>7.78238430531867031</v>
      </c>
      <c r="AA5" t="n">
        <v>3400</v>
      </c>
      <c r="AB5" s="288" t="n">
        <v>11.5999999999999996</v>
      </c>
      <c r="AC5" s="43" t="n">
        <v>700</v>
      </c>
      <c r="AD5" s="43" t="n">
        <v>1000</v>
      </c>
      <c r="AE5" s="471" t="n">
        <v>1500</v>
      </c>
      <c r="AF5" s="27">
        <f>AA5+(AB5*16*(36-B5-((112-C5)/112)))-AC5</f>
        <v>3946.17142857143017</v>
      </c>
      <c r="AG5" s="27">
        <f>AA5+(AB5*16*(34-B5-((112-C5)/112)))-AD5</f>
        <v>3274.9714285714299</v>
      </c>
      <c r="AH5" s="474">
        <f>AA5+(AB5*16*(32-B5-((112-C5)/112)))-AE5</f>
        <v>2403.77142857143008</v>
      </c>
      <c r="AI5" s="27">
        <f>(AF5-AC5)/(36-B5+((112-C5)/112))</f>
        <v>445.552941176470995</v>
      </c>
      <c r="AJ5" s="27">
        <f>(AF5-AD5)/(34-B5+((112-C5)/112))</f>
        <v>557.383783783783997</v>
      </c>
      <c r="AK5" s="474">
        <f>(AF5-AE5)/(32-B5+((112-C5)/112))</f>
        <v>744.486956521738989</v>
      </c>
    </row>
    <row r="6" spans="1:37">
      <c r="A6" s="456" t="s">
        <v>895</v>
      </c>
      <c r="B6" s="280" t="n">
        <v>29</v>
      </c>
      <c r="C6" s="27" t="n">
        <v>21</v>
      </c>
      <c r="D6" s="44" t="s">
        <v>172</v>
      </c>
      <c r="E6" s="451" t="n">
        <v>0</v>
      </c>
      <c r="F6" s="459" t="n">
        <v>1</v>
      </c>
      <c r="G6" s="460" t="n">
        <v>8</v>
      </c>
      <c r="H6" s="38" t="n">
        <v>0</v>
      </c>
      <c r="I6" s="38" t="n">
        <v>0</v>
      </c>
      <c r="J6" s="38" t="n">
        <v>6</v>
      </c>
      <c r="K6" s="38" t="n">
        <v>10</v>
      </c>
      <c r="L6" s="38" t="n">
        <v>13</v>
      </c>
      <c r="M6" s="38" t="n">
        <v>13</v>
      </c>
      <c r="N6" s="463" t="n">
        <v>3</v>
      </c>
      <c r="O6" s="29">
        <f>((J6+F6+(LOG(G6)*4/3))*0.15)</f>
        <v>1.23061799739838995</v>
      </c>
      <c r="P6" s="29">
        <f>((M6+F6+(LOG(G6)*4/3))*0.552)+((K6+F6+(LOG(G6)*4/3))*0.576)+((L6+F6+(LOG(G6)*4/3))*0.195)</f>
        <v>18.3870507370538014</v>
      </c>
      <c r="Q6" s="29">
        <f>((M6+F6+(LOG(G6)*4/3))*0.607)+((L6+F6+(LOG(G6)*4/3))*0.248)</f>
        <v>12.9995225851707996</v>
      </c>
      <c r="R6" s="466">
        <f>((M6+F6+(LOG(G6)*4/3))*0.223)+((K6+F6+(LOG(G6)*4/3))*0)+((L6+F6+(LOG(G6)*4/3))*0)</f>
        <v>3.39051875613226983</v>
      </c>
      <c r="S6" s="29">
        <f>((J6+F6+(LOG(G6)*4/3))*0.406)</f>
        <v>3.33087271295831</v>
      </c>
      <c r="T6" s="29">
        <f>IF(D6="TEC",((K6+F6+(LOG(G6)*4/3))*0.15)+((L6+F6+(LOG(G6)*4/3))*0.324)+((M6+F6+(LOG(G6)*4/3))*0.127),((K6+F6+(LOG(G6)*4/3))*0.144)+((L6+F6+(LOG(G6)*4/3))*0.25)+((M6+F6+(LOG(G6)*4/3))*0.127))</f>
        <v>7.48934651096373027</v>
      </c>
      <c r="U6" s="29">
        <f>IF(D6="TEC",((L6+F6+(LOG(G6)*4/3))*0.543)+((M6+F6+(LOG(G6)*4/3))*0.583),((L6+F6+(LOG(G6)*4/3))*0.543)+((M6+F6+(LOG(G6)*4/3))*0.583))</f>
        <v>17.1198391004705996</v>
      </c>
      <c r="V6" s="466">
        <f>T6</f>
        <v>7.48934651096373027</v>
      </c>
      <c r="W6" s="29">
        <f>((J6+F6+(LOG(G6)*4/3))*0.25)</f>
        <v>2.05102999566397992</v>
      </c>
      <c r="X6" s="29">
        <f>((M6+F6+(LOG(G6)*4/3))*0.26)+((K6+F6+(LOG(G6)*4/3))*0.221)+((L6+F6+(LOG(G6)*4/3))*0.142)</f>
        <v>8.80916674919462039</v>
      </c>
      <c r="Y6" s="29">
        <f>((M6+F6+(LOG(G6)*4/3))*1)+((L6+F6+(LOG(G6)*4/3))*0.369)</f>
        <v>20.8144402562558994</v>
      </c>
      <c r="Z6" s="466">
        <f>X6</f>
        <v>8.80916674919462039</v>
      </c>
      <c r="AA6" t="n">
        <v>5100</v>
      </c>
      <c r="AB6" s="288" t="n">
        <v>24.8999999999999986</v>
      </c>
      <c r="AC6" s="43" t="n">
        <v>1650</v>
      </c>
      <c r="AD6" s="43" t="n">
        <v>2500</v>
      </c>
      <c r="AE6" s="471" t="n">
        <v>3200</v>
      </c>
      <c r="AF6" s="27">
        <f>AA6+(AB6*16*(36-B6-((112-C6)/112)))-AC6</f>
        <v>5915.10000000000036</v>
      </c>
      <c r="AG6" s="27">
        <f>AA6+(AB6*16*(34-B6-((112-C6)/112)))-AD6</f>
        <v>4268.30000000000018</v>
      </c>
      <c r="AH6" s="474">
        <f>AA6+(AB6*16*(32-B6-((112-C6)/112)))-AE6</f>
        <v>2771.5</v>
      </c>
      <c r="AI6" s="27">
        <f>(AF6-AC6)/(36-B6+((112-C6)/112))</f>
        <v>545.932800000000043</v>
      </c>
      <c r="AJ6" s="27">
        <f>(AF6-AD6)/(34-B6+((112-C6)/112))</f>
        <v>587.544086021504995</v>
      </c>
      <c r="AK6" s="474">
        <f>(AF6-AE6)/(32-B6+((112-C6)/112))</f>
        <v>712.157377049180013</v>
      </c>
    </row>
    <row r="7" spans="1:37">
      <c r="A7" s="456" t="s">
        <v>896</v>
      </c>
      <c r="B7" s="280" t="n">
        <v>29</v>
      </c>
      <c r="C7" s="27" t="n">
        <v>13</v>
      </c>
      <c r="D7" s="44" t="s">
        <v>175</v>
      </c>
      <c r="E7" s="451" t="n">
        <v>4</v>
      </c>
      <c r="F7" s="459" t="n">
        <v>1</v>
      </c>
      <c r="G7" s="460" t="n">
        <v>5</v>
      </c>
      <c r="H7" s="38" t="n">
        <v>0</v>
      </c>
      <c r="I7" s="38" t="n">
        <v>2</v>
      </c>
      <c r="J7" s="38" t="n">
        <v>6</v>
      </c>
      <c r="K7" s="38" t="n">
        <v>11</v>
      </c>
      <c r="L7" s="38" t="n">
        <v>13</v>
      </c>
      <c r="M7" s="38" t="n">
        <v>12</v>
      </c>
      <c r="N7" s="463" t="n">
        <v>12</v>
      </c>
      <c r="O7" s="29">
        <f>((J7+F7+(LOG(G7)*4/3))*0.15)</f>
        <v>1.18979400086720011</v>
      </c>
      <c r="P7" s="29">
        <f>((M7+F7+(LOG(G7)*4/3))*0.552)+((K7+F7+(LOG(G7)*4/3))*0.576)+((L7+F7+(LOG(G7)*4/3))*0.195)</f>
        <v>18.0509830876487989</v>
      </c>
      <c r="Q7" s="29">
        <f>((M7+F7+(LOG(G7)*4/3))*0.607)+((L7+F7+(LOG(G7)*4/3))*0.248)</f>
        <v>12.1598258049431003</v>
      </c>
      <c r="R7" s="466">
        <f>((M7+F7+(LOG(G7)*4/3))*0.223)+((K7+F7+(LOG(G7)*4/3))*0)+((L7+F7+(LOG(G7)*4/3))*0)</f>
        <v>3.10682708128925</v>
      </c>
      <c r="S7" s="29">
        <f>((J7+F7+(LOG(G7)*4/3))*0.406)</f>
        <v>3.22037576234723</v>
      </c>
      <c r="T7" s="29">
        <f>IF(D7="TEC",((K7+F7+(LOG(G7)*4/3))*0.15)+((L7+F7+(LOG(G7)*4/3))*0.324)+((M7+F7+(LOG(G7)*4/3))*0.127),((K7+F7+(LOG(G7)*4/3))*0.144)+((L7+F7+(LOG(G7)*4/3))*0.25)+((M7+F7+(LOG(G7)*4/3))*0.127))</f>
        <v>7.3645511630121101</v>
      </c>
      <c r="U7" s="29">
        <f>IF(D7="TEC",((L7+F7+(LOG(G7)*4/3))*0.543)+((M7+F7+(LOG(G7)*4/3))*0.583),((L7+F7+(LOG(G7)*4/3))*0.543)+((M7+F7+(LOG(G7)*4/3))*0.583))</f>
        <v>16.2303869665099008</v>
      </c>
      <c r="V7" s="466">
        <f>T7</f>
        <v>7.3645511630121101</v>
      </c>
      <c r="W7" s="29">
        <f>((J7+F7+(LOG(G7)*4/3))*0.25)</f>
        <v>1.98299000144534006</v>
      </c>
      <c r="X7" s="29">
        <f>((M7+F7+(LOG(G7)*4/3))*0.26)+((K7+F7+(LOG(G7)*4/3))*0.221)+((L7+F7+(LOG(G7)*4/3))*0.142)</f>
        <v>8.60061108360181059</v>
      </c>
      <c r="Y7" s="29">
        <f>((M7+F7+(LOG(G7)*4/3))*1)+((L7+F7+(LOG(G7)*4/3))*0.369)</f>
        <v>19.4418532479147004</v>
      </c>
      <c r="Z7" s="466">
        <f>X7</f>
        <v>8.60061108360181059</v>
      </c>
      <c r="AA7" t="n">
        <v>5100</v>
      </c>
      <c r="AB7" s="288" t="n">
        <v>16</v>
      </c>
      <c r="AC7" s="43" t="n">
        <v>1200</v>
      </c>
      <c r="AD7" s="43" t="n">
        <v>1500</v>
      </c>
      <c r="AE7" s="471" t="n">
        <v>2500</v>
      </c>
      <c r="AF7" s="27">
        <f>AA7+(AB7*16*(36-B7-((112-C7)/112)))-AC7</f>
        <v>5465.71428571428987</v>
      </c>
      <c r="AG7" s="27">
        <f>AA7+(AB7*16*(34-B7-((112-C7)/112)))-AD7</f>
        <v>4653.71428571428987</v>
      </c>
      <c r="AH7" s="474">
        <f>AA7+(AB7*16*(32-B7-((112-C7)/112)))-AE7</f>
        <v>3141.71428571428987</v>
      </c>
      <c r="AI7" s="27">
        <f>(AF7-AC7)/(36-B7+((112-C7)/112))</f>
        <v>541.064552661381981</v>
      </c>
      <c r="AJ7" s="27">
        <f>(AF7-AD7)/(34-B7+((112-C7)/112))</f>
        <v>673.990895295904011</v>
      </c>
      <c r="AK7" s="474">
        <f>(AF7-AE7)/(32-B7+((112-C7)/112))</f>
        <v>763.586206896552994</v>
      </c>
    </row>
    <row r="8" spans="1:37">
      <c r="A8" s="456" t="s">
        <v>897</v>
      </c>
      <c r="B8" s="280" t="n">
        <v>27</v>
      </c>
      <c r="C8" s="27" t="n">
        <v>18</v>
      </c>
      <c r="D8" s="44" t="s">
        <v>185</v>
      </c>
      <c r="E8" s="451" t="n">
        <v>4</v>
      </c>
      <c r="F8" s="459" t="n">
        <v>1</v>
      </c>
      <c r="G8" s="460" t="n">
        <v>5</v>
      </c>
      <c r="H8" s="38" t="n">
        <v>0</v>
      </c>
      <c r="I8" s="38" t="n">
        <v>4</v>
      </c>
      <c r="J8" s="38" t="n">
        <v>5</v>
      </c>
      <c r="K8" s="38" t="n">
        <v>10</v>
      </c>
      <c r="L8" s="38" t="n">
        <v>9</v>
      </c>
      <c r="M8" s="38" t="n">
        <v>11</v>
      </c>
      <c r="N8" s="463" t="n">
        <v>11</v>
      </c>
      <c r="O8" s="29">
        <f>((J8+F8+(LOG(G8)*4/3))*0.15)</f>
        <v>1.03979400086719997</v>
      </c>
      <c r="P8" s="29">
        <f>((M8+F8+(LOG(G8)*4/3))*0.552)+((K8+F8+(LOG(G8)*4/3))*0.576)+((L8+F8+(LOG(G8)*4/3))*0.195)</f>
        <v>16.1429830876488012</v>
      </c>
      <c r="Q8" s="29">
        <f>((M8+F8+(LOG(G8)*4/3))*0.607)+((L8+F8+(LOG(G8)*4/3))*0.248)</f>
        <v>10.5608258049431001</v>
      </c>
      <c r="R8" s="466">
        <f>((M8+F8+(LOG(G8)*4/3))*0.223)+((K8+F8+(LOG(G8)*4/3))*0)+((L8+F8+(LOG(G8)*4/3))*0)</f>
        <v>2.88382708128925014</v>
      </c>
      <c r="S8" s="29">
        <f>((J8+F8+(LOG(G8)*4/3))*0.406)</f>
        <v>2.81437576234722986</v>
      </c>
      <c r="T8" s="29">
        <f>IF(D8="TEC",((K8+F8+(LOG(G8)*4/3))*0.15)+((L8+F8+(LOG(G8)*4/3))*0.324)+((M8+F8+(LOG(G8)*4/3))*0.127),((K8+F8+(LOG(G8)*4/3))*0.144)+((L8+F8+(LOG(G8)*4/3))*0.25)+((M8+F8+(LOG(G8)*4/3))*0.127))</f>
        <v>6.09355116301211019</v>
      </c>
      <c r="U8" s="29">
        <f>IF(D8="TEC",((L8+F8+(LOG(G8)*4/3))*0.543)+((M8+F8+(LOG(G8)*4/3))*0.583),((L8+F8+(LOG(G8)*4/3))*0.543)+((M8+F8+(LOG(G8)*4/3))*0.583))</f>
        <v>13.4753869665099</v>
      </c>
      <c r="V8" s="466">
        <f>T8</f>
        <v>6.09355116301211019</v>
      </c>
      <c r="W8" s="29">
        <f>((J8+F8+(LOG(G8)*4/3))*0.25)</f>
        <v>1.73299000144534006</v>
      </c>
      <c r="X8" s="29">
        <f>((M8+F8+(LOG(G8)*4/3))*0.26)+((K8+F8+(LOG(G8)*4/3))*0.221)+((L8+F8+(LOG(G8)*4/3))*0.142)</f>
        <v>7.55161108360181021</v>
      </c>
      <c r="Y8" s="29">
        <f>((M8+F8+(LOG(G8)*4/3))*1)+((L8+F8+(LOG(G8)*4/3))*0.369)</f>
        <v>16.9658532479147013</v>
      </c>
      <c r="Z8" s="466">
        <f>X8</f>
        <v>7.55161108360181021</v>
      </c>
      <c r="AA8" t="n">
        <v>3800</v>
      </c>
      <c r="AB8" s="288" t="n">
        <v>9</v>
      </c>
      <c r="AC8" s="43" t="n">
        <v>400</v>
      </c>
      <c r="AD8" s="43" t="n">
        <v>680</v>
      </c>
      <c r="AE8" s="471" t="n">
        <v>1100</v>
      </c>
      <c r="AF8" s="27">
        <f>AA8+(AB8*16*(36-B8-((112-C8)/112)))-AC8</f>
        <v>4575.14285714285961</v>
      </c>
      <c r="AG8" s="27">
        <f>AA8+(AB8*16*(34-B8-((112-C8)/112)))-AD8</f>
        <v>4007.14285714286007</v>
      </c>
      <c r="AH8" s="474">
        <f>AA8+(AB8*16*(32-B8-((112-C8)/112)))-AE8</f>
        <v>3299.14285714286007</v>
      </c>
      <c r="AI8" s="27">
        <f>(AF8-AC8)/(36-B8+((112-C8)/112))</f>
        <v>424.333938294010977</v>
      </c>
      <c r="AJ8" s="27">
        <f>(AF8-AD8)/(34-B8+((112-C8)/112))</f>
        <v>496.874715261959977</v>
      </c>
      <c r="AK8" s="474">
        <f>(AF8-AE8)/(32-B8+((112-C8)/112))</f>
        <v>595.131498470949055</v>
      </c>
    </row>
    <row r="9" spans="1:37">
      <c r="A9" s="457" t="s">
        <v>898</v>
      </c>
      <c r="B9" s="280" t="n">
        <v>29</v>
      </c>
      <c r="C9" s="27" t="n">
        <v>20</v>
      </c>
      <c r="D9" s="44" t="s">
        <v>172</v>
      </c>
      <c r="E9" s="451" t="n">
        <v>5</v>
      </c>
      <c r="F9" s="459" t="n">
        <v>1</v>
      </c>
      <c r="G9" s="460" t="n">
        <v>7</v>
      </c>
      <c r="H9" s="38" t="n">
        <v>0</v>
      </c>
      <c r="I9" s="38" t="n">
        <v>4</v>
      </c>
      <c r="J9" s="38" t="n">
        <v>2</v>
      </c>
      <c r="K9" s="38" t="n">
        <v>2</v>
      </c>
      <c r="L9" s="38" t="n">
        <v>16</v>
      </c>
      <c r="M9" s="38" t="n">
        <v>12</v>
      </c>
      <c r="N9" s="463" t="n">
        <v>16</v>
      </c>
      <c r="O9" s="29">
        <f>((J9+F9+(LOG(G9)*4/3))*0.15)</f>
        <v>0.619019608002852095</v>
      </c>
      <c r="P9" s="29">
        <f>((M9+F9+(LOG(G9)*4/3))*0.552)+((K9+F9+(LOG(G9)*4/3))*0.576)+((L9+F9+(LOG(G9)*4/3))*0.195)</f>
        <v>13.7097529425851992</v>
      </c>
      <c r="Q9" s="29">
        <f>((M9+F9+(LOG(G9)*4/3))*0.607)+((L9+F9+(LOG(G9)*4/3))*0.248)</f>
        <v>13.0704117656162992</v>
      </c>
      <c r="R9" s="466">
        <f>((M9+F9+(LOG(G9)*4/3))*0.223)+((K9+F9+(LOG(G9)*4/3))*0)+((L9+F9+(LOG(G9)*4/3))*0)</f>
        <v>3.15027581723091021</v>
      </c>
      <c r="S9" s="29">
        <f>((J9+F9+(LOG(G9)*4/3))*0.406)</f>
        <v>1.67547973899439011</v>
      </c>
      <c r="T9" s="29">
        <f>IF(D9="TEC",((K9+F9+(LOG(G9)*4/3))*0.15)+((L9+F9+(LOG(G9)*4/3))*0.324)+((M9+F9+(LOG(G9)*4/3))*0.127),((K9+F9+(LOG(G9)*4/3))*0.144)+((L9+F9+(LOG(G9)*4/3))*0.25)+((M9+F9+(LOG(G9)*4/3))*0.127))</f>
        <v>6.92006143846325017</v>
      </c>
      <c r="U9" s="29">
        <f>IF(D9="TEC",((L9+F9+(LOG(G9)*4/3))*0.543)+((M9+F9+(LOG(G9)*4/3))*0.583),((L9+F9+(LOG(G9)*4/3))*0.543)+((M9+F9+(LOG(G9)*4/3))*0.583))</f>
        <v>18.0787738574080983</v>
      </c>
      <c r="V9" s="466">
        <f>T9</f>
        <v>6.92006143846325017</v>
      </c>
      <c r="W9" s="29">
        <f>((J9+F9+(LOG(G9)*4/3))*0.25)</f>
        <v>1.03169934667141994</v>
      </c>
      <c r="X9" s="29">
        <f>((M9+F9+(LOG(G9)*4/3))*0.26)+((K9+F9+(LOG(G9)*4/3))*0.221)+((L9+F9+(LOG(G9)*4/3))*0.142)</f>
        <v>7.15899477190519029</v>
      </c>
      <c r="Y9" s="29">
        <f>((M9+F9+(LOG(G9)*4/3))*1)+((L9+F9+(LOG(G9)*4/3))*0.369)</f>
        <v>20.8155856223727014</v>
      </c>
      <c r="Z9" s="466">
        <f>X9</f>
        <v>7.15899477190519029</v>
      </c>
      <c r="AA9" t="n">
        <v>3290</v>
      </c>
      <c r="AB9" s="288" t="n">
        <v>36.1000000000000014</v>
      </c>
      <c r="AC9" s="43" t="n">
        <v>850</v>
      </c>
      <c r="AD9" s="43" t="n">
        <v>950</v>
      </c>
      <c r="AE9" s="471" t="n">
        <v>1200</v>
      </c>
      <c r="AF9" s="27">
        <f>AA9+(AB9*16*(36-B9-((112-C9)/112)))-AC9</f>
        <v>6008.74285714285998</v>
      </c>
      <c r="AG9" s="27">
        <f>AA9+(AB9*16*(34-B9-((112-C9)/112)))-AD9</f>
        <v>4753.54285714286016</v>
      </c>
      <c r="AH9" s="474">
        <f>AA9+(AB9*16*(32-B9-((112-C9)/112)))-AE9</f>
        <v>3348.34285714285988</v>
      </c>
      <c r="AI9" s="27">
        <f>(AF9-AC9)/(36-B9+((112-C9)/112))</f>
        <v>659.565296803653041</v>
      </c>
      <c r="AJ9" s="27">
        <f>(AF9-AD9)/(34-B9+((112-C9)/112))</f>
        <v>868.986503067485046</v>
      </c>
      <c r="AK9" s="474">
        <f>(AF9-AE9)/(32-B9+((112-C9)/112))</f>
        <v>1258.36261682243003</v>
      </c>
    </row>
    <row r="10" spans="1:37">
      <c r="A10" s="456" t="s">
        <v>899</v>
      </c>
      <c r="B10" s="280" t="n">
        <v>29</v>
      </c>
      <c r="C10" s="27" t="n">
        <v>3</v>
      </c>
      <c r="D10" s="44" t="s">
        <v>175</v>
      </c>
      <c r="E10" s="451" t="n">
        <v>0</v>
      </c>
      <c r="F10" s="459" t="n">
        <v>1</v>
      </c>
      <c r="G10" s="460" t="n">
        <v>10</v>
      </c>
      <c r="H10" s="38" t="n">
        <v>0</v>
      </c>
      <c r="I10" s="38" t="n">
        <v>2</v>
      </c>
      <c r="J10" s="38" t="n">
        <v>7</v>
      </c>
      <c r="K10" s="38" t="n">
        <v>11</v>
      </c>
      <c r="L10" s="38" t="n">
        <v>8</v>
      </c>
      <c r="M10" s="38" t="n">
        <v>12</v>
      </c>
      <c r="N10" s="463" t="n">
        <v>3</v>
      </c>
      <c r="O10" s="29">
        <f>((J10+F10+(LOG(G10)*4/3))*0.15)</f>
        <v>1.39999999999999991</v>
      </c>
      <c r="P10" s="29">
        <f>((M10+F10+(LOG(G10)*4/3))*0.552)+((K10+F10+(LOG(G10)*4/3))*0.576)+((L10+F10+(LOG(G10)*4/3))*0.195)</f>
        <v>17.6069999999999993</v>
      </c>
      <c r="Q10" s="29">
        <f>((M10+F10+(LOG(G10)*4/3))*0.607)+((L10+F10+(LOG(G10)*4/3))*0.248)</f>
        <v>11.2629999999999999</v>
      </c>
      <c r="R10" s="466">
        <f>((M10+F10+(LOG(G10)*4/3))*0.223)+((K10+F10+(LOG(G10)*4/3))*0)+((L10+F10+(LOG(G10)*4/3))*0)</f>
        <v>3.19633333333332992</v>
      </c>
      <c r="S10" s="29">
        <f>((J10+F10+(LOG(G10)*4/3))*0.406)</f>
        <v>3.78933333333332989</v>
      </c>
      <c r="T10" s="29">
        <f>IF(D10="TEC",((K10+F10+(LOG(G10)*4/3))*0.15)+((L10+F10+(LOG(G10)*4/3))*0.324)+((M10+F10+(LOG(G10)*4/3))*0.127),((K10+F10+(LOG(G10)*4/3))*0.144)+((L10+F10+(LOG(G10)*4/3))*0.25)+((M10+F10+(LOG(G10)*4/3))*0.127))</f>
        <v>6.32366666666665989</v>
      </c>
      <c r="U10" s="29">
        <f>IF(D10="TEC",((L10+F10+(LOG(G10)*4/3))*0.543)+((M10+F10+(LOG(G10)*4/3))*0.583),((L10+F10+(LOG(G10)*4/3))*0.543)+((M10+F10+(LOG(G10)*4/3))*0.583))</f>
        <v>13.9673333333333005</v>
      </c>
      <c r="V10" s="466">
        <f>T10</f>
        <v>6.32366666666665989</v>
      </c>
      <c r="W10" s="29">
        <f>((J10+F10+(LOG(G10)*4/3))*0.25)</f>
        <v>2.33333333333332993</v>
      </c>
      <c r="X10" s="29">
        <f>((M10+F10+(LOG(G10)*4/3))*0.26)+((K10+F10+(LOG(G10)*4/3))*0.221)+((L10+F10+(LOG(G10)*4/3))*0.142)</f>
        <v>8.14066666666665029</v>
      </c>
      <c r="Y10" s="29">
        <f>((M10+F10+(LOG(G10)*4/3))*1)+((L10+F10+(LOG(G10)*4/3))*0.369)</f>
        <v>18.146333333333299</v>
      </c>
      <c r="Z10" s="466">
        <f>X10</f>
        <v>8.14066666666665029</v>
      </c>
      <c r="AA10" t="n">
        <v>3200</v>
      </c>
      <c r="AB10" s="288" t="n">
        <v>11</v>
      </c>
      <c r="AE10" s="471"/>
      <c r="AF10" s="27">
        <f>AA10+(AB10*16*(36-B10-((112-C10)/112)))-AC10</f>
        <v>4260.71428571428987</v>
      </c>
      <c r="AG10" s="27">
        <f>AA10+(AB10*16*(34-B10-((112-C10)/112)))-AD10</f>
        <v>3908.71428571428987</v>
      </c>
      <c r="AH10" s="474">
        <f>AA10+(AB10*16*(32-B10-((112-C10)/112)))-AE10</f>
        <v>3556.71428571428987</v>
      </c>
      <c r="AI10" s="27">
        <f>(AF10-AC10)/(36-B10+((112-C10)/112))</f>
        <v>534.378499440089968</v>
      </c>
      <c r="AJ10" s="27">
        <f>(AF10-AD10)/(34-B10+((112-C10)/112))</f>
        <v>713.303437967114974</v>
      </c>
      <c r="AK10" s="474">
        <f>(AF10-AE10)/(32-B10+((112-C10)/112))</f>
        <v>1072.35955056180001</v>
      </c>
    </row>
    <row r="11" spans="1:37">
      <c r="A11" s="456" t="s">
        <v>900</v>
      </c>
      <c r="B11" s="280" t="n">
        <v>29</v>
      </c>
      <c r="C11" s="27" t="n">
        <v>84</v>
      </c>
      <c r="D11" s="44" t="s">
        <v>175</v>
      </c>
      <c r="E11" s="451" t="n">
        <v>3</v>
      </c>
      <c r="F11" s="459" t="n">
        <v>1</v>
      </c>
      <c r="G11" s="460" t="n">
        <v>6</v>
      </c>
      <c r="H11" s="38" t="n">
        <v>0</v>
      </c>
      <c r="I11" s="38" t="n">
        <v>4</v>
      </c>
      <c r="J11" s="38" t="n">
        <v>4</v>
      </c>
      <c r="K11" s="38" t="n">
        <v>5</v>
      </c>
      <c r="L11" s="38" t="n">
        <v>12</v>
      </c>
      <c r="M11" s="38" t="n">
        <v>14</v>
      </c>
      <c r="N11" s="463" t="n">
        <v>4</v>
      </c>
      <c r="O11" s="29">
        <f>((J11+F11+(LOG(G11)*4/3))*0.15)</f>
        <v>0.905630250076729126</v>
      </c>
      <c r="P11" s="29">
        <f>((M11+F11+(LOG(G11)*4/3))*0.552)+((K11+F11+(LOG(G11)*4/3))*0.576)+((L11+F11+(LOG(G11)*4/3))*0.195)</f>
        <v>15.6436588056767008</v>
      </c>
      <c r="Q11" s="29">
        <f>((M11+F11+(LOG(G11)*4/3))*0.607)+((L11+F11+(LOG(G11)*4/3))*0.248)</f>
        <v>13.2160924254372993</v>
      </c>
      <c r="R11" s="466">
        <f>((M11+F11+(LOG(G11)*4/3))*0.223)+((K11+F11+(LOG(G11)*4/3))*0)+((L11+F11+(LOG(G11)*4/3))*0)</f>
        <v>3.57637030511406007</v>
      </c>
      <c r="S11" s="29">
        <f>((J11+F11+(LOG(G11)*4/3))*0.406)</f>
        <v>2.45123921020767987</v>
      </c>
      <c r="T11" s="29">
        <f>IF(D11="TEC",((K11+F11+(LOG(G11)*4/3))*0.15)+((L11+F11+(LOG(G11)*4/3))*0.324)+((M11+F11+(LOG(G11)*4/3))*0.127),((K11+F11+(LOG(G11)*4/3))*0.144)+((L11+F11+(LOG(G11)*4/3))*0.25)+((M11+F11+(LOG(G11)*4/3))*0.127))</f>
        <v>6.55955573526649971</v>
      </c>
      <c r="U11" s="29">
        <f>IF(D11="TEC",((L11+F11+(LOG(G11)*4/3))*0.543)+((M11+F11+(LOG(G11)*4/3))*0.583),((L11+F11+(LOG(G11)*4/3))*0.543)+((M11+F11+(LOG(G11)*4/3))*0.583))</f>
        <v>16.972264410575999</v>
      </c>
      <c r="V11" s="466">
        <f>T11</f>
        <v>6.55955573526649971</v>
      </c>
      <c r="W11" s="29">
        <f>((J11+F11+(LOG(G11)*4/3))*0.25)</f>
        <v>1.50938375012787995</v>
      </c>
      <c r="X11" s="29">
        <f>((M11+F11+(LOG(G11)*4/3))*0.26)+((K11+F11+(LOG(G11)*4/3))*0.221)+((L11+F11+(LOG(G11)*4/3))*0.142)</f>
        <v>7.71838430531867026</v>
      </c>
      <c r="Y11" s="29">
        <f>((M11+F11+(LOG(G11)*4/3))*1)+((L11+F11+(LOG(G11)*4/3))*0.369)</f>
        <v>21.2173854157001998</v>
      </c>
      <c r="Z11" s="466">
        <f>X11</f>
        <v>7.71838430531867026</v>
      </c>
      <c r="AA11" t="n">
        <v>3000</v>
      </c>
      <c r="AB11" s="288" t="n">
        <v>25</v>
      </c>
      <c r="AE11" s="471"/>
      <c r="AF11" s="27">
        <f>AA11+(AB11*16*(36-B11-((112-C11)/112)))-AC11</f>
        <v>5700</v>
      </c>
      <c r="AG11" s="27">
        <f>AA11+(AB11*16*(34-B11-((112-C11)/112)))-AD11</f>
        <v>4900</v>
      </c>
      <c r="AH11" s="474">
        <f>AA11+(AB11*16*(32-B11-((112-C11)/112)))-AE11</f>
        <v>4100</v>
      </c>
      <c r="AI11" s="27">
        <f>(AF11-AC11)/(36-B11+((112-C11)/112))</f>
        <v>786.206896551723958</v>
      </c>
      <c r="AJ11" s="27">
        <f>(AF11-AD11)/(34-B11+((112-C11)/112))</f>
        <v>1085.7142857142901</v>
      </c>
      <c r="AK11" s="474">
        <f>(AF11-AE11)/(32-B11+((112-C11)/112))</f>
        <v>1753.84615384614995</v>
      </c>
    </row>
    <row r="12" spans="1:37">
      <c r="A12" s="457" t="s">
        <v>901</v>
      </c>
      <c r="B12" s="280" t="n">
        <v>29</v>
      </c>
      <c r="C12" s="27" t="n">
        <v>83</v>
      </c>
      <c r="D12" s="44" t="s">
        <v>175</v>
      </c>
      <c r="E12" s="451" t="n">
        <v>3</v>
      </c>
      <c r="F12" s="459" t="n">
        <v>1</v>
      </c>
      <c r="G12" s="460" t="n">
        <v>7</v>
      </c>
      <c r="H12" s="38" t="n">
        <v>0</v>
      </c>
      <c r="I12" s="38" t="n">
        <v>1</v>
      </c>
      <c r="J12" s="38" t="n">
        <v>13</v>
      </c>
      <c r="K12" s="38" t="n">
        <v>6</v>
      </c>
      <c r="L12" s="38" t="n">
        <v>12</v>
      </c>
      <c r="M12" s="38" t="n">
        <v>12</v>
      </c>
      <c r="N12" s="463" t="n">
        <v>13</v>
      </c>
      <c r="O12" s="29">
        <f>((J12+F12+(LOG(G12)*4/3))*0.15)</f>
        <v>2.26901960800286018</v>
      </c>
      <c r="P12" s="29">
        <f>((M12+F12+(LOG(G12)*4/3))*0.552)+((K12+F12+(LOG(G12)*4/3))*0.576)+((L12+F12+(LOG(G12)*4/3))*0.195)</f>
        <v>15.2337529425852001</v>
      </c>
      <c r="Q12" s="29">
        <f>((M12+F12+(LOG(G12)*4/3))*0.607)+((L12+F12+(LOG(G12)*4/3))*0.248)</f>
        <v>12.0784117656163001</v>
      </c>
      <c r="R12" s="466">
        <f>((M12+F12+(LOG(G12)*4/3))*0.223)+((K12+F12+(LOG(G12)*4/3))*0)+((L12+F12+(LOG(G12)*4/3))*0)</f>
        <v>3.15027581723091021</v>
      </c>
      <c r="S12" s="29">
        <f>((J12+F12+(LOG(G12)*4/3))*0.406)</f>
        <v>6.14147973899440025</v>
      </c>
      <c r="T12" s="29">
        <f>IF(D12="TEC",((K12+F12+(LOG(G12)*4/3))*0.15)+((L12+F12+(LOG(G12)*4/3))*0.324)+((M12+F12+(LOG(G12)*4/3))*0.127),((K12+F12+(LOG(G12)*4/3))*0.144)+((L12+F12+(LOG(G12)*4/3))*0.25)+((M12+F12+(LOG(G12)*4/3))*0.127))</f>
        <v>6.49606143846324979</v>
      </c>
      <c r="U12" s="29">
        <f>IF(D12="TEC",((L12+F12+(LOG(G12)*4/3))*0.543)+((M12+F12+(LOG(G12)*4/3))*0.583),((L12+F12+(LOG(G12)*4/3))*0.543)+((M12+F12+(LOG(G12)*4/3))*0.583))</f>
        <v>15.9067738574080995</v>
      </c>
      <c r="V12" s="466">
        <f>T12</f>
        <v>6.49606143846324979</v>
      </c>
      <c r="W12" s="29">
        <f>((J12+F12+(LOG(G12)*4/3))*0.25)</f>
        <v>3.78169934667142993</v>
      </c>
      <c r="X12" s="29">
        <f>((M12+F12+(LOG(G12)*4/3))*0.26)+((K12+F12+(LOG(G12)*4/3))*0.221)+((L12+F12+(LOG(G12)*4/3))*0.142)</f>
        <v>7.47499477190519013</v>
      </c>
      <c r="Y12" s="29">
        <f>((M12+F12+(LOG(G12)*4/3))*1)+((L12+F12+(LOG(G12)*4/3))*0.369)</f>
        <v>19.3395856223726987</v>
      </c>
      <c r="Z12" s="466">
        <f>X12</f>
        <v>7.47499477190519013</v>
      </c>
      <c r="AA12" t="n">
        <v>7100</v>
      </c>
      <c r="AB12" s="288" t="n">
        <v>23.8999999999999986</v>
      </c>
      <c r="AC12" s="43" t="n">
        <v>1650</v>
      </c>
      <c r="AD12" s="43" t="n">
        <v>2700</v>
      </c>
      <c r="AE12" s="471" t="n">
        <v>4000</v>
      </c>
      <c r="AF12" s="27">
        <f>AA12+(AB12*16*(36-B12-((112-C12)/112)))-AC12</f>
        <v>8027.78571428572013</v>
      </c>
      <c r="AG12" s="27">
        <f>AA12+(AB12*16*(34-B12-((112-C12)/112)))-AD12</f>
        <v>6212.98571428570995</v>
      </c>
      <c r="AH12" s="474">
        <f>AA12+(AB12*16*(32-B12-((112-C12)/112)))-AE12</f>
        <v>4148.18571428570976</v>
      </c>
      <c r="AI12" s="27">
        <f>(AF12-AC12)/(36-B12+((112-C12)/112))</f>
        <v>878.612546125462018</v>
      </c>
      <c r="AJ12" s="27">
        <f>(AF12-AD12)/(34-B12+((112-C12)/112))</f>
        <v>1013.09337860781</v>
      </c>
      <c r="AK12" s="474">
        <f>(AF12-AE12)/(32-B12+((112-C12)/112))</f>
        <v>1235.9232876712399</v>
      </c>
    </row>
    <row r="13" spans="1:37">
      <c r="A13" s="457" t="s">
        <v>902</v>
      </c>
      <c r="B13" s="280" t="n">
        <v>29</v>
      </c>
      <c r="C13" s="27" t="n">
        <v>67</v>
      </c>
      <c r="D13" s="44" t="s">
        <v>175</v>
      </c>
      <c r="E13" s="451" t="n">
        <v>2</v>
      </c>
      <c r="F13" s="459" t="n">
        <v>1</v>
      </c>
      <c r="G13" s="460" t="n">
        <v>7</v>
      </c>
      <c r="H13" s="38" t="n">
        <v>0</v>
      </c>
      <c r="I13" s="38" t="n">
        <v>3</v>
      </c>
      <c r="J13" s="38" t="n">
        <v>4</v>
      </c>
      <c r="K13" s="38" t="n">
        <v>9</v>
      </c>
      <c r="L13" s="38" t="n">
        <v>12</v>
      </c>
      <c r="M13" s="38" t="n">
        <v>14</v>
      </c>
      <c r="N13" s="463" t="n">
        <v>9</v>
      </c>
      <c r="O13" s="29">
        <f>((J13+F13+(LOG(G13)*4/3))*0.15)</f>
        <v>0.919019608002851918</v>
      </c>
      <c r="P13" s="29">
        <f>((M13+F13+(LOG(G13)*4/3))*0.552)+((K13+F13+(LOG(G13)*4/3))*0.576)+((L13+F13+(LOG(G13)*4/3))*0.195)</f>
        <v>18.065752942585199</v>
      </c>
      <c r="Q13" s="29">
        <f>((M13+F13+(LOG(G13)*4/3))*0.607)+((L13+F13+(LOG(G13)*4/3))*0.248)</f>
        <v>13.2924117656163006</v>
      </c>
      <c r="R13" s="466">
        <f>((M13+F13+(LOG(G13)*4/3))*0.223)+((K13+F13+(LOG(G13)*4/3))*0)+((L13+F13+(LOG(G13)*4/3))*0)</f>
        <v>3.59627581723090994</v>
      </c>
      <c r="S13" s="29">
        <f>((J13+F13+(LOG(G13)*4/3))*0.406)</f>
        <v>2.48747973899439012</v>
      </c>
      <c r="T13" s="29">
        <f>IF(D13="TEC",((K13+F13+(LOG(G13)*4/3))*0.15)+((L13+F13+(LOG(G13)*4/3))*0.324)+((M13+F13+(LOG(G13)*4/3))*0.127),((K13+F13+(LOG(G13)*4/3))*0.144)+((L13+F13+(LOG(G13)*4/3))*0.25)+((M13+F13+(LOG(G13)*4/3))*0.127))</f>
        <v>7.18206143846324974</v>
      </c>
      <c r="U13" s="29">
        <f>IF(D13="TEC",((L13+F13+(LOG(G13)*4/3))*0.543)+((M13+F13+(LOG(G13)*4/3))*0.583),((L13+F13+(LOG(G13)*4/3))*0.543)+((M13+F13+(LOG(G13)*4/3))*0.583))</f>
        <v>17.0727738574081016</v>
      </c>
      <c r="V13" s="466">
        <f>T13</f>
        <v>7.18206143846324974</v>
      </c>
      <c r="W13" s="29">
        <f>((J13+F13+(LOG(G13)*4/3))*0.25)</f>
        <v>1.53169934667141998</v>
      </c>
      <c r="X13" s="29">
        <f>((M13+F13+(LOG(G13)*4/3))*0.26)+((K13+F13+(LOG(G13)*4/3))*0.221)+((L13+F13+(LOG(G13)*4/3))*0.142)</f>
        <v>8.65799477190519085</v>
      </c>
      <c r="Y13" s="29">
        <f>((M13+F13+(LOG(G13)*4/3))*1)+((L13+F13+(LOG(G13)*4/3))*0.369)</f>
        <v>21.3395856223726987</v>
      </c>
      <c r="Z13" s="466">
        <f>X13</f>
        <v>8.65799477190519085</v>
      </c>
      <c r="AA13" t="n">
        <v>6250</v>
      </c>
      <c r="AB13" s="288" t="n">
        <v>26.3000000000000007</v>
      </c>
      <c r="AC13" s="43" t="n">
        <v>2000</v>
      </c>
      <c r="AD13" s="43" t="n">
        <v>2700</v>
      </c>
      <c r="AE13" s="471" t="n">
        <v>2900</v>
      </c>
      <c r="AF13" s="27">
        <f>AA13+(AB13*16*(36-B13-((112-C13)/112)))-AC13</f>
        <v>7026.5285714285701</v>
      </c>
      <c r="AG13" s="27">
        <f>AA13+(AB13*16*(34-B13-((112-C13)/112)))-AD13</f>
        <v>5484.92857142856974</v>
      </c>
      <c r="AH13" s="474">
        <f>AA13+(AB13*16*(32-B13-((112-C13)/112)))-AE13</f>
        <v>4443.32857142857029</v>
      </c>
      <c r="AI13" s="27">
        <f>(AF13-AC13)/(36-B13+((112-C13)/112))</f>
        <v>679.096743063931967</v>
      </c>
      <c r="AJ13" s="27">
        <f>(AF13-AD13)/(34-B13+((112-C13)/112))</f>
        <v>800.944132231403955</v>
      </c>
      <c r="AK13" s="474">
        <f>(AF13-AE13)/(32-B13+((112-C13)/112))</f>
        <v>1213.04776902887011</v>
      </c>
    </row>
    <row r="14" spans="1:37">
      <c r="A14" s="457" t="s">
        <v>903</v>
      </c>
      <c r="B14" s="280" t="n">
        <v>27</v>
      </c>
      <c r="C14" s="27" t="n">
        <v>72</v>
      </c>
      <c r="D14" s="44" t="s">
        <v>175</v>
      </c>
      <c r="E14" s="451" t="n">
        <v>4</v>
      </c>
      <c r="F14" s="459" t="n">
        <v>1</v>
      </c>
      <c r="G14" s="460" t="n">
        <v>6</v>
      </c>
      <c r="H14" s="38" t="n">
        <v>0</v>
      </c>
      <c r="I14" s="38" t="n">
        <v>3</v>
      </c>
      <c r="J14" s="38" t="n">
        <v>3</v>
      </c>
      <c r="K14" s="38" t="n">
        <v>6</v>
      </c>
      <c r="L14" s="38" t="n">
        <v>10</v>
      </c>
      <c r="M14" s="38" t="n">
        <v>14</v>
      </c>
      <c r="N14" s="463" t="n">
        <v>12</v>
      </c>
      <c r="O14" s="29">
        <f>((J14+F14+(LOG(G14)*4/3))*0.15)</f>
        <v>0.755630250076730015</v>
      </c>
      <c r="P14" s="29">
        <f>((M14+F14+(LOG(G14)*4/3))*0.552)+((K14+F14+(LOG(G14)*4/3))*0.576)+((L14+F14+(LOG(G14)*4/3))*0.195)</f>
        <v>15.8296588056767007</v>
      </c>
      <c r="Q14" s="29">
        <f>((M14+F14+(LOG(G14)*4/3))*0.607)+((L14+F14+(LOG(G14)*4/3))*0.248)</f>
        <v>12.7200924254373007</v>
      </c>
      <c r="R14" s="466">
        <f>((M14+F14+(LOG(G14)*4/3))*0.223)+((K14+F14+(LOG(G14)*4/3))*0)+((L14+F14+(LOG(G14)*4/3))*0)</f>
        <v>3.57637030511406007</v>
      </c>
      <c r="S14" s="29">
        <f>((J14+F14+(LOG(G14)*4/3))*0.406)</f>
        <v>2.04523921020768018</v>
      </c>
      <c r="T14" s="29">
        <f>IF(D14="TEC",((K14+F14+(LOG(G14)*4/3))*0.15)+((L14+F14+(LOG(G14)*4/3))*0.324)+((M14+F14+(LOG(G14)*4/3))*0.127),((K14+F14+(LOG(G14)*4/3))*0.144)+((L14+F14+(LOG(G14)*4/3))*0.25)+((M14+F14+(LOG(G14)*4/3))*0.127))</f>
        <v>6.20355573526649984</v>
      </c>
      <c r="U14" s="29">
        <f>IF(D14="TEC",((L14+F14+(LOG(G14)*4/3))*0.543)+((M14+F14+(LOG(G14)*4/3))*0.583),((L14+F14+(LOG(G14)*4/3))*0.543)+((M14+F14+(LOG(G14)*4/3))*0.583))</f>
        <v>15.8862644105760005</v>
      </c>
      <c r="V14" s="466">
        <f>T14</f>
        <v>6.20355573526649984</v>
      </c>
      <c r="W14" s="29">
        <f>((J14+F14+(LOG(G14)*4/3))*0.25)</f>
        <v>1.25938375012787995</v>
      </c>
      <c r="X14" s="29">
        <f>((M14+F14+(LOG(G14)*4/3))*0.26)+((K14+F14+(LOG(G14)*4/3))*0.221)+((L14+F14+(LOG(G14)*4/3))*0.142)</f>
        <v>7.65538430531866965</v>
      </c>
      <c r="Y14" s="29">
        <f>((M14+F14+(LOG(G14)*4/3))*1)+((L14+F14+(LOG(G14)*4/3))*0.369)</f>
        <v>20.4793854157002002</v>
      </c>
      <c r="Z14" s="466">
        <f>X14</f>
        <v>7.65538430531866965</v>
      </c>
      <c r="AA14" t="n">
        <v>4750</v>
      </c>
      <c r="AB14" s="288">
        <f>22.4*1.2</f>
        <v>26.879999999999999</v>
      </c>
      <c r="AC14" s="43" t="n">
        <v>900</v>
      </c>
      <c r="AD14" s="43" t="n">
        <v>1500</v>
      </c>
      <c r="AE14" s="471" t="n">
        <v>2300</v>
      </c>
      <c r="AF14" s="27">
        <f>AA14+(AB14*16*(36-B14-((112-C14)/112)))-AC14</f>
        <v>7567.11999999999989</v>
      </c>
      <c r="AG14" s="27">
        <f>AA14+(AB14*16*(34-B14-((112-C14)/112)))-AD14</f>
        <v>6106.96000000000004</v>
      </c>
      <c r="AH14" s="474">
        <f>AA14+(AB14*16*(32-B14-((112-C14)/112)))-AE14</f>
        <v>4446.80000000000018</v>
      </c>
      <c r="AI14" s="27">
        <f>(AF14-AC14)/(36-B14+((112-C14)/112))</f>
        <v>712.516641221374016</v>
      </c>
      <c r="AJ14" s="27">
        <f>(AF14-AD14)/(34-B14+((112-C14)/112))</f>
        <v>824.657087378640995</v>
      </c>
      <c r="AK14" s="474">
        <f>(AF14-AE14)/(32-B14+((112-C14)/112))</f>
        <v>983.19573333333301</v>
      </c>
    </row>
    <row r="15" spans="1:39">
      <c r="A15" s="456" t="s">
        <v>904</v>
      </c>
      <c r="B15" s="280" t="n">
        <v>27</v>
      </c>
      <c r="C15" s="27" t="n">
        <v>103</v>
      </c>
      <c r="D15" s="44" t="s">
        <v>185</v>
      </c>
      <c r="E15" s="451" t="n">
        <v>3</v>
      </c>
      <c r="F15" s="459" t="n">
        <v>1</v>
      </c>
      <c r="G15" s="460" t="n">
        <v>6</v>
      </c>
      <c r="H15" s="38" t="n">
        <v>0</v>
      </c>
      <c r="I15" s="38" t="n">
        <v>4</v>
      </c>
      <c r="J15" s="38" t="n">
        <v>9</v>
      </c>
      <c r="K15" s="38" t="n">
        <v>1</v>
      </c>
      <c r="L15" s="38" t="n">
        <v>14</v>
      </c>
      <c r="M15" s="38" t="n">
        <v>12</v>
      </c>
      <c r="N15" s="463" t="n">
        <v>1</v>
      </c>
      <c r="O15" s="29">
        <f>((J15+F15+(LOG(G15)*4/3))*0.15)</f>
        <v>1.65563025007672993</v>
      </c>
      <c r="P15" s="29">
        <f>((M15+F15+(LOG(G15)*4/3))*0.552)+((K15+F15+(LOG(G15)*4/3))*0.576)+((L15+F15+(LOG(G15)*4/3))*0.195)</f>
        <v>12.6256588056767001</v>
      </c>
      <c r="Q15" s="29">
        <f>((M15+F15+(LOG(G15)*4/3))*0.607)+((L15+F15+(LOG(G15)*4/3))*0.248)</f>
        <v>12.4980924254372994</v>
      </c>
      <c r="R15" s="466">
        <f>((M15+F15+(LOG(G15)*4/3))*0.223)+((K15+F15+(LOG(G15)*4/3))*0)+((L15+F15+(LOG(G15)*4/3))*0)</f>
        <v>3.13037030511407011</v>
      </c>
      <c r="S15" s="29">
        <f>((J15+F15+(LOG(G15)*4/3))*0.406)</f>
        <v>4.48123921020767035</v>
      </c>
      <c r="T15" s="29">
        <f>IF(D15="TEC",((K15+F15+(LOG(G15)*4/3))*0.15)+((L15+F15+(LOG(G15)*4/3))*0.324)+((M15+F15+(LOG(G15)*4/3))*0.127),((K15+F15+(LOG(G15)*4/3))*0.144)+((L15+F15+(LOG(G15)*4/3))*0.25)+((M15+F15+(LOG(G15)*4/3))*0.127))</f>
        <v>6.22955573526649964</v>
      </c>
      <c r="U15" s="29">
        <f>IF(D15="TEC",((L15+F15+(LOG(G15)*4/3))*0.543)+((M15+F15+(LOG(G15)*4/3))*0.583),((L15+F15+(LOG(G15)*4/3))*0.543)+((M15+F15+(LOG(G15)*4/3))*0.583))</f>
        <v>16.8922644105760007</v>
      </c>
      <c r="V15" s="466">
        <f>T15</f>
        <v>6.22955573526649964</v>
      </c>
      <c r="W15" s="29">
        <f>((J15+F15+(LOG(G15)*4/3))*0.25)</f>
        <v>2.75938375012787995</v>
      </c>
      <c r="X15" s="29">
        <f>((M15+F15+(LOG(G15)*4/3))*0.26)+((K15+F15+(LOG(G15)*4/3))*0.221)+((L15+F15+(LOG(G15)*4/3))*0.142)</f>
        <v>6.59838430531867015</v>
      </c>
      <c r="Y15" s="29">
        <f>((M15+F15+(LOG(G15)*4/3))*1)+((L15+F15+(LOG(G15)*4/3))*0.369)</f>
        <v>19.9553854157001993</v>
      </c>
      <c r="Z15" s="466">
        <f>X15</f>
        <v>6.59838430531867015</v>
      </c>
      <c r="AA15" t="n">
        <v>5280</v>
      </c>
      <c r="AB15" s="288" t="n">
        <v>17.5</v>
      </c>
      <c r="AC15" s="43" t="n">
        <v>880</v>
      </c>
      <c r="AD15" s="43" t="n">
        <v>1100</v>
      </c>
      <c r="AE15" s="471" t="n">
        <v>2200</v>
      </c>
      <c r="AF15" s="27">
        <f>AA15+(AB15*16*(36-B15-((112-C15)/112)))-AC15</f>
        <v>6897.5</v>
      </c>
      <c r="AG15" s="27">
        <f>AA15+(AB15*16*(34-B15-((112-C15)/112)))-AD15</f>
        <v>6117.5</v>
      </c>
      <c r="AH15" s="474">
        <f>AA15+(AB15*16*(32-B15-((112-C15)/112)))-AE15</f>
        <v>4457.5</v>
      </c>
      <c r="AI15" s="27">
        <f>(AF15-AC15)/(36-B15+((112-C15)/112))</f>
        <v>662.694198623402031</v>
      </c>
      <c r="AJ15" s="27">
        <f>(AF15-AD15)/(34-B15+((112-C15)/112))</f>
        <v>818.814627994956027</v>
      </c>
      <c r="AK15" s="474">
        <f>(AF15-AE15)/(32-B15+((112-C15)/112))</f>
        <v>924.63971880492204</v>
      </c>
      <c r="AL15" s="357"/>
      <c r="AM15" s="357"/>
    </row>
    <row r="16" spans="1:37">
      <c r="A16" s="457" t="s">
        <v>905</v>
      </c>
      <c r="B16" s="280" t="n">
        <v>27</v>
      </c>
      <c r="C16" s="27" t="n">
        <v>10</v>
      </c>
      <c r="D16" s="44" t="s">
        <v>175</v>
      </c>
      <c r="E16" s="451" t="n">
        <v>3</v>
      </c>
      <c r="F16" s="459" t="n">
        <v>1</v>
      </c>
      <c r="G16" s="460" t="n">
        <v>5</v>
      </c>
      <c r="H16" s="38" t="n">
        <v>0</v>
      </c>
      <c r="I16" s="38" t="n">
        <v>1</v>
      </c>
      <c r="J16" s="38" t="n">
        <v>4</v>
      </c>
      <c r="K16" s="38" t="n">
        <v>2</v>
      </c>
      <c r="L16" s="38" t="n">
        <v>14</v>
      </c>
      <c r="M16" s="38" t="n">
        <v>13</v>
      </c>
      <c r="N16" s="463" t="n">
        <v>2</v>
      </c>
      <c r="O16" s="29">
        <f>((J16+F16+(LOG(G16)*4/3))*0.15)</f>
        <v>0.889794000867203927</v>
      </c>
      <c r="P16" s="29">
        <f>((M16+F16+(LOG(G16)*4/3))*0.552)+((K16+F16+(LOG(G16)*4/3))*0.576)+((L16+F16+(LOG(G16)*4/3))*0.195)</f>
        <v>13.6139830876487995</v>
      </c>
      <c r="Q16" s="29">
        <f>((M16+F16+(LOG(G16)*4/3))*0.607)+((L16+F16+(LOG(G16)*4/3))*0.248)</f>
        <v>13.0148258049431007</v>
      </c>
      <c r="R16" s="466">
        <f>((M16+F16+(LOG(G16)*4/3))*0.223)+((K16+F16+(LOG(G16)*4/3))*0)+((L16+F16+(LOG(G16)*4/3))*0)</f>
        <v>3.32982708128924987</v>
      </c>
      <c r="S16" s="29">
        <f>((J16+F16+(LOG(G16)*4/3))*0.406)</f>
        <v>2.40837576234723016</v>
      </c>
      <c r="T16" s="29">
        <f>IF(D16="TEC",((K16+F16+(LOG(G16)*4/3))*0.15)+((L16+F16+(LOG(G16)*4/3))*0.324)+((M16+F16+(LOG(G16)*4/3))*0.127),((K16+F16+(LOG(G16)*4/3))*0.144)+((L16+F16+(LOG(G16)*4/3))*0.25)+((M16+F16+(LOG(G16)*4/3))*0.127))</f>
        <v>6.44555116301210962</v>
      </c>
      <c r="U16" s="29">
        <f>IF(D16="TEC",((L16+F16+(LOG(G16)*4/3))*0.543)+((M16+F16+(LOG(G16)*4/3))*0.583),((L16+F16+(LOG(G16)*4/3))*0.543)+((M16+F16+(LOG(G16)*4/3))*0.583))</f>
        <v>17.3563869665098984</v>
      </c>
      <c r="V16" s="466">
        <f>T16</f>
        <v>6.44555116301210962</v>
      </c>
      <c r="W16" s="29">
        <f>((J16+F16+(LOG(G16)*4/3))*0.25)</f>
        <v>1.48299000144534006</v>
      </c>
      <c r="X16" s="29">
        <f>((M16+F16+(LOG(G16)*4/3))*0.26)+((K16+F16+(LOG(G16)*4/3))*0.221)+((L16+F16+(LOG(G16)*4/3))*0.142)</f>
        <v>7.01361108360180019</v>
      </c>
      <c r="Y16" s="29">
        <f>((M16+F16+(LOG(G16)*4/3))*1)+((L16+F16+(LOG(G16)*4/3))*0.369)</f>
        <v>20.8108532479147001</v>
      </c>
      <c r="Z16" s="466">
        <f>X16</f>
        <v>7.01361108360180019</v>
      </c>
      <c r="AA16" t="n">
        <v>5500</v>
      </c>
      <c r="AB16" s="288" t="n">
        <v>23.1999999999999993</v>
      </c>
      <c r="AC16" s="43" t="n">
        <v>1200</v>
      </c>
      <c r="AD16" s="43" t="n">
        <v>1500</v>
      </c>
      <c r="AE16" s="471" t="n">
        <v>1900</v>
      </c>
      <c r="AF16" s="27">
        <f>AA16+(AB16*16*(36-B16-((112-C16)/112)))-AC16</f>
        <v>7302.74285714285998</v>
      </c>
      <c r="AG16" s="27">
        <f>AA16+(AB16*16*(34-B16-((112-C16)/112)))-AD16</f>
        <v>6260.34285714286034</v>
      </c>
      <c r="AH16" s="474">
        <f>AA16+(AB16*16*(32-B16-((112-C16)/112)))-AE16</f>
        <v>5117.94285714285979</v>
      </c>
      <c r="AI16" s="27">
        <f>(AF16-AC16)/(36-B16+((112-C16)/112))</f>
        <v>615.772252252251974</v>
      </c>
      <c r="AJ16" s="27">
        <f>(AF16-AD16)/(34-B16+((112-C16)/112))</f>
        <v>733.529571106094977</v>
      </c>
      <c r="AK16" s="474">
        <f>(AF16-AE16)/(32-B16+((112-C16)/112))</f>
        <v>914.059214501510041</v>
      </c>
    </row>
    <row r="17" spans="1:37">
      <c r="A17" s="456" t="s">
        <v>906</v>
      </c>
      <c r="B17" s="280" t="n">
        <v>26</v>
      </c>
      <c r="C17" s="27" t="n">
        <v>100</v>
      </c>
      <c r="D17" s="44" t="s">
        <v>172</v>
      </c>
      <c r="E17" s="451" t="n">
        <v>4</v>
      </c>
      <c r="F17" s="459" t="n">
        <v>1</v>
      </c>
      <c r="G17" s="460" t="n">
        <v>5</v>
      </c>
      <c r="H17" s="38" t="n">
        <v>0</v>
      </c>
      <c r="I17" s="38" t="n">
        <v>3</v>
      </c>
      <c r="J17" s="38" t="n">
        <v>9</v>
      </c>
      <c r="K17" s="38" t="n">
        <v>5</v>
      </c>
      <c r="L17" s="38" t="n">
        <v>12</v>
      </c>
      <c r="M17" s="38" t="n">
        <v>12</v>
      </c>
      <c r="N17" s="463" t="n">
        <v>6</v>
      </c>
      <c r="O17" s="29">
        <f>((J17+F17+(LOG(G17)*4/3))*0.15)</f>
        <v>1.63979400086721006</v>
      </c>
      <c r="P17" s="29">
        <f>((M17+F17+(LOG(G17)*4/3))*0.552)+((K17+F17+(LOG(G17)*4/3))*0.576)+((L17+F17+(LOG(G17)*4/3))*0.195)</f>
        <v>14.3999830876488009</v>
      </c>
      <c r="Q17" s="29">
        <f>((M17+F17+(LOG(G17)*4/3))*0.607)+((L17+F17+(LOG(G17)*4/3))*0.248)</f>
        <v>11.9118258049430992</v>
      </c>
      <c r="R17" s="466">
        <f>((M17+F17+(LOG(G17)*4/3))*0.223)+((K17+F17+(LOG(G17)*4/3))*0)+((L17+F17+(LOG(G17)*4/3))*0)</f>
        <v>3.10682708128925</v>
      </c>
      <c r="S17" s="29">
        <f>((J17+F17+(LOG(G17)*4/3))*0.406)</f>
        <v>4.43837576234724995</v>
      </c>
      <c r="T17" s="29">
        <f>IF(D17="TEC",((K17+F17+(LOG(G17)*4/3))*0.15)+((L17+F17+(LOG(G17)*4/3))*0.324)+((M17+F17+(LOG(G17)*4/3))*0.127),((K17+F17+(LOG(G17)*4/3))*0.144)+((L17+F17+(LOG(G17)*4/3))*0.25)+((M17+F17+(LOG(G17)*4/3))*0.127))</f>
        <v>6.25055116301211022</v>
      </c>
      <c r="U17" s="29">
        <f>IF(D17="TEC",((L17+F17+(LOG(G17)*4/3))*0.543)+((M17+F17+(LOG(G17)*4/3))*0.583),((L17+F17+(LOG(G17)*4/3))*0.543)+((M17+F17+(LOG(G17)*4/3))*0.583))</f>
        <v>15.6873869665098997</v>
      </c>
      <c r="V17" s="466">
        <f>T17</f>
        <v>6.25055116301211022</v>
      </c>
      <c r="W17" s="29">
        <f>((J17+F17+(LOG(G17)*4/3))*0.25)</f>
        <v>2.73299000144535009</v>
      </c>
      <c r="X17" s="29">
        <f>((M17+F17+(LOG(G17)*4/3))*0.26)+((K17+F17+(LOG(G17)*4/3))*0.221)+((L17+F17+(LOG(G17)*4/3))*0.142)</f>
        <v>7.13261108360179996</v>
      </c>
      <c r="Y17" s="29">
        <f>((M17+F17+(LOG(G17)*4/3))*1)+((L17+F17+(LOG(G17)*4/3))*0.369)</f>
        <v>19.0728532479147006</v>
      </c>
      <c r="Z17" s="466">
        <f>X17</f>
        <v>7.13261108360179996</v>
      </c>
      <c r="AA17" t="n">
        <v>4300</v>
      </c>
      <c r="AB17" s="288" t="n">
        <v>13</v>
      </c>
      <c r="AE17" s="471"/>
      <c r="AF17" s="27">
        <f>AA17+(AB17*16*(36-B17-((112-C17)/112)))-AC17</f>
        <v>6357.71428571428987</v>
      </c>
      <c r="AG17" s="27">
        <f>AA17+(AB17*16*(34-B17-((112-C17)/112)))-AD17</f>
        <v>5941.71428571428987</v>
      </c>
      <c r="AH17" s="474">
        <f>AA17+(AB17*16*(32-B17-((112-C17)/112)))-AE17</f>
        <v>5525.71428571428987</v>
      </c>
      <c r="AI17" s="27">
        <f>(AF17-AC17)/(36-B17+((112-C17)/112))</f>
        <v>629.031802120138991</v>
      </c>
      <c r="AJ17" s="27">
        <f>(AF17-AD17)/(34-B17+((112-C17)/112))</f>
        <v>784.211453744493951</v>
      </c>
      <c r="AK17" s="474">
        <f>(AF17-AE17)/(32-B17+((112-C17)/112))</f>
        <v>1041.02923976608008</v>
      </c>
    </row>
    <row r="18" spans="1:37">
      <c r="A18" s="456" t="s">
        <v>907</v>
      </c>
      <c r="B18" s="280" t="n">
        <v>28</v>
      </c>
      <c r="C18" s="27" t="n">
        <v>77</v>
      </c>
      <c r="D18" s="44" t="s">
        <v>175</v>
      </c>
      <c r="E18" s="451" t="n">
        <v>4</v>
      </c>
      <c r="F18" s="459" t="n">
        <v>1</v>
      </c>
      <c r="G18" s="460" t="n">
        <v>9</v>
      </c>
      <c r="H18" s="38" t="n">
        <v>0</v>
      </c>
      <c r="I18" s="38" t="n">
        <v>4</v>
      </c>
      <c r="J18" s="38" t="n">
        <v>9</v>
      </c>
      <c r="K18" s="38" t="n">
        <v>14</v>
      </c>
      <c r="L18" s="38" t="n">
        <v>13</v>
      </c>
      <c r="M18" s="38" t="n">
        <v>13</v>
      </c>
      <c r="N18" s="463" t="n">
        <v>2</v>
      </c>
      <c r="O18" s="29">
        <f>((J18+F18+(LOG(G18)*4/3))*0.15)</f>
        <v>1.69084850188787001</v>
      </c>
      <c r="P18" s="29">
        <f>((M18+F18+(LOG(G18)*4/3))*0.552)+((K18+F18+(LOG(G18)*4/3))*0.576)+((L18+F18+(LOG(G18)*4/3))*0.195)</f>
        <v>20.7812837866508993</v>
      </c>
      <c r="Q18" s="29">
        <f>((M18+F18+(LOG(G18)*4/3))*0.607)+((L18+F18+(LOG(G18)*4/3))*0.248)</f>
        <v>13.0578364607608002</v>
      </c>
      <c r="R18" s="466">
        <f>((M18+F18+(LOG(G18)*4/3))*0.223)+((K18+F18+(LOG(G18)*4/3))*0)+((L18+F18+(LOG(G18)*4/3))*0)</f>
        <v>3.4057281061399598</v>
      </c>
      <c r="S18" s="29">
        <f>((J18+F18+(LOG(G18)*4/3))*0.406)</f>
        <v>4.57656327844316024</v>
      </c>
      <c r="T18" s="29">
        <f>IF(D18="TEC",((K18+F18+(LOG(G18)*4/3))*0.15)+((L18+F18+(LOG(G18)*4/3))*0.324)+((M18+F18+(LOG(G18)*4/3))*0.127),((K18+F18+(LOG(G18)*4/3))*0.144)+((L18+F18+(LOG(G18)*4/3))*0.25)+((M18+F18+(LOG(G18)*4/3))*0.127))</f>
        <v>8.10088046322385935</v>
      </c>
      <c r="U18" s="29">
        <f>IF(D18="TEC",((L18+F18+(LOG(G18)*4/3))*0.543)+((M18+F18+(LOG(G18)*4/3))*0.583),((L18+F18+(LOG(G18)*4/3))*0.543)+((M18+F18+(LOG(G18)*4/3))*0.583))</f>
        <v>17.1966360875048991</v>
      </c>
      <c r="V18" s="466">
        <f>T18</f>
        <v>8.10088046322385935</v>
      </c>
      <c r="W18" s="29">
        <f>((J18+F18+(LOG(G18)*4/3))*0.25)</f>
        <v>2.8180808364797798</v>
      </c>
      <c r="X18" s="29">
        <f>((M18+F18+(LOG(G18)*4/3))*0.26)+((K18+F18+(LOG(G18)*4/3))*0.221)+((L18+F18+(LOG(G18)*4/3))*0.142)</f>
        <v>9.73565744450760029</v>
      </c>
      <c r="Y18" s="29">
        <f>((M18+F18+(LOG(G18)*4/3))*1)+((L18+F18+(LOG(G18)*4/3))*0.369)</f>
        <v>20.9078106605632996</v>
      </c>
      <c r="Z18" s="466">
        <f>X18</f>
        <v>9.73565744450760029</v>
      </c>
      <c r="AA18" t="n">
        <v>9900</v>
      </c>
      <c r="AB18" s="288">
        <f>23.2*1.2</f>
        <v>27.8399999999999999</v>
      </c>
      <c r="AC18" s="43" t="n">
        <v>2500</v>
      </c>
      <c r="AD18" s="43" t="n">
        <v>4500</v>
      </c>
      <c r="AE18" s="471" t="n">
        <v>6000</v>
      </c>
      <c r="AF18" s="27">
        <f>AA18+(AB18*16*(36-B18-((112-C18)/112)))-AC18</f>
        <v>10824.3199999999997</v>
      </c>
      <c r="AG18" s="27">
        <f>AA18+(AB18*16*(34-B18-((112-C18)/112)))-AD18</f>
        <v>7933.4399999999996</v>
      </c>
      <c r="AH18" s="474">
        <f>AA18+(AB18*16*(32-B18-((112-C18)/112)))-AE18</f>
        <v>5542.5600000000004</v>
      </c>
      <c r="AI18" s="27">
        <f>(AF18-AC18)/(36-B18+((112-C18)/112))</f>
        <v>1001.42195488721995</v>
      </c>
      <c r="AJ18" s="27">
        <f>(AF18-AD18)/(34-B18+((112-C18)/112))</f>
        <v>1001.87247524752001</v>
      </c>
      <c r="AK18" s="474">
        <f>(AF18-AE18)/(32-B18+((112-C18)/112))</f>
        <v>1118.68289855071998</v>
      </c>
    </row>
    <row r="19" spans="1:37">
      <c r="A19" s="456" t="s">
        <v>908</v>
      </c>
      <c r="B19" s="280" t="n">
        <v>23</v>
      </c>
      <c r="C19" s="27" t="n">
        <v>55</v>
      </c>
      <c r="D19" s="44" t="s">
        <v>175</v>
      </c>
      <c r="E19" s="451" t="n">
        <v>2</v>
      </c>
      <c r="F19" s="459" t="n">
        <v>1</v>
      </c>
      <c r="G19" s="460" t="n">
        <v>3</v>
      </c>
      <c r="H19" s="38" t="n">
        <v>0</v>
      </c>
      <c r="I19" s="38" t="n">
        <v>4</v>
      </c>
      <c r="J19" s="38" t="n">
        <v>4</v>
      </c>
      <c r="K19" s="38" t="n">
        <v>4</v>
      </c>
      <c r="L19" s="38" t="n">
        <v>8</v>
      </c>
      <c r="M19" s="38" t="n">
        <v>13</v>
      </c>
      <c r="N19" s="463" t="n">
        <v>0</v>
      </c>
      <c r="O19" s="29">
        <f>((J19+F19+(LOG(G19)*4/3))*0.15)</f>
        <v>0.845424250943933053</v>
      </c>
      <c r="P19" s="29">
        <f>((M19+F19+(LOG(G19)*4/3))*0.552)+((K19+F19+(LOG(G19)*4/3))*0.576)+((L19+F19+(LOG(G19)*4/3))*0.195)</f>
        <v>13.2046418933254994</v>
      </c>
      <c r="Q19" s="29">
        <f>((M19+F19+(LOG(G19)*4/3))*0.607)+((L19+F19+(LOG(G19)*4/3))*0.248)</f>
        <v>11.2739182303805006</v>
      </c>
      <c r="R19" s="466">
        <f>((M19+F19+(LOG(G19)*4/3))*0.223)+((K19+F19+(LOG(G19)*4/3))*0)+((L19+F19+(LOG(G19)*4/3))*0)</f>
        <v>3.26386405306999006</v>
      </c>
      <c r="S19" s="29">
        <f>((J19+F19+(LOG(G19)*4/3))*0.406)</f>
        <v>2.28828163922158012</v>
      </c>
      <c r="T19" s="29">
        <f>IF(D19="TEC",((K19+F19+(LOG(G19)*4/3))*0.15)+((L19+F19+(LOG(G19)*4/3))*0.324)+((M19+F19+(LOG(G19)*4/3))*0.127),((K19+F19+(LOG(G19)*4/3))*0.144)+((L19+F19+(LOG(G19)*4/3))*0.25)+((M19+F19+(LOG(G19)*4/3))*0.127))</f>
        <v>5.07944023161194025</v>
      </c>
      <c r="U19" s="29">
        <f>IF(D19="TEC",((L19+F19+(LOG(G19)*4/3))*0.543)+((M19+F19+(LOG(G19)*4/3))*0.583),((L19+F19+(LOG(G19)*4/3))*0.543)+((M19+F19+(LOG(G19)*4/3))*0.583))</f>
        <v>13.7653180437524991</v>
      </c>
      <c r="V19" s="466">
        <f>T19</f>
        <v>5.07944023161194025</v>
      </c>
      <c r="W19" s="29">
        <f>((J19+F19+(LOG(G19)*4/3))*0.25)</f>
        <v>1.4090404182398899</v>
      </c>
      <c r="X19" s="29">
        <f>((M19+F19+(LOG(G19)*4/3))*0.26)+((K19+F19+(LOG(G19)*4/3))*0.221)+((L19+F19+(LOG(G19)*4/3))*0.142)</f>
        <v>6.41932872225381956</v>
      </c>
      <c r="Y19" s="29">
        <f>((M19+F19+(LOG(G19)*4/3))*1)+((L19+F19+(LOG(G19)*4/3))*0.369)</f>
        <v>18.1919053302816991</v>
      </c>
      <c r="Z19" s="466">
        <f>X19</f>
        <v>6.41932872225381956</v>
      </c>
      <c r="AA19" t="n">
        <v>3770</v>
      </c>
      <c r="AB19" s="288" t="n">
        <v>13.8000000000000007</v>
      </c>
      <c r="AE19" s="471"/>
      <c r="AF19" s="27">
        <f>AA19+(AB19*16*(36-B19-((112-C19)/112)))-AC19</f>
        <v>6528.0285714285701</v>
      </c>
      <c r="AG19" s="27">
        <f>AA19+(AB19*16*(34-B19-((112-C19)/112)))-AD19</f>
        <v>6086.42857142856974</v>
      </c>
      <c r="AH19" s="474">
        <f>AA19+(AB19*16*(32-B19-((112-C19)/112)))-AE19</f>
        <v>5644.82857142857029</v>
      </c>
      <c r="AI19" s="27">
        <f>(AF19-AC19)/(36-B19+((112-C19)/112))</f>
        <v>483.238070059482993</v>
      </c>
      <c r="AJ19" s="27">
        <f>(AF19-AD19)/(34-B19+((112-C19)/112))</f>
        <v>567.214274631495982</v>
      </c>
      <c r="AK19" s="474">
        <f>(AF19-AE19)/(32-B19+((112-C19)/112))</f>
        <v>686.515680751174045</v>
      </c>
    </row>
    <row r="20" spans="1:37">
      <c r="A20" s="456" t="s">
        <v>909</v>
      </c>
      <c r="B20" s="280" t="n">
        <v>23</v>
      </c>
      <c r="C20" s="27" t="n">
        <v>108</v>
      </c>
      <c r="D20" s="44" t="s">
        <v>172</v>
      </c>
      <c r="E20" s="451" t="n">
        <v>3</v>
      </c>
      <c r="F20" s="459" t="n">
        <v>1</v>
      </c>
      <c r="G20" s="460" t="n">
        <v>3</v>
      </c>
      <c r="H20" s="38" t="n">
        <v>0</v>
      </c>
      <c r="I20" s="38" t="n">
        <v>3</v>
      </c>
      <c r="J20" s="38" t="n">
        <v>4</v>
      </c>
      <c r="K20" s="38" t="n">
        <v>1</v>
      </c>
      <c r="L20" s="38" t="n">
        <v>12</v>
      </c>
      <c r="M20" s="38" t="n">
        <v>12</v>
      </c>
      <c r="N20" s="463" t="n">
        <v>3</v>
      </c>
      <c r="O20" s="29">
        <f>((J20+F20+(LOG(G20)*4/3))*0.15)</f>
        <v>0.845424250943933053</v>
      </c>
      <c r="P20" s="29">
        <f>((M20+F20+(LOG(G20)*4/3))*0.552)+((K20+F20+(LOG(G20)*4/3))*0.576)+((L20+F20+(LOG(G20)*4/3))*0.195)</f>
        <v>11.7046418933254994</v>
      </c>
      <c r="Q20" s="29">
        <f>((M20+F20+(LOG(G20)*4/3))*0.607)+((L20+F20+(LOG(G20)*4/3))*0.248)</f>
        <v>11.6589182303805003</v>
      </c>
      <c r="R20" s="466">
        <f>((M20+F20+(LOG(G20)*4/3))*0.223)+((K20+F20+(LOG(G20)*4/3))*0)+((L20+F20+(LOG(G20)*4/3))*0)</f>
        <v>3.04086405306999019</v>
      </c>
      <c r="S20" s="29">
        <f>((J20+F20+(LOG(G20)*4/3))*0.406)</f>
        <v>2.28828163922158012</v>
      </c>
      <c r="T20" s="29">
        <f>IF(D20="TEC",((K20+F20+(LOG(G20)*4/3))*0.15)+((L20+F20+(LOG(G20)*4/3))*0.324)+((M20+F20+(LOG(G20)*4/3))*0.127),((K20+F20+(LOG(G20)*4/3))*0.144)+((L20+F20+(LOG(G20)*4/3))*0.25)+((M20+F20+(LOG(G20)*4/3))*0.127))</f>
        <v>5.52044023161194986</v>
      </c>
      <c r="U20" s="29">
        <f>IF(D20="TEC",((L20+F20+(LOG(G20)*4/3))*0.543)+((M20+F20+(LOG(G20)*4/3))*0.583),((L20+F20+(LOG(G20)*4/3))*0.543)+((M20+F20+(LOG(G20)*4/3))*0.583))</f>
        <v>15.3543180437524995</v>
      </c>
      <c r="V20" s="466">
        <f>T20</f>
        <v>5.52044023161194986</v>
      </c>
      <c r="W20" s="29">
        <f>((J20+F20+(LOG(G20)*4/3))*0.25)</f>
        <v>1.4090404182398899</v>
      </c>
      <c r="X20" s="29">
        <f>((M20+F20+(LOG(G20)*4/3))*0.26)+((K20+F20+(LOG(G20)*4/3))*0.221)+((L20+F20+(LOG(G20)*4/3))*0.142)</f>
        <v>6.06432872225382003</v>
      </c>
      <c r="Y20" s="29">
        <f>((M20+F20+(LOG(G20)*4/3))*1)+((L20+F20+(LOG(G20)*4/3))*0.369)</f>
        <v>18.6679053302817017</v>
      </c>
      <c r="Z20" s="466">
        <f>X20</f>
        <v>6.06432872225382003</v>
      </c>
      <c r="AA20" t="n">
        <v>4250</v>
      </c>
      <c r="AB20" s="288" t="n">
        <v>11.1999999999999993</v>
      </c>
      <c r="AE20" s="471"/>
      <c r="AF20" s="27">
        <f>AA20+(AB20*16*(36-B20-((112-C20)/112)))-AC20</f>
        <v>6573.19999999999982</v>
      </c>
      <c r="AG20" s="27">
        <f>AA20+(AB20*16*(34-B20-((112-C20)/112)))-AD20</f>
        <v>6214.80000000000018</v>
      </c>
      <c r="AH20" s="474">
        <f>AA20+(AB20*16*(32-B20-((112-C20)/112)))-AE20</f>
        <v>5856.39999999999964</v>
      </c>
      <c r="AI20" s="27">
        <f>(AF20-AC20)/(36-B20+((112-C20)/112))</f>
        <v>504.245479452053985</v>
      </c>
      <c r="AJ20" s="27">
        <f>(AF20-AD20)/(34-B20+((112-C20)/112))</f>
        <v>595.629773462782964</v>
      </c>
      <c r="AK20" s="474">
        <f>(AF20-AE20)/(32-B20+((112-C20)/112))</f>
        <v>727.46877470355696</v>
      </c>
    </row>
    <row r="21" spans="1:37">
      <c r="A21" s="456" t="s">
        <v>910</v>
      </c>
      <c r="B21" s="280" t="n">
        <v>25</v>
      </c>
      <c r="C21" s="27" t="n">
        <v>86</v>
      </c>
      <c r="D21" s="44" t="s">
        <v>185</v>
      </c>
      <c r="E21" s="451" t="n">
        <v>6</v>
      </c>
      <c r="F21" s="459" t="n">
        <v>1</v>
      </c>
      <c r="G21" s="460" t="n">
        <v>4</v>
      </c>
      <c r="H21" s="38" t="n">
        <v>0</v>
      </c>
      <c r="I21" s="38" t="n">
        <v>2</v>
      </c>
      <c r="J21" s="38" t="n">
        <v>9</v>
      </c>
      <c r="K21" s="38" t="n">
        <v>9</v>
      </c>
      <c r="L21" s="38" t="n">
        <v>8</v>
      </c>
      <c r="M21" s="38" t="n">
        <v>12</v>
      </c>
      <c r="N21" s="463" t="n">
        <v>2</v>
      </c>
      <c r="O21" s="29">
        <f>((J21+F21+(LOG(G21)*4/3))*0.15)</f>
        <v>1.62041199826559996</v>
      </c>
      <c r="P21" s="29">
        <f>((M21+F21+(LOG(G21)*4/3))*0.552)+((K21+F21+(LOG(G21)*4/3))*0.576)+((L21+F21+(LOG(G21)*4/3))*0.195)</f>
        <v>15.7530338247025998</v>
      </c>
      <c r="Q21" s="29">
        <f>((M21+F21+(LOG(G21)*4/3))*0.607)+((L21+F21+(LOG(G21)*4/3))*0.248)</f>
        <v>10.8093483901139003</v>
      </c>
      <c r="R21" s="466">
        <f>((M21+F21+(LOG(G21)*4/3))*0.223)+((K21+F21+(LOG(G21)*4/3))*0)+((L21+F21+(LOG(G21)*4/3))*0)</f>
        <v>3.07801250408819005</v>
      </c>
      <c r="S21" s="29">
        <f>((J21+F21+(LOG(G21)*4/3))*0.406)</f>
        <v>4.3859151419722302</v>
      </c>
      <c r="T21" s="29">
        <f>IF(D21="TEC",((K21+F21+(LOG(G21)*4/3))*0.15)+((L21+F21+(LOG(G21)*4/3))*0.324)+((M21+F21+(LOG(G21)*4/3))*0.127),((K21+F21+(LOG(G21)*4/3))*0.144)+((L21+F21+(LOG(G21)*4/3))*0.25)+((M21+F21+(LOG(G21)*4/3))*0.127))</f>
        <v>5.7592310073091797</v>
      </c>
      <c r="U21" s="29">
        <f>IF(D21="TEC",((L21+F21+(LOG(G21)*4/3))*0.543)+((M21+F21+(LOG(G21)*4/3))*0.583),((L21+F21+(LOG(G21)*4/3))*0.543)+((M21+F21+(LOG(G21)*4/3))*0.583))</f>
        <v>13.3698927336471005</v>
      </c>
      <c r="V21" s="466">
        <f>T21</f>
        <v>5.7592310073091797</v>
      </c>
      <c r="W21" s="29">
        <f>((J21+F21+(LOG(G21)*4/3))*0.25)</f>
        <v>2.70068666377600008</v>
      </c>
      <c r="X21" s="29">
        <f>((M21+F21+(LOG(G21)*4/3))*0.26)+((K21+F21+(LOG(G21)*4/3))*0.221)+((L21+F21+(LOG(G21)*4/3))*0.142)</f>
        <v>7.36811116612978001</v>
      </c>
      <c r="Y21" s="29">
        <f>((M21+F21+(LOG(G21)*4/3))*1)+((L21+F21+(LOG(G21)*4/3))*0.369)</f>
        <v>17.419960170837399</v>
      </c>
      <c r="Z21" s="466">
        <f>X21</f>
        <v>7.36811116612978001</v>
      </c>
      <c r="AA21" t="n">
        <v>6600</v>
      </c>
      <c r="AB21" s="288" t="n">
        <v>11.8000000000000007</v>
      </c>
      <c r="AC21" s="43" t="n">
        <v>900</v>
      </c>
      <c r="AD21" s="43" t="n">
        <v>1800</v>
      </c>
      <c r="AE21" s="471" t="n">
        <v>1820</v>
      </c>
      <c r="AF21" s="27">
        <f>AA21+(AB21*16*(36-B21-((112-C21)/112)))-AC21</f>
        <v>7732.97142857141989</v>
      </c>
      <c r="AG21" s="27">
        <f>AA21+(AB21*16*(34-B21-((112-C21)/112)))-AD21</f>
        <v>6455.37142857143044</v>
      </c>
      <c r="AH21" s="474">
        <f>AA21+(AB21*16*(32-B21-((112-C21)/112)))-AE21</f>
        <v>6057.77142857143008</v>
      </c>
      <c r="AI21" s="27">
        <f>(AF21-AC21)/(36-B21+((112-C21)/112))</f>
        <v>608.340858505560959</v>
      </c>
      <c r="AJ21" s="27">
        <f>(AF21-AD21)/(34-B21+((112-C21)/112))</f>
        <v>642.642940038683946</v>
      </c>
      <c r="AK21" s="474">
        <f>(AF21-AE21)/(32-B21+((112-C21)/112))</f>
        <v>817.596049382715023</v>
      </c>
    </row>
    <row r="22" spans="1:37">
      <c r="A22" s="456" t="s">
        <v>911</v>
      </c>
      <c r="B22" s="280" t="n">
        <v>27</v>
      </c>
      <c r="C22" s="27" t="n">
        <v>38</v>
      </c>
      <c r="D22" s="44" t="s">
        <v>172</v>
      </c>
      <c r="E22" s="451" t="n">
        <v>2</v>
      </c>
      <c r="F22" s="459" t="n">
        <v>1</v>
      </c>
      <c r="G22" s="460" t="n">
        <v>6</v>
      </c>
      <c r="H22" s="38" t="n">
        <v>0</v>
      </c>
      <c r="I22" s="38" t="n">
        <v>3</v>
      </c>
      <c r="J22" s="38" t="n">
        <v>14</v>
      </c>
      <c r="K22" s="38" t="n">
        <v>9</v>
      </c>
      <c r="L22" s="38" t="n">
        <v>2</v>
      </c>
      <c r="M22" s="38" t="n">
        <v>13</v>
      </c>
      <c r="N22" s="463" t="n">
        <v>15</v>
      </c>
      <c r="O22" s="29">
        <f>((J22+F22+(LOG(G22)*4/3))*0.15)</f>
        <v>2.40563025007672993</v>
      </c>
      <c r="P22" s="29">
        <f>((M22+F22+(LOG(G22)*4/3))*0.552)+((K22+F22+(LOG(G22)*4/3))*0.576)+((L22+F22+(LOG(G22)*4/3))*0.195)</f>
        <v>15.4456588056767998</v>
      </c>
      <c r="Q22" s="29">
        <f>((M22+F22+(LOG(G22)*4/3))*0.607)+((L22+F22+(LOG(G22)*4/3))*0.248)</f>
        <v>10.1290924254372996</v>
      </c>
      <c r="R22" s="466">
        <f>((M22+F22+(LOG(G22)*4/3))*0.223)+((K22+F22+(LOG(G22)*4/3))*0)+((L22+F22+(LOG(G22)*4/3))*0)</f>
        <v>3.35337030511406997</v>
      </c>
      <c r="S22" s="29">
        <f>((J22+F22+(LOG(G22)*4/3))*0.406)</f>
        <v>6.51123921020766971</v>
      </c>
      <c r="T22" s="29">
        <f>IF(D22="TEC",((K22+F22+(LOG(G22)*4/3))*0.15)+((L22+F22+(LOG(G22)*4/3))*0.324)+((M22+F22+(LOG(G22)*4/3))*0.127),((K22+F22+(LOG(G22)*4/3))*0.144)+((L22+F22+(LOG(G22)*4/3))*0.25)+((M22+F22+(LOG(G22)*4/3))*0.127))</f>
        <v>4.50855573526650044</v>
      </c>
      <c r="U22" s="29">
        <f>IF(D22="TEC",((L22+F22+(LOG(G22)*4/3))*0.543)+((M22+F22+(LOG(G22)*4/3))*0.583),((L22+F22+(LOG(G22)*4/3))*0.543)+((M22+F22+(LOG(G22)*4/3))*0.583))</f>
        <v>10.9592644105760009</v>
      </c>
      <c r="V22" s="466">
        <f>T22</f>
        <v>4.50855573526650044</v>
      </c>
      <c r="W22" s="29">
        <f>((J22+F22+(LOG(G22)*4/3))*0.25)</f>
        <v>4.0093837501278804</v>
      </c>
      <c r="X22" s="29">
        <f>((M22+F22+(LOG(G22)*4/3))*0.26)+((K22+F22+(LOG(G22)*4/3))*0.221)+((L22+F22+(LOG(G22)*4/3))*0.142)</f>
        <v>6.92238430531866999</v>
      </c>
      <c r="Y22" s="29">
        <f>((M22+F22+(LOG(G22)*4/3))*1)+((L22+F22+(LOG(G22)*4/3))*0.369)</f>
        <v>16.5273854157003015</v>
      </c>
      <c r="Z22" s="466">
        <f>X22</f>
        <v>6.92238430531866999</v>
      </c>
      <c r="AA22" t="n">
        <v>6000</v>
      </c>
      <c r="AB22" s="288">
        <f>32.8*1.2</f>
        <v>39.3599999999999994</v>
      </c>
      <c r="AC22" s="43" t="n">
        <v>500</v>
      </c>
      <c r="AD22" s="43" t="n">
        <v>1400</v>
      </c>
      <c r="AE22" s="471" t="n">
        <v>2400</v>
      </c>
      <c r="AF22" s="27">
        <f>AA22+(AB22*16*(36-B22-((112-C22)/112)))-AC22</f>
        <v>10751.7485714285995</v>
      </c>
      <c r="AG22" s="27">
        <f>AA22+(AB22*16*(34-B22-((112-C22)/112)))-AD22</f>
        <v>8592.22857142856992</v>
      </c>
      <c r="AH22" s="474">
        <f>AA22+(AB22*16*(32-B22-((112-C22)/112)))-AE22</f>
        <v>6332.70857142857039</v>
      </c>
      <c r="AI22" s="27">
        <f>(AF22-AC22)/(36-B22+((112-C22)/112))</f>
        <v>1061.17914972274002</v>
      </c>
      <c r="AJ22" s="27">
        <f>(AF22-AD22)/(34-B22+((112-C22)/112))</f>
        <v>1220.74107226108003</v>
      </c>
      <c r="AK22" s="474">
        <f>(AF22-AE22)/(32-B22+((112-C22)/112))</f>
        <v>1475.38776025237007</v>
      </c>
    </row>
    <row r="23" spans="1:37">
      <c r="A23" s="456" t="s">
        <v>912</v>
      </c>
      <c r="B23" s="280" t="n">
        <v>23</v>
      </c>
      <c r="C23" s="27" t="n">
        <v>39</v>
      </c>
      <c r="D23" s="44" t="s">
        <v>172</v>
      </c>
      <c r="E23" s="451" t="n">
        <v>5</v>
      </c>
      <c r="F23" s="459" t="n">
        <v>1</v>
      </c>
      <c r="G23" s="460" t="n">
        <v>3</v>
      </c>
      <c r="H23" s="38" t="n">
        <v>0</v>
      </c>
      <c r="I23" s="38" t="n">
        <v>2</v>
      </c>
      <c r="J23" s="38" t="n">
        <v>4</v>
      </c>
      <c r="K23" s="38" t="n">
        <v>5</v>
      </c>
      <c r="L23" s="38" t="n">
        <v>12</v>
      </c>
      <c r="M23" s="38" t="n">
        <v>12</v>
      </c>
      <c r="N23" s="463" t="n">
        <v>6</v>
      </c>
      <c r="O23" s="29">
        <f>((J23+F23+(LOG(G23)*4/3))*0.15)</f>
        <v>0.845424250943933053</v>
      </c>
      <c r="P23" s="29">
        <f>((M23+F23+(LOG(G23)*4/3))*0.552)+((K23+F23+(LOG(G23)*4/3))*0.576)+((L23+F23+(LOG(G23)*4/3))*0.195)</f>
        <v>14.0086418933254997</v>
      </c>
      <c r="Q23" s="29">
        <f>((M23+F23+(LOG(G23)*4/3))*0.607)+((L23+F23+(LOG(G23)*4/3))*0.248)</f>
        <v>11.6589182303805003</v>
      </c>
      <c r="R23" s="466">
        <f>((M23+F23+(LOG(G23)*4/3))*0.223)+((K23+F23+(LOG(G23)*4/3))*0)+((L23+F23+(LOG(G23)*4/3))*0)</f>
        <v>3.04086405306999019</v>
      </c>
      <c r="S23" s="29">
        <f>((J23+F23+(LOG(G23)*4/3))*0.406)</f>
        <v>2.28828163922158012</v>
      </c>
      <c r="T23" s="29">
        <f>IF(D23="TEC",((K23+F23+(LOG(G23)*4/3))*0.15)+((L23+F23+(LOG(G23)*4/3))*0.324)+((M23+F23+(LOG(G23)*4/3))*0.127),((K23+F23+(LOG(G23)*4/3))*0.144)+((L23+F23+(LOG(G23)*4/3))*0.25)+((M23+F23+(LOG(G23)*4/3))*0.127))</f>
        <v>6.09644023161195037</v>
      </c>
      <c r="U23" s="29">
        <f>IF(D23="TEC",((L23+F23+(LOG(G23)*4/3))*0.543)+((M23+F23+(LOG(G23)*4/3))*0.583),((L23+F23+(LOG(G23)*4/3))*0.543)+((M23+F23+(LOG(G23)*4/3))*0.583))</f>
        <v>15.3543180437524995</v>
      </c>
      <c r="V23" s="466">
        <f>T23</f>
        <v>6.09644023161195037</v>
      </c>
      <c r="W23" s="29">
        <f>((J23+F23+(LOG(G23)*4/3))*0.25)</f>
        <v>1.4090404182398899</v>
      </c>
      <c r="X23" s="29">
        <f>((M23+F23+(LOG(G23)*4/3))*0.26)+((K23+F23+(LOG(G23)*4/3))*0.221)+((L23+F23+(LOG(G23)*4/3))*0.142)</f>
        <v>6.94832872225382037</v>
      </c>
      <c r="Y23" s="29">
        <f>((M23+F23+(LOG(G23)*4/3))*1)+((L23+F23+(LOG(G23)*4/3))*0.369)</f>
        <v>18.6679053302817017</v>
      </c>
      <c r="Z23" s="466">
        <f>X23</f>
        <v>6.94832872225382037</v>
      </c>
      <c r="AA23" t="n">
        <v>4500</v>
      </c>
      <c r="AB23" s="288" t="n">
        <v>14</v>
      </c>
      <c r="AE23" s="471"/>
      <c r="AF23" s="27">
        <f>AA23+(AB23*16*(36-B23-((112-C23)/112)))-AC23</f>
        <v>7266</v>
      </c>
      <c r="AG23" s="27">
        <f>AA23+(AB23*16*(34-B23-((112-C23)/112)))-AD23</f>
        <v>6818</v>
      </c>
      <c r="AH23" s="474">
        <f>AA23+(AB23*16*(32-B23-((112-C23)/112)))-AE23</f>
        <v>6370</v>
      </c>
      <c r="AI23" s="27">
        <f>(AF23-AC23)/(36-B23+((112-C23)/112))</f>
        <v>532.238064094180004</v>
      </c>
      <c r="AJ23" s="27">
        <f>(AF23-AD23)/(34-B23+((112-C23)/112))</f>
        <v>623.595402298851013</v>
      </c>
      <c r="AK23" s="474">
        <f>(AF23-AE23)/(32-B23+((112-C23)/112))</f>
        <v>752.814061054579042</v>
      </c>
    </row>
    <row r="24" spans="1:37">
      <c r="A24" s="456" t="s">
        <v>913</v>
      </c>
      <c r="B24" s="280" t="n">
        <v>21</v>
      </c>
      <c r="C24" s="27" t="n">
        <v>89</v>
      </c>
      <c r="D24" s="44" t="s">
        <v>185</v>
      </c>
      <c r="E24" s="451" t="n">
        <v>1</v>
      </c>
      <c r="F24" s="459" t="n">
        <v>1</v>
      </c>
      <c r="G24" s="460" t="n">
        <v>3</v>
      </c>
      <c r="H24" s="38" t="n">
        <v>0</v>
      </c>
      <c r="I24" s="38" t="n">
        <v>2</v>
      </c>
      <c r="J24" s="38" t="n">
        <v>2</v>
      </c>
      <c r="K24" s="38" t="n">
        <v>6</v>
      </c>
      <c r="L24" s="38" t="n">
        <v>6</v>
      </c>
      <c r="M24" s="38" t="n">
        <v>13</v>
      </c>
      <c r="N24" s="463" t="n">
        <v>1</v>
      </c>
      <c r="O24" s="29">
        <f>((J24+F24+(LOG(G24)*4/3))*0.15)</f>
        <v>0.545424250943932964</v>
      </c>
      <c r="P24" s="29">
        <f>((M24+F24+(LOG(G24)*4/3))*0.552)+((K24+F24+(LOG(G24)*4/3))*0.576)+((L24+F24+(LOG(G24)*4/3))*0.195)</f>
        <v>13.9666418933254999</v>
      </c>
      <c r="Q24" s="29">
        <f>((M24+F24+(LOG(G24)*4/3))*0.607)+((L24+F24+(LOG(G24)*4/3))*0.248)</f>
        <v>10.7779182303805001</v>
      </c>
      <c r="R24" s="466">
        <f>((M24+F24+(LOG(G24)*4/3))*0.223)+((K24+F24+(LOG(G24)*4/3))*0)+((L24+F24+(LOG(G24)*4/3))*0)</f>
        <v>3.26386405306999006</v>
      </c>
      <c r="S24" s="29">
        <f>((J24+F24+(LOG(G24)*4/3))*0.406)</f>
        <v>1.47628163922158002</v>
      </c>
      <c r="T24" s="29">
        <f>IF(D24="TEC",((K24+F24+(LOG(G24)*4/3))*0.15)+((L24+F24+(LOG(G24)*4/3))*0.324)+((M24+F24+(LOG(G24)*4/3))*0.127),((K24+F24+(LOG(G24)*4/3))*0.144)+((L24+F24+(LOG(G24)*4/3))*0.25)+((M24+F24+(LOG(G24)*4/3))*0.127))</f>
        <v>4.86744023161193962</v>
      </c>
      <c r="U24" s="29">
        <f>IF(D24="TEC",((L24+F24+(LOG(G24)*4/3))*0.543)+((M24+F24+(LOG(G24)*4/3))*0.583),((L24+F24+(LOG(G24)*4/3))*0.543)+((M24+F24+(LOG(G24)*4/3))*0.583))</f>
        <v>12.6793180437525006</v>
      </c>
      <c r="V24" s="466">
        <f>T24</f>
        <v>4.86744023161193962</v>
      </c>
      <c r="W24" s="29">
        <f>((J24+F24+(LOG(G24)*4/3))*0.25)</f>
        <v>0.909040418239887948</v>
      </c>
      <c r="X24" s="29">
        <f>((M24+F24+(LOG(G24)*4/3))*0.26)+((K24+F24+(LOG(G24)*4/3))*0.221)+((L24+F24+(LOG(G24)*4/3))*0.142)</f>
        <v>6.57732872225381993</v>
      </c>
      <c r="Y24" s="29">
        <f>((M24+F24+(LOG(G24)*4/3))*1)+((L24+F24+(LOG(G24)*4/3))*0.369)</f>
        <v>17.4539053302816995</v>
      </c>
      <c r="Z24" s="466">
        <f>X24</f>
        <v>6.57732872225381993</v>
      </c>
      <c r="AA24" t="n">
        <v>4250</v>
      </c>
      <c r="AB24" s="288" t="n">
        <v>13</v>
      </c>
      <c r="AE24" s="471"/>
      <c r="AF24" s="27">
        <f>AA24+(AB24*16*(36-B24-((112-C24)/112)))-AC24</f>
        <v>7327.28571428572013</v>
      </c>
      <c r="AG24" s="27">
        <f>AA24+(AB24*16*(34-B24-((112-C24)/112)))-AD24</f>
        <v>6911.28571428572013</v>
      </c>
      <c r="AH24" s="474">
        <f>AA24+(AB24*16*(32-B24-((112-C24)/112)))-AE24</f>
        <v>6495.28571428572013</v>
      </c>
      <c r="AI24" s="27">
        <f>(AF24-AC24)/(36-B24+((112-C24)/112))</f>
        <v>481.888432178510016</v>
      </c>
      <c r="AJ24" s="27">
        <f>(AF24-AD24)/(34-B24+((112-C24)/112))</f>
        <v>554.872210953349054</v>
      </c>
      <c r="AK24" s="474">
        <f>(AF24-AE24)/(32-B24+((112-C24)/112))</f>
        <v>653.909163346616992</v>
      </c>
    </row>
    <row r="25" spans="1:37">
      <c r="A25" s="456" t="s">
        <v>914</v>
      </c>
      <c r="B25" s="280" t="n">
        <v>25</v>
      </c>
      <c r="C25" s="27" t="n">
        <v>4</v>
      </c>
      <c r="D25" s="44" t="s">
        <v>175</v>
      </c>
      <c r="E25" s="451" t="n">
        <v>2</v>
      </c>
      <c r="F25" s="459" t="n">
        <v>1</v>
      </c>
      <c r="G25" s="460" t="n">
        <v>7</v>
      </c>
      <c r="H25" s="38" t="n">
        <v>0</v>
      </c>
      <c r="I25" s="38" t="n">
        <v>4</v>
      </c>
      <c r="J25" s="38" t="n">
        <v>11</v>
      </c>
      <c r="K25" s="38" t="n">
        <v>2</v>
      </c>
      <c r="L25" s="38" t="n">
        <v>11</v>
      </c>
      <c r="M25" s="38" t="n">
        <v>13</v>
      </c>
      <c r="N25" s="463" t="n">
        <v>5</v>
      </c>
      <c r="O25" s="29">
        <f>((J25+F25+(LOG(G25)*4/3))*0.15)</f>
        <v>1.96901960800285991</v>
      </c>
      <c r="P25" s="29">
        <f>((M25+F25+(LOG(G25)*4/3))*0.552)+((K25+F25+(LOG(G25)*4/3))*0.576)+((L25+F25+(LOG(G25)*4/3))*0.195)</f>
        <v>13.2867529425851991</v>
      </c>
      <c r="Q25" s="29">
        <f>((M25+F25+(LOG(G25)*4/3))*0.607)+((L25+F25+(LOG(G25)*4/3))*0.248)</f>
        <v>12.4374117656163001</v>
      </c>
      <c r="R25" s="466">
        <f>((M25+F25+(LOG(G25)*4/3))*0.223)+((K25+F25+(LOG(G25)*4/3))*0)+((L25+F25+(LOG(G25)*4/3))*0)</f>
        <v>3.37327581723091008</v>
      </c>
      <c r="S25" s="29">
        <f>((J25+F25+(LOG(G25)*4/3))*0.406)</f>
        <v>5.32947973899439997</v>
      </c>
      <c r="T25" s="29">
        <f>IF(D25="TEC",((K25+F25+(LOG(G25)*4/3))*0.15)+((L25+F25+(LOG(G25)*4/3))*0.324)+((M25+F25+(LOG(G25)*4/3))*0.127),((K25+F25+(LOG(G25)*4/3))*0.144)+((L25+F25+(LOG(G25)*4/3))*0.25)+((M25+F25+(LOG(G25)*4/3))*0.127))</f>
        <v>5.79706143846324995</v>
      </c>
      <c r="U25" s="29">
        <f>IF(D25="TEC",((L25+F25+(LOG(G25)*4/3))*0.543)+((M25+F25+(LOG(G25)*4/3))*0.583),((L25+F25+(LOG(G25)*4/3))*0.543)+((M25+F25+(LOG(G25)*4/3))*0.583))</f>
        <v>15.9467738574081004</v>
      </c>
      <c r="V25" s="466">
        <f>T25</f>
        <v>5.79706143846324995</v>
      </c>
      <c r="W25" s="29">
        <f>((J25+F25+(LOG(G25)*4/3))*0.25)</f>
        <v>3.28169934667142993</v>
      </c>
      <c r="X25" s="29">
        <f>((M25+F25+(LOG(G25)*4/3))*0.26)+((K25+F25+(LOG(G25)*4/3))*0.221)+((L25+F25+(LOG(G25)*4/3))*0.142)</f>
        <v>6.70899477190519011</v>
      </c>
      <c r="Y25" s="29">
        <f>((M25+F25+(LOG(G25)*4/3))*1)+((L25+F25+(LOG(G25)*4/3))*0.369)</f>
        <v>19.970585622372699</v>
      </c>
      <c r="Z25" s="466">
        <f>X25</f>
        <v>6.70899477190519011</v>
      </c>
      <c r="AA25" t="n">
        <v>8100</v>
      </c>
      <c r="AB25" s="288" t="n">
        <v>22.3999999999999986</v>
      </c>
      <c r="AC25" s="43" t="n">
        <v>2000</v>
      </c>
      <c r="AD25" s="43" t="n">
        <v>3000</v>
      </c>
      <c r="AE25" s="471" t="n">
        <v>3500</v>
      </c>
      <c r="AF25" s="27">
        <f>AA25+(AB25*16*(36-B25-((112-C25)/112)))-AC25</f>
        <v>9696.79999999999927</v>
      </c>
      <c r="AG25" s="27">
        <f>AA25+(AB25*16*(34-B25-((112-C25)/112)))-AD25</f>
        <v>7980</v>
      </c>
      <c r="AH25" s="474">
        <f>AA25+(AB25*16*(32-B25-((112-C25)/112)))-AE25</f>
        <v>6763.19999999999982</v>
      </c>
      <c r="AI25" s="27">
        <f>(AF25-AC25)/(36-B25+((112-C25)/112))</f>
        <v>643.314626865672949</v>
      </c>
      <c r="AJ25" s="27">
        <f>(AF25-AD25)/(34-B25+((112-C25)/112))</f>
        <v>672.080286738350992</v>
      </c>
      <c r="AK25" s="474">
        <f>(AF25-AE25)/(32-B25+((112-C25)/112))</f>
        <v>778.073542600896985</v>
      </c>
    </row>
    <row r="26" spans="1:37">
      <c r="A26" s="456" t="s">
        <v>915</v>
      </c>
      <c r="B26" s="280" t="n">
        <v>23</v>
      </c>
      <c r="C26" s="27" t="n">
        <v>62</v>
      </c>
      <c r="D26" s="44" t="s">
        <v>172</v>
      </c>
      <c r="E26" s="451" t="n">
        <v>5</v>
      </c>
      <c r="F26" s="459" t="n">
        <v>1</v>
      </c>
      <c r="G26" s="460" t="n">
        <v>3</v>
      </c>
      <c r="H26" s="38" t="n">
        <v>0</v>
      </c>
      <c r="I26" s="38" t="n">
        <v>4</v>
      </c>
      <c r="J26" s="38" t="n">
        <v>6</v>
      </c>
      <c r="K26" s="38" t="n">
        <v>4</v>
      </c>
      <c r="L26" s="38" t="n">
        <v>7</v>
      </c>
      <c r="M26" s="38" t="n">
        <v>13</v>
      </c>
      <c r="N26" s="463" t="n">
        <v>2</v>
      </c>
      <c r="O26" s="29">
        <f>((J26+F26+(LOG(G26)*4/3))*0.15)</f>
        <v>1.14542425094393008</v>
      </c>
      <c r="P26" s="29">
        <f>((M26+F26+(LOG(G26)*4/3))*0.552)+((K26+F26+(LOG(G26)*4/3))*0.576)+((L26+F26+(LOG(G26)*4/3))*0.195)</f>
        <v>13.0096418933254991</v>
      </c>
      <c r="Q26" s="29">
        <f>((M26+F26+(LOG(G26)*4/3))*0.607)+((L26+F26+(LOG(G26)*4/3))*0.248)</f>
        <v>11.0259182303804995</v>
      </c>
      <c r="R26" s="466">
        <f>((M26+F26+(LOG(G26)*4/3))*0.223)+((K26+F26+(LOG(G26)*4/3))*0)+((L26+F26+(LOG(G26)*4/3))*0)</f>
        <v>3.26386405306999006</v>
      </c>
      <c r="S26" s="29">
        <f>((J26+F26+(LOG(G26)*4/3))*0.406)</f>
        <v>3.10028163922157995</v>
      </c>
      <c r="T26" s="29">
        <f>IF(D26="TEC",((K26+F26+(LOG(G26)*4/3))*0.15)+((L26+F26+(LOG(G26)*4/3))*0.324)+((M26+F26+(LOG(G26)*4/3))*0.127),((K26+F26+(LOG(G26)*4/3))*0.144)+((L26+F26+(LOG(G26)*4/3))*0.25)+((M26+F26+(LOG(G26)*4/3))*0.127))</f>
        <v>4.82944023161194025</v>
      </c>
      <c r="U26" s="29">
        <f>IF(D26="TEC",((L26+F26+(LOG(G26)*4/3))*0.543)+((M26+F26+(LOG(G26)*4/3))*0.583),((L26+F26+(LOG(G26)*4/3))*0.543)+((M26+F26+(LOG(G26)*4/3))*0.583))</f>
        <v>13.2223180437524999</v>
      </c>
      <c r="V26" s="466">
        <f>T26</f>
        <v>4.82944023161194025</v>
      </c>
      <c r="W26" s="29">
        <f>((J26+F26+(LOG(G26)*4/3))*0.25)</f>
        <v>1.9090404182398899</v>
      </c>
      <c r="X26" s="29">
        <f>((M26+F26+(LOG(G26)*4/3))*0.26)+((K26+F26+(LOG(G26)*4/3))*0.221)+((L26+F26+(LOG(G26)*4/3))*0.142)</f>
        <v>6.2773287222538201</v>
      </c>
      <c r="Y26" s="29">
        <f>((M26+F26+(LOG(G26)*4/3))*1)+((L26+F26+(LOG(G26)*4/3))*0.369)</f>
        <v>17.8229053302816993</v>
      </c>
      <c r="Z26" s="466">
        <f>X26</f>
        <v>6.2773287222538201</v>
      </c>
      <c r="AA26" t="n">
        <v>5000</v>
      </c>
      <c r="AB26" s="288" t="n">
        <v>13</v>
      </c>
      <c r="AE26" s="471"/>
      <c r="AF26" s="27">
        <f>AA26+(AB26*16*(36-B26-((112-C26)/112)))-AC26</f>
        <v>7611.14285714284961</v>
      </c>
      <c r="AG26" s="27">
        <f>AA26+(AB26*16*(34-B26-((112-C26)/112)))-AD26</f>
        <v>7195.14285714284961</v>
      </c>
      <c r="AH26" s="474">
        <f>AA26+(AB26*16*(32-B26-((112-C26)/112)))-AE26</f>
        <v>6779.14285714285961</v>
      </c>
      <c r="AI26" s="27">
        <f>(AF26-AC26)/(36-B26+((112-C26)/112))</f>
        <v>566.034528552454958</v>
      </c>
      <c r="AJ26" s="27">
        <f>(AF26-AD26)/(34-B26+((112-C26)/112))</f>
        <v>664.936037441495955</v>
      </c>
      <c r="AK26" s="474">
        <f>(AF26-AE26)/(32-B26+((112-C26)/112))</f>
        <v>805.716446124763024</v>
      </c>
    </row>
    <row r="27" spans="1:37">
      <c r="A27" s="456" t="s">
        <v>916</v>
      </c>
      <c r="B27" s="280" t="n">
        <v>24</v>
      </c>
      <c r="C27" s="27" t="n">
        <v>2</v>
      </c>
      <c r="D27" s="44" t="s">
        <v>172</v>
      </c>
      <c r="E27" s="451" t="n">
        <v>3</v>
      </c>
      <c r="F27" s="459" t="n">
        <v>1</v>
      </c>
      <c r="G27" s="460" t="n">
        <v>3</v>
      </c>
      <c r="H27" s="38" t="n">
        <v>0</v>
      </c>
      <c r="I27" s="38" t="n">
        <v>2</v>
      </c>
      <c r="J27" s="38" t="n">
        <v>2</v>
      </c>
      <c r="K27" s="38" t="n">
        <v>3</v>
      </c>
      <c r="L27" s="38" t="n">
        <v>10</v>
      </c>
      <c r="M27" s="38" t="n">
        <v>13</v>
      </c>
      <c r="N27" s="463" t="n">
        <v>19</v>
      </c>
      <c r="O27" s="29">
        <f>((J27+F27+(LOG(G27)*4/3))*0.15)</f>
        <v>0.545424250943932964</v>
      </c>
      <c r="P27" s="29">
        <f>((M27+F27+(LOG(G27)*4/3))*0.552)+((K27+F27+(LOG(G27)*4/3))*0.576)+((L27+F27+(LOG(G27)*4/3))*0.195)</f>
        <v>13.0186418933254995</v>
      </c>
      <c r="Q27" s="29">
        <f>((M27+F27+(LOG(G27)*4/3))*0.607)+((L27+F27+(LOG(G27)*4/3))*0.248)</f>
        <v>11.7699182303804992</v>
      </c>
      <c r="R27" s="466">
        <f>((M27+F27+(LOG(G27)*4/3))*0.223)+((K27+F27+(LOG(G27)*4/3))*0)+((L27+F27+(LOG(G27)*4/3))*0)</f>
        <v>3.26386405306999006</v>
      </c>
      <c r="S27" s="29">
        <f>((J27+F27+(LOG(G27)*4/3))*0.406)</f>
        <v>1.47628163922158002</v>
      </c>
      <c r="T27" s="29">
        <f>IF(D27="TEC",((K27+F27+(LOG(G27)*4/3))*0.15)+((L27+F27+(LOG(G27)*4/3))*0.324)+((M27+F27+(LOG(G27)*4/3))*0.127),((K27+F27+(LOG(G27)*4/3))*0.144)+((L27+F27+(LOG(G27)*4/3))*0.25)+((M27+F27+(LOG(G27)*4/3))*0.127))</f>
        <v>5.43544023161194989</v>
      </c>
      <c r="U27" s="29">
        <f>IF(D27="TEC",((L27+F27+(LOG(G27)*4/3))*0.543)+((M27+F27+(LOG(G27)*4/3))*0.583),((L27+F27+(LOG(G27)*4/3))*0.543)+((M27+F27+(LOG(G27)*4/3))*0.583))</f>
        <v>14.8513180437524994</v>
      </c>
      <c r="V27" s="466">
        <f>T27</f>
        <v>5.43544023161194989</v>
      </c>
      <c r="W27" s="29">
        <f>((J27+F27+(LOG(G27)*4/3))*0.25)</f>
        <v>0.909040418239887948</v>
      </c>
      <c r="X27" s="29">
        <f>((M27+F27+(LOG(G27)*4/3))*0.26)+((K27+F27+(LOG(G27)*4/3))*0.221)+((L27+F27+(LOG(G27)*4/3))*0.142)</f>
        <v>6.48232872225382017</v>
      </c>
      <c r="Y27" s="29">
        <f>((M27+F27+(LOG(G27)*4/3))*1)+((L27+F27+(LOG(G27)*4/3))*0.369)</f>
        <v>18.9299053302816986</v>
      </c>
      <c r="Z27" s="466">
        <f>X27</f>
        <v>6.48232872225382017</v>
      </c>
      <c r="AA27" t="n">
        <v>5500</v>
      </c>
      <c r="AB27" s="288" t="n">
        <v>14.5999999999999996</v>
      </c>
      <c r="AE27" s="471"/>
      <c r="AF27" s="27">
        <f>AA27+(AB27*16*(36-B27-((112-C27)/112)))-AC27</f>
        <v>8073.77142857142007</v>
      </c>
      <c r="AG27" s="27">
        <f>AA27+(AB27*16*(34-B27-((112-C27)/112)))-AD27</f>
        <v>7606.57142857143026</v>
      </c>
      <c r="AH27" s="474">
        <f>AA27+(AB27*16*(32-B27-((112-C27)/112)))-AE27</f>
        <v>7139.37142857143044</v>
      </c>
      <c r="AI27" s="27">
        <f>(AF27-AC27)/(36-B27+((112-C27)/112))</f>
        <v>621.913617606600042</v>
      </c>
      <c r="AJ27" s="27">
        <f>(AF27-AD27)/(34-B27+((112-C27)/112))</f>
        <v>735.172682926826042</v>
      </c>
      <c r="AK27" s="474">
        <f>(AF27-AE27)/(32-B27+((112-C27)/112))</f>
        <v>898.869184890654992</v>
      </c>
    </row>
    <row r="28" spans="1:37">
      <c r="A28" s="456" t="s">
        <v>917</v>
      </c>
      <c r="B28" s="280" t="n">
        <v>27</v>
      </c>
      <c r="C28" s="27" t="n">
        <v>40</v>
      </c>
      <c r="D28" s="44" t="s">
        <v>175</v>
      </c>
      <c r="E28" s="451" t="n">
        <v>3</v>
      </c>
      <c r="F28" s="459" t="n">
        <v>1</v>
      </c>
      <c r="G28" s="460" t="n">
        <v>4</v>
      </c>
      <c r="H28" s="38" t="n">
        <v>0</v>
      </c>
      <c r="I28" s="38" t="n">
        <v>8</v>
      </c>
      <c r="J28" s="38" t="n">
        <v>9</v>
      </c>
      <c r="K28" s="38" t="n">
        <v>8</v>
      </c>
      <c r="L28" s="38" t="n">
        <v>10</v>
      </c>
      <c r="M28" s="38" t="n">
        <v>12</v>
      </c>
      <c r="N28" s="463" t="n">
        <v>10</v>
      </c>
      <c r="O28" s="29">
        <f>((J28+F28+(LOG(G28)*4/3))*0.15)</f>
        <v>1.62041199826559996</v>
      </c>
      <c r="P28" s="29">
        <f>((M28+F28+(LOG(G28)*4/3))*0.552)+((K28+F28+(LOG(G28)*4/3))*0.576)+((L28+F28+(LOG(G28)*4/3))*0.195)</f>
        <v>15.5670338247025999</v>
      </c>
      <c r="Q28" s="29">
        <f>((M28+F28+(LOG(G28)*4/3))*0.607)+((L28+F28+(LOG(G28)*4/3))*0.248)</f>
        <v>11.3053483901139007</v>
      </c>
      <c r="R28" s="466">
        <f>((M28+F28+(LOG(G28)*4/3))*0.223)+((K28+F28+(LOG(G28)*4/3))*0)+((L28+F28+(LOG(G28)*4/3))*0)</f>
        <v>3.07801250408819005</v>
      </c>
      <c r="S28" s="29">
        <f>((J28+F28+(LOG(G28)*4/3))*0.406)</f>
        <v>4.3859151419722302</v>
      </c>
      <c r="T28" s="29">
        <f>IF(D28="TEC",((K28+F28+(LOG(G28)*4/3))*0.15)+((L28+F28+(LOG(G28)*4/3))*0.324)+((M28+F28+(LOG(G28)*4/3))*0.127),((K28+F28+(LOG(G28)*4/3))*0.144)+((L28+F28+(LOG(G28)*4/3))*0.25)+((M28+F28+(LOG(G28)*4/3))*0.127))</f>
        <v>6.11523100730917957</v>
      </c>
      <c r="U28" s="29">
        <f>IF(D28="TEC",((L28+F28+(LOG(G28)*4/3))*0.543)+((M28+F28+(LOG(G28)*4/3))*0.583),((L28+F28+(LOG(G28)*4/3))*0.543)+((M28+F28+(LOG(G28)*4/3))*0.583))</f>
        <v>14.4558927336471008</v>
      </c>
      <c r="V28" s="466">
        <f>T28</f>
        <v>6.11523100730917957</v>
      </c>
      <c r="W28" s="29">
        <f>((J28+F28+(LOG(G28)*4/3))*0.25)</f>
        <v>2.70068666377600008</v>
      </c>
      <c r="X28" s="29">
        <f>((M28+F28+(LOG(G28)*4/3))*0.26)+((K28+F28+(LOG(G28)*4/3))*0.221)+((L28+F28+(LOG(G28)*4/3))*0.142)</f>
        <v>7.43111116612977973</v>
      </c>
      <c r="Y28" s="29">
        <f>((M28+F28+(LOG(G28)*4/3))*1)+((L28+F28+(LOG(G28)*4/3))*0.369)</f>
        <v>18.1579601708373986</v>
      </c>
      <c r="Z28" s="466">
        <f>X28</f>
        <v>7.43111116612977973</v>
      </c>
      <c r="AA28" t="n">
        <v>6100</v>
      </c>
      <c r="AB28" s="288" t="n">
        <v>15.1999999999999993</v>
      </c>
      <c r="AE28" s="471"/>
      <c r="AF28" s="27">
        <f>AA28+(AB28*16*(36-B28-((112-C28)/112)))-AC28</f>
        <v>8132.45714285713984</v>
      </c>
      <c r="AG28" s="27">
        <f>AA28+(AB28*16*(34-B28-((112-C28)/112)))-AD28</f>
        <v>7646.05714285714021</v>
      </c>
      <c r="AH28" s="474">
        <f>AA28+(AB28*16*(32-B28-((112-C28)/112)))-AE28</f>
        <v>7159.65714285713966</v>
      </c>
      <c r="AI28" s="27">
        <f>(AF28-AC28)/(36-B28+((112-C28)/112))</f>
        <v>843.365925925926035</v>
      </c>
      <c r="AJ28" s="27">
        <f>(AF28-AD28)/(34-B28+((112-C28)/112))</f>
        <v>1064.05981308410992</v>
      </c>
      <c r="AK28" s="474">
        <f>(AF28-AE28)/(32-B28+((112-C28)/112))</f>
        <v>1441.19493670886004</v>
      </c>
    </row>
    <row r="29" spans="1:37">
      <c r="A29" s="456" t="s">
        <v>918</v>
      </c>
      <c r="B29" s="280" t="n">
        <v>26</v>
      </c>
      <c r="C29" s="27" t="n">
        <v>18</v>
      </c>
      <c r="D29" s="44" t="s">
        <v>185</v>
      </c>
      <c r="E29" s="451" t="n">
        <v>1</v>
      </c>
      <c r="F29" s="459" t="n">
        <v>1</v>
      </c>
      <c r="G29" s="460" t="n">
        <v>6</v>
      </c>
      <c r="H29" s="38" t="n">
        <v>0</v>
      </c>
      <c r="I29" s="38" t="n">
        <v>1</v>
      </c>
      <c r="J29" s="38" t="n">
        <v>12</v>
      </c>
      <c r="K29" s="38" t="n">
        <v>10</v>
      </c>
      <c r="L29" s="38" t="n">
        <v>9</v>
      </c>
      <c r="M29" s="38" t="n">
        <v>11</v>
      </c>
      <c r="N29" s="463" t="n">
        <v>2</v>
      </c>
      <c r="O29" s="29">
        <f>((J29+F29+(LOG(G29)*4/3))*0.15)</f>
        <v>2.1056302500767301</v>
      </c>
      <c r="P29" s="29">
        <f>((M29+F29+(LOG(G29)*4/3))*0.552)+((K29+F29+(LOG(G29)*4/3))*0.576)+((L29+F29+(LOG(G29)*4/3))*0.195)</f>
        <v>16.2826588056767001</v>
      </c>
      <c r="Q29" s="29">
        <f>((M29+F29+(LOG(G29)*4/3))*0.607)+((L29+F29+(LOG(G29)*4/3))*0.248)</f>
        <v>10.6510924254372998</v>
      </c>
      <c r="R29" s="466">
        <f>((M29+F29+(LOG(G29)*4/3))*0.223)+((K29+F29+(LOG(G29)*4/3))*0)+((L29+F29+(LOG(G29)*4/3))*0)</f>
        <v>2.90737030511406012</v>
      </c>
      <c r="S29" s="29">
        <f>((J29+F29+(LOG(G29)*4/3))*0.406)</f>
        <v>5.69923921020767033</v>
      </c>
      <c r="T29" s="29">
        <f>IF(D29="TEC",((K29+F29+(LOG(G29)*4/3))*0.15)+((L29+F29+(LOG(G29)*4/3))*0.324)+((M29+F29+(LOG(G29)*4/3))*0.127),((K29+F29+(LOG(G29)*4/3))*0.144)+((L29+F29+(LOG(G29)*4/3))*0.25)+((M29+F29+(LOG(G29)*4/3))*0.127))</f>
        <v>6.14855573526650012</v>
      </c>
      <c r="U29" s="29">
        <f>IF(D29="TEC",((L29+F29+(LOG(G29)*4/3))*0.543)+((M29+F29+(LOG(G29)*4/3))*0.583),((L29+F29+(LOG(G29)*4/3))*0.543)+((M29+F29+(LOG(G29)*4/3))*0.583))</f>
        <v>13.5942644105760007</v>
      </c>
      <c r="V29" s="466">
        <f>T29</f>
        <v>6.14855573526650012</v>
      </c>
      <c r="W29" s="29">
        <f>((J29+F29+(LOG(G29)*4/3))*0.25)</f>
        <v>3.50938375012787995</v>
      </c>
      <c r="X29" s="29">
        <f>((M29+F29+(LOG(G29)*4/3))*0.26)+((K29+F29+(LOG(G29)*4/3))*0.221)+((L29+F29+(LOG(G29)*4/3))*0.142)</f>
        <v>7.61738430531865962</v>
      </c>
      <c r="Y29" s="29">
        <f>((M29+F29+(LOG(G29)*4/3))*1)+((L29+F29+(LOG(G29)*4/3))*0.369)</f>
        <v>17.1103854157002004</v>
      </c>
      <c r="Z29" s="466">
        <f>X29</f>
        <v>7.61738430531865962</v>
      </c>
      <c r="AA29" t="n">
        <v>6100</v>
      </c>
      <c r="AB29" s="288">
        <f>13.3*1.2</f>
        <v>15.9600000000000009</v>
      </c>
      <c r="AE29" s="471"/>
      <c r="AF29" s="27">
        <f>AA29+(AB29*16*(36-B29-((112-C29)/112)))-AC29</f>
        <v>8439.28000000000065</v>
      </c>
      <c r="AG29" s="27">
        <f>AA29+(AB29*16*(34-B29-((112-C29)/112)))-AD29</f>
        <v>7928.5600000000004</v>
      </c>
      <c r="AH29" s="474">
        <f>AA29+(AB29*16*(32-B29-((112-C29)/112)))-AE29</f>
        <v>7417.84000000000015</v>
      </c>
      <c r="AI29" s="27">
        <f>(AF29-AC29)/(36-B29+((112-C29)/112))</f>
        <v>778.582668863263052</v>
      </c>
      <c r="AJ29" s="27">
        <f>(AF29-AD29)/(34-B29+((112-C29)/112))</f>
        <v>954.746828282828005</v>
      </c>
      <c r="AK29" s="474">
        <f>(AF29-AE29)/(32-B29+((112-C29)/112))</f>
        <v>1233.94172323759994</v>
      </c>
    </row>
    <row r="30" spans="1:37">
      <c r="A30" s="456" t="s">
        <v>919</v>
      </c>
      <c r="B30" s="280" t="n">
        <v>22</v>
      </c>
      <c r="C30" s="27" t="n">
        <v>27</v>
      </c>
      <c r="D30" s="44" t="s">
        <v>210</v>
      </c>
      <c r="E30" s="451" t="n">
        <v>1</v>
      </c>
      <c r="F30" s="459" t="n">
        <v>1</v>
      </c>
      <c r="G30" s="460" t="n">
        <v>3</v>
      </c>
      <c r="H30" s="38" t="n">
        <v>0</v>
      </c>
      <c r="I30" s="38" t="n">
        <v>2</v>
      </c>
      <c r="J30" s="38" t="n">
        <v>2</v>
      </c>
      <c r="K30" s="38" t="n">
        <v>7</v>
      </c>
      <c r="L30" s="38" t="n">
        <v>9</v>
      </c>
      <c r="M30" s="38" t="n">
        <v>14</v>
      </c>
      <c r="N30" s="463" t="n">
        <v>2</v>
      </c>
      <c r="O30" s="29">
        <f>((J30+F30+(LOG(G30)*4/3))*0.15)</f>
        <v>0.545424250943932964</v>
      </c>
      <c r="P30" s="29">
        <f>((M30+F30+(LOG(G30)*4/3))*0.552)+((K30+F30+(LOG(G30)*4/3))*0.576)+((L30+F30+(LOG(G30)*4/3))*0.195)</f>
        <v>15.6796418933255008</v>
      </c>
      <c r="Q30" s="29">
        <f>((M30+F30+(LOG(G30)*4/3))*0.607)+((L30+F30+(LOG(G30)*4/3))*0.248)</f>
        <v>12.1289182303804992</v>
      </c>
      <c r="R30" s="466">
        <f>((M30+F30+(LOG(G30)*4/3))*0.223)+((K30+F30+(LOG(G30)*4/3))*0)+((L30+F30+(LOG(G30)*4/3))*0)</f>
        <v>3.48686405306998992</v>
      </c>
      <c r="S30" s="29">
        <f>((J30+F30+(LOG(G30)*4/3))*0.406)</f>
        <v>1.47628163922158002</v>
      </c>
      <c r="T30" s="29">
        <f>IF(D30="TEC",((K30+F30+(LOG(G30)*4/3))*0.15)+((L30+F30+(LOG(G30)*4/3))*0.324)+((M30+F30+(LOG(G30)*4/3))*0.127),((K30+F30+(LOG(G30)*4/3))*0.144)+((L30+F30+(LOG(G30)*4/3))*0.25)+((M30+F30+(LOG(G30)*4/3))*0.127))</f>
        <v>5.88844023161195018</v>
      </c>
      <c r="U30" s="29">
        <f>IF(D30="TEC",((L30+F30+(LOG(G30)*4/3))*0.543)+((M30+F30+(LOG(G30)*4/3))*0.583),((L30+F30+(LOG(G30)*4/3))*0.543)+((M30+F30+(LOG(G30)*4/3))*0.583))</f>
        <v>14.8913180437525003</v>
      </c>
      <c r="V30" s="466">
        <f>T30</f>
        <v>5.88844023161195018</v>
      </c>
      <c r="W30" s="29">
        <f>((J30+F30+(LOG(G30)*4/3))*0.25)</f>
        <v>0.909040418239887948</v>
      </c>
      <c r="X30" s="29">
        <f>((M30+F30+(LOG(G30)*4/3))*0.26)+((K30+F30+(LOG(G30)*4/3))*0.221)+((L30+F30+(LOG(G30)*4/3))*0.142)</f>
        <v>7.48432872225381995</v>
      </c>
      <c r="Y30" s="29">
        <f>((M30+F30+(LOG(G30)*4/3))*1)+((L30+F30+(LOG(G30)*4/3))*0.369)</f>
        <v>19.5609053302816989</v>
      </c>
      <c r="Z30" s="466">
        <f>X30</f>
        <v>7.48432872225381995</v>
      </c>
      <c r="AA30" t="n">
        <v>4500</v>
      </c>
      <c r="AB30" s="288" t="n">
        <v>19.8000000000000007</v>
      </c>
      <c r="AE30" s="471"/>
      <c r="AF30" s="27">
        <f>AA30+(AB30*16*(36-B30-((112-C30)/112)))-AC30</f>
        <v>8694.77142857141916</v>
      </c>
      <c r="AG30" s="27">
        <f>AA30+(AB30*16*(34-B30-((112-C30)/112)))-AD30</f>
        <v>8061.17142857141971</v>
      </c>
      <c r="AH30" s="474">
        <f>AA30+(AB30*16*(32-B30-((112-C30)/112)))-AE30</f>
        <v>7427.57142857143026</v>
      </c>
      <c r="AI30" s="27">
        <f>(AF30-AC30)/(36-B30+((112-C30)/112))</f>
        <v>589.119419237748048</v>
      </c>
      <c r="AJ30" s="27">
        <f>(AF30-AD30)/(34-B30+((112-C30)/112))</f>
        <v>681.465640307905005</v>
      </c>
      <c r="AK30" s="474">
        <f>(AF30-AE30)/(32-B30+((112-C30)/112))</f>
        <v>808.144730290454049</v>
      </c>
    </row>
    <row r="31" spans="1:37">
      <c r="A31" s="456" t="s">
        <v>920</v>
      </c>
      <c r="B31" s="280" t="n">
        <v>28</v>
      </c>
      <c r="C31" s="27" t="n">
        <v>95</v>
      </c>
      <c r="D31" s="44" t="s">
        <v>172</v>
      </c>
      <c r="E31" s="451" t="n">
        <v>3</v>
      </c>
      <c r="F31" s="459" t="n">
        <v>1</v>
      </c>
      <c r="G31" s="460" t="n">
        <v>8</v>
      </c>
      <c r="H31" s="38" t="n">
        <v>0</v>
      </c>
      <c r="I31" s="38" t="n">
        <v>3</v>
      </c>
      <c r="J31" s="38" t="n">
        <v>11</v>
      </c>
      <c r="K31" s="38" t="n">
        <v>15</v>
      </c>
      <c r="L31" s="38" t="n">
        <v>9</v>
      </c>
      <c r="M31" s="38" t="n">
        <v>12</v>
      </c>
      <c r="N31" s="463" t="n">
        <v>1</v>
      </c>
      <c r="O31" s="29">
        <f>((J31+F31+(LOG(G31)*4/3))*0.15)</f>
        <v>1.98061799739839</v>
      </c>
      <c r="P31" s="29">
        <f>((M31+F31+(LOG(G31)*4/3))*0.552)+((K31+F31+(LOG(G31)*4/3))*0.576)+((L31+F31+(LOG(G31)*4/3))*0.195)</f>
        <v>19.9350507370537997</v>
      </c>
      <c r="Q31" s="29">
        <f>((M31+F31+(LOG(G31)*4/3))*0.607)+((L31+F31+(LOG(G31)*4/3))*0.248)</f>
        <v>11.4005225851707994</v>
      </c>
      <c r="R31" s="466">
        <f>((M31+F31+(LOG(G31)*4/3))*0.223)+((K31+F31+(LOG(G31)*4/3))*0)+((L31+F31+(LOG(G31)*4/3))*0)</f>
        <v>3.16751875613226996</v>
      </c>
      <c r="S31" s="29">
        <f>((J31+F31+(LOG(G31)*4/3))*0.406)</f>
        <v>5.36087271295830003</v>
      </c>
      <c r="T31" s="29">
        <f>IF(D31="TEC",((K31+F31+(LOG(G31)*4/3))*0.15)+((L31+F31+(LOG(G31)*4/3))*0.324)+((M31+F31+(LOG(G31)*4/3))*0.127),((K31+F31+(LOG(G31)*4/3))*0.144)+((L31+F31+(LOG(G31)*4/3))*0.25)+((M31+F31+(LOG(G31)*4/3))*0.127))</f>
        <v>7.08234651096373025</v>
      </c>
      <c r="U31" s="29">
        <f>IF(D31="TEC",((L31+F31+(LOG(G31)*4/3))*0.543)+((M31+F31+(LOG(G31)*4/3))*0.583),((L31+F31+(LOG(G31)*4/3))*0.543)+((M31+F31+(LOG(G31)*4/3))*0.583))</f>
        <v>14.3648391004704994</v>
      </c>
      <c r="V31" s="466">
        <f>T31</f>
        <v>7.08234651096373025</v>
      </c>
      <c r="W31" s="29">
        <f>((J31+F31+(LOG(G31)*4/3))*0.25)</f>
        <v>3.30102999566397992</v>
      </c>
      <c r="X31" s="29">
        <f>((M31+F31+(LOG(G31)*4/3))*0.26)+((K31+F31+(LOG(G31)*4/3))*0.221)+((L31+F31+(LOG(G31)*4/3))*0.142)</f>
        <v>9.08616674919461964</v>
      </c>
      <c r="Y31" s="29">
        <f>((M31+F31+(LOG(G31)*4/3))*1)+((L31+F31+(LOG(G31)*4/3))*0.369)</f>
        <v>18.3384402562559004</v>
      </c>
      <c r="Z31" s="466">
        <f>X31</f>
        <v>9.08616674919461964</v>
      </c>
      <c r="AA31" t="n">
        <v>5500</v>
      </c>
      <c r="AB31" s="288">
        <f>27*1.2</f>
        <v>32.3999999999999986</v>
      </c>
      <c r="AE31" s="471"/>
      <c r="AF31" s="27">
        <f>AA31+(AB31*16*(36-B31-((112-C31)/112)))-AC31</f>
        <v>9568.51428571428914</v>
      </c>
      <c r="AG31" s="27">
        <f>AA31+(AB31*16*(34-B31-((112-C31)/112)))-AD31</f>
        <v>8531.71428571428987</v>
      </c>
      <c r="AH31" s="474">
        <f>AA31+(AB31*16*(32-B31-((112-C31)/112)))-AE31</f>
        <v>7494.91428571428969</v>
      </c>
      <c r="AI31" s="27">
        <f>(AF31-AC31)/(36-B31+((112-C31)/112))</f>
        <v>1173.79364731654005</v>
      </c>
      <c r="AJ31" s="27">
        <f>(AF31-AD31)/(34-B31+((112-C31)/112))</f>
        <v>1555.4043541364299</v>
      </c>
      <c r="AK31" s="474">
        <f>(AF31-AE31)/(32-B31+((112-C31)/112))</f>
        <v>2304.67440860214992</v>
      </c>
    </row>
    <row r="32" spans="1:37">
      <c r="A32" s="456" t="s">
        <v>921</v>
      </c>
      <c r="B32" s="280" t="n">
        <v>23</v>
      </c>
      <c r="C32" s="27" t="n">
        <v>9</v>
      </c>
      <c r="D32" s="44" t="s">
        <v>185</v>
      </c>
      <c r="E32" s="451" t="n">
        <v>3</v>
      </c>
      <c r="F32" s="459" t="n">
        <v>1</v>
      </c>
      <c r="G32" s="460" t="n">
        <v>2</v>
      </c>
      <c r="H32" s="38" t="n">
        <v>0</v>
      </c>
      <c r="I32" s="38" t="n">
        <v>3</v>
      </c>
      <c r="J32" s="38" t="n">
        <v>5</v>
      </c>
      <c r="K32" s="38" t="n">
        <v>3</v>
      </c>
      <c r="L32" s="38" t="n">
        <v>8</v>
      </c>
      <c r="M32" s="38" t="n">
        <v>14</v>
      </c>
      <c r="N32" s="463" t="n">
        <v>3</v>
      </c>
      <c r="O32" s="29">
        <f>((J32+F32+(LOG(G32)*4/3))*0.15)</f>
        <v>0.960205999132796073</v>
      </c>
      <c r="P32" s="29">
        <f>((M32+F32+(LOG(G32)*4/3))*0.552)+((K32+F32+(LOG(G32)*4/3))*0.576)+((L32+F32+(LOG(G32)*4/3))*0.195)</f>
        <v>12.8700169123512005</v>
      </c>
      <c r="Q32" s="29">
        <f>((M32+F32+(LOG(G32)*4/3))*0.607)+((L32+F32+(LOG(G32)*4/3))*0.248)</f>
        <v>11.6801741950570008</v>
      </c>
      <c r="R32" s="466">
        <f>((M32+F32+(LOG(G32)*4/3))*0.223)+((K32+F32+(LOG(G32)*4/3))*0)+((L32+F32+(LOG(G32)*4/3))*0)</f>
        <v>3.43450625204410009</v>
      </c>
      <c r="S32" s="29">
        <f>((J32+F32+(LOG(G32)*4/3))*0.406)</f>
        <v>2.59895757098610014</v>
      </c>
      <c r="T32" s="29">
        <f>IF(D32="TEC",((K32+F32+(LOG(G32)*4/3))*0.15)+((L32+F32+(LOG(G32)*4/3))*0.324)+((M32+F32+(LOG(G32)*4/3))*0.127),((K32+F32+(LOG(G32)*4/3))*0.144)+((L32+F32+(LOG(G32)*4/3))*0.25)+((M32+F32+(LOG(G32)*4/3))*0.127))</f>
        <v>4.94011550365457008</v>
      </c>
      <c r="U32" s="29">
        <f>IF(D32="TEC",((L32+F32+(LOG(G32)*4/3))*0.543)+((M32+F32+(LOG(G32)*4/3))*0.583),((L32+F32+(LOG(G32)*4/3))*0.543)+((M32+F32+(LOG(G32)*4/3))*0.583))</f>
        <v>14.0839463668235005</v>
      </c>
      <c r="V32" s="466">
        <f>T32</f>
        <v>4.94011550365457008</v>
      </c>
      <c r="W32" s="29">
        <f>((J32+F32+(LOG(G32)*4/3))*0.25)</f>
        <v>1.60034333188799005</v>
      </c>
      <c r="X32" s="29">
        <f>((M32+F32+(LOG(G32)*4/3))*0.26)+((K32+F32+(LOG(G32)*4/3))*0.221)+((L32+F32+(LOG(G32)*4/3))*0.142)</f>
        <v>6.31205558306488967</v>
      </c>
      <c r="Y32" s="29">
        <f>((M32+F32+(LOG(G32)*4/3))*1)+((L32+F32+(LOG(G32)*4/3))*0.369)</f>
        <v>18.8704800854186985</v>
      </c>
      <c r="Z32" s="466">
        <f>X32</f>
        <v>6.31205558306488967</v>
      </c>
      <c r="AA32" t="n">
        <v>5100</v>
      </c>
      <c r="AB32" s="288" t="n">
        <v>20.3000000000000007</v>
      </c>
      <c r="AE32" s="471"/>
      <c r="AF32" s="27">
        <f>AA32+(AB32*16*(36-B32-((112-C32)/112)))-AC32</f>
        <v>9023.69999999998981</v>
      </c>
      <c r="AG32" s="27">
        <f>AA32+(AB32*16*(34-B32-((112-C32)/112)))-AD32</f>
        <v>8374.09999999998945</v>
      </c>
      <c r="AH32" s="474">
        <f>AA32+(AB32*16*(32-B32-((112-C32)/112)))-AE32</f>
        <v>7724.5</v>
      </c>
      <c r="AI32" s="27">
        <f>(AF32-AC32)/(36-B32+((112-C32)/112))</f>
        <v>648.270942912120972</v>
      </c>
      <c r="AJ32" s="27">
        <f>(AF32-AD32)/(34-B32+((112-C32)/112))</f>
        <v>757.044494382019025</v>
      </c>
      <c r="AK32" s="474">
        <f>(AF32-AE32)/(32-B32+((112-C32)/112))</f>
        <v>909.679927992797957</v>
      </c>
    </row>
    <row r="33" spans="1:37">
      <c r="A33" s="456" t="s">
        <v>922</v>
      </c>
      <c r="B33" s="280" t="n">
        <v>23</v>
      </c>
      <c r="C33" s="27" t="n">
        <v>77</v>
      </c>
      <c r="D33" s="44" t="s">
        <v>172</v>
      </c>
      <c r="E33" s="451" t="n">
        <v>4</v>
      </c>
      <c r="F33" s="459" t="n">
        <v>1</v>
      </c>
      <c r="G33" s="460" t="n">
        <v>4</v>
      </c>
      <c r="H33" s="38" t="n">
        <v>0</v>
      </c>
      <c r="I33" s="38" t="n">
        <v>3</v>
      </c>
      <c r="J33" s="38" t="n">
        <v>5</v>
      </c>
      <c r="K33" s="38" t="n">
        <v>5</v>
      </c>
      <c r="L33" s="38" t="n">
        <v>13</v>
      </c>
      <c r="M33" s="38" t="n">
        <v>14</v>
      </c>
      <c r="N33" s="463" t="n">
        <v>4</v>
      </c>
      <c r="O33" s="29">
        <f>((J33+F33+(LOG(G33)*4/3))*0.15)</f>
        <v>1.02041199826558993</v>
      </c>
      <c r="P33" s="29">
        <f>((M33+F33+(LOG(G33)*4/3))*0.552)+((K33+F33+(LOG(G33)*4/3))*0.576)+((L33+F33+(LOG(G33)*4/3))*0.195)</f>
        <v>15.5280338247026002</v>
      </c>
      <c r="Q33" s="29">
        <f>((M33+F33+(LOG(G33)*4/3))*0.607)+((L33+F33+(LOG(G33)*4/3))*0.248)</f>
        <v>13.2633483901139009</v>
      </c>
      <c r="R33" s="466">
        <f>((M33+F33+(LOG(G33)*4/3))*0.223)+((K33+F33+(LOG(G33)*4/3))*0)+((L33+F33+(LOG(G33)*4/3))*0)</f>
        <v>3.52401250408818978</v>
      </c>
      <c r="S33" s="29">
        <f>((J33+F33+(LOG(G33)*4/3))*0.406)</f>
        <v>2.76191514197219989</v>
      </c>
      <c r="T33" s="29">
        <f>IF(D33="TEC",((K33+F33+(LOG(G33)*4/3))*0.15)+((L33+F33+(LOG(G33)*4/3))*0.324)+((M33+F33+(LOG(G33)*4/3))*0.127),((K33+F33+(LOG(G33)*4/3))*0.144)+((L33+F33+(LOG(G33)*4/3))*0.25)+((M33+F33+(LOG(G33)*4/3))*0.127))</f>
        <v>6.68723100730917963</v>
      </c>
      <c r="U33" s="29">
        <f>IF(D33="TEC",((L33+F33+(LOG(G33)*4/3))*0.543)+((M33+F33+(LOG(G33)*4/3))*0.583),((L33+F33+(LOG(G33)*4/3))*0.543)+((M33+F33+(LOG(G33)*4/3))*0.583))</f>
        <v>17.250892733647099</v>
      </c>
      <c r="V33" s="466">
        <f>T33</f>
        <v>6.68723100730917963</v>
      </c>
      <c r="W33" s="29">
        <f>((J33+F33+(LOG(G33)*4/3))*0.25)</f>
        <v>1.70068666377599005</v>
      </c>
      <c r="X33" s="29">
        <f>((M33+F33+(LOG(G33)*4/3))*0.26)+((K33+F33+(LOG(G33)*4/3))*0.221)+((L33+F33+(LOG(G33)*4/3))*0.142)</f>
        <v>7.71411116612978009</v>
      </c>
      <c r="Y33" s="29">
        <f>((M33+F33+(LOG(G33)*4/3))*1)+((L33+F33+(LOG(G33)*4/3))*0.369)</f>
        <v>21.2649601708374014</v>
      </c>
      <c r="Z33" s="466">
        <f>X33</f>
        <v>7.71411116612978009</v>
      </c>
      <c r="AA33" t="n">
        <v>8762</v>
      </c>
      <c r="AB33" s="288" t="n">
        <v>29.3000000000000007</v>
      </c>
      <c r="AC33" s="43" t="n">
        <v>1500</v>
      </c>
      <c r="AD33" s="43" t="n">
        <v>3500</v>
      </c>
      <c r="AE33" s="471" t="n">
        <v>5000</v>
      </c>
      <c r="AF33" s="27">
        <f>AA33+(AB33*16*(36-B33-((112-C33)/112)))-AC33</f>
        <v>13209.8999999999996</v>
      </c>
      <c r="AG33" s="27">
        <f>AA33+(AB33*16*(34-B33-((112-C33)/112)))-AD33</f>
        <v>10272.2999999999993</v>
      </c>
      <c r="AH33" s="474">
        <f>AA33+(AB33*16*(32-B33-((112-C33)/112)))-AE33</f>
        <v>7834.69999999999982</v>
      </c>
      <c r="AI33" s="27">
        <f>(AF33-AC33)/(36-B33+((112-C33)/112))</f>
        <v>879.616901408450985</v>
      </c>
      <c r="AJ33" s="27">
        <f>(AF33-AD33)/(34-B33+((112-C33)/112))</f>
        <v>858.33370165745896</v>
      </c>
      <c r="AK33" s="474">
        <f>(AF33-AE33)/(32-B33+((112-C33)/112))</f>
        <v>881.600000000000023</v>
      </c>
    </row>
    <row r="34" spans="1:37">
      <c r="A34" s="456" t="s">
        <v>923</v>
      </c>
      <c r="B34" s="280" t="n">
        <v>24</v>
      </c>
      <c r="C34" s="27" t="n">
        <v>5</v>
      </c>
      <c r="D34" s="44" t="s">
        <v>175</v>
      </c>
      <c r="E34" s="451" t="n">
        <v>5</v>
      </c>
      <c r="F34" s="459" t="n">
        <v>1</v>
      </c>
      <c r="G34" s="460" t="n">
        <v>4</v>
      </c>
      <c r="H34" s="38" t="n">
        <v>0</v>
      </c>
      <c r="I34" s="38" t="n">
        <v>2</v>
      </c>
      <c r="J34" s="38" t="n">
        <v>7</v>
      </c>
      <c r="K34" s="38" t="n">
        <v>6</v>
      </c>
      <c r="L34" s="38" t="n">
        <v>10</v>
      </c>
      <c r="M34" s="38" t="n">
        <v>13</v>
      </c>
      <c r="N34" s="463" t="n">
        <v>4</v>
      </c>
      <c r="O34" s="29">
        <f>((J34+F34+(LOG(G34)*4/3))*0.15)</f>
        <v>1.32041199826558997</v>
      </c>
      <c r="P34" s="29">
        <f>((M34+F34+(LOG(G34)*4/3))*0.552)+((K34+F34+(LOG(G34)*4/3))*0.576)+((L34+F34+(LOG(G34)*4/3))*0.195)</f>
        <v>14.9670338247026002</v>
      </c>
      <c r="Q34" s="29">
        <f>((M34+F34+(LOG(G34)*4/3))*0.607)+((L34+F34+(LOG(G34)*4/3))*0.248)</f>
        <v>11.9123483901139</v>
      </c>
      <c r="R34" s="466">
        <f>((M34+F34+(LOG(G34)*4/3))*0.223)+((K34+F34+(LOG(G34)*4/3))*0)+((L34+F34+(LOG(G34)*4/3))*0)</f>
        <v>3.30101250408818991</v>
      </c>
      <c r="S34" s="29">
        <f>((J34+F34+(LOG(G34)*4/3))*0.406)</f>
        <v>3.57391514197220017</v>
      </c>
      <c r="T34" s="29">
        <f>IF(D34="TEC",((K34+F34+(LOG(G34)*4/3))*0.15)+((L34+F34+(LOG(G34)*4/3))*0.324)+((M34+F34+(LOG(G34)*4/3))*0.127),((K34+F34+(LOG(G34)*4/3))*0.144)+((L34+F34+(LOG(G34)*4/3))*0.25)+((M34+F34+(LOG(G34)*4/3))*0.127))</f>
        <v>5.95423100730917998</v>
      </c>
      <c r="U34" s="29">
        <f>IF(D34="TEC",((L34+F34+(LOG(G34)*4/3))*0.543)+((M34+F34+(LOG(G34)*4/3))*0.583),((L34+F34+(LOG(G34)*4/3))*0.543)+((M34+F34+(LOG(G34)*4/3))*0.583))</f>
        <v>15.0388927336470992</v>
      </c>
      <c r="V34" s="466">
        <f>T34</f>
        <v>5.95423100730917998</v>
      </c>
      <c r="W34" s="29">
        <f>((J34+F34+(LOG(G34)*4/3))*0.25)</f>
        <v>2.20068666377598987</v>
      </c>
      <c r="X34" s="29">
        <f>((M34+F34+(LOG(G34)*4/3))*0.26)+((K34+F34+(LOG(G34)*4/3))*0.221)+((L34+F34+(LOG(G34)*4/3))*0.142)</f>
        <v>7.24911116612978024</v>
      </c>
      <c r="Y34" s="29">
        <f>((M34+F34+(LOG(G34)*4/3))*1)+((L34+F34+(LOG(G34)*4/3))*0.369)</f>
        <v>19.1579601708373986</v>
      </c>
      <c r="Z34" s="466">
        <f>X34</f>
        <v>7.24911116612978024</v>
      </c>
      <c r="AA34" t="n">
        <v>6000</v>
      </c>
      <c r="AB34" s="288" t="n">
        <v>17.3000000000000007</v>
      </c>
      <c r="AE34" s="471"/>
      <c r="AF34" s="27">
        <f>AA34+(AB34*16*(36-B34-((112-C34)/112)))-AC34</f>
        <v>9057.15714285716058</v>
      </c>
      <c r="AG34" s="27">
        <f>AA34+(AB34*16*(34-B34-((112-C34)/112)))-AD34</f>
        <v>8503.55714285714021</v>
      </c>
      <c r="AH34" s="474">
        <f>AA34+(AB34*16*(32-B34-((112-C34)/112)))-AE34</f>
        <v>7949.95714285713984</v>
      </c>
      <c r="AI34" s="27">
        <f>(AF34-AC34)/(36-B34+((112-C34)/112))</f>
        <v>699.105168849073038</v>
      </c>
      <c r="AJ34" s="27">
        <f>(AF34-AD34)/(34-B34+((112-C34)/112))</f>
        <v>826.733170334152987</v>
      </c>
      <c r="AK34" s="474">
        <f>(AF34-AE34)/(32-B34+((112-C34)/112))</f>
        <v>1011.36749750748004</v>
      </c>
    </row>
    <row r="35" spans="1:37">
      <c r="A35" s="456" t="s">
        <v>924</v>
      </c>
      <c r="B35" s="280" t="n">
        <v>26</v>
      </c>
      <c r="C35" s="27" t="n">
        <v>92</v>
      </c>
      <c r="D35" s="44" t="s">
        <v>175</v>
      </c>
      <c r="E35" s="451" t="n">
        <v>3</v>
      </c>
      <c r="F35" s="459" t="n">
        <v>1</v>
      </c>
      <c r="G35" s="460" t="n">
        <v>5</v>
      </c>
      <c r="H35" s="38" t="n">
        <v>0</v>
      </c>
      <c r="I35" s="38" t="n">
        <v>4</v>
      </c>
      <c r="J35" s="38" t="n">
        <v>3</v>
      </c>
      <c r="K35" s="38" t="n">
        <v>3</v>
      </c>
      <c r="L35" s="38" t="n">
        <v>14</v>
      </c>
      <c r="M35" s="38" t="n">
        <v>14</v>
      </c>
      <c r="N35" s="463" t="n">
        <v>3</v>
      </c>
      <c r="O35" s="29">
        <f>((J35+F35+(LOG(G35)*4/3))*0.15)</f>
        <v>0.739794000867204016</v>
      </c>
      <c r="P35" s="29">
        <f>((M35+F35+(LOG(G35)*4/3))*0.552)+((K35+F35+(LOG(G35)*4/3))*0.576)+((L35+F35+(LOG(G35)*4/3))*0.195)</f>
        <v>14.7419830876487996</v>
      </c>
      <c r="Q35" s="29">
        <f>((M35+F35+(LOG(G35)*4/3))*0.607)+((L35+F35+(LOG(G35)*4/3))*0.248)</f>
        <v>13.6218258049431</v>
      </c>
      <c r="R35" s="466">
        <f>((M35+F35+(LOG(G35)*4/3))*0.223)+((K35+F35+(LOG(G35)*4/3))*0)+((L35+F35+(LOG(G35)*4/3))*0)</f>
        <v>3.55282708128925018</v>
      </c>
      <c r="S35" s="29">
        <f>((J35+F35+(LOG(G35)*4/3))*0.406)</f>
        <v>2.00237576234723003</v>
      </c>
      <c r="T35" s="29">
        <f>IF(D35="TEC",((K35+F35+(LOG(G35)*4/3))*0.15)+((L35+F35+(LOG(G35)*4/3))*0.324)+((M35+F35+(LOG(G35)*4/3))*0.127),((K35+F35+(LOG(G35)*4/3))*0.144)+((L35+F35+(LOG(G35)*4/3))*0.25)+((M35+F35+(LOG(G35)*4/3))*0.127))</f>
        <v>6.71655116301211041</v>
      </c>
      <c r="U35" s="29">
        <f>IF(D35="TEC",((L35+F35+(LOG(G35)*4/3))*0.543)+((M35+F35+(LOG(G35)*4/3))*0.583),((L35+F35+(LOG(G35)*4/3))*0.543)+((M35+F35+(LOG(G35)*4/3))*0.583))</f>
        <v>17.9393869665099004</v>
      </c>
      <c r="V35" s="466">
        <f>T35</f>
        <v>6.71655116301211041</v>
      </c>
      <c r="W35" s="29">
        <f>((J35+F35+(LOG(G35)*4/3))*0.25)</f>
        <v>1.2329900014453401</v>
      </c>
      <c r="X35" s="29">
        <f>((M35+F35+(LOG(G35)*4/3))*0.26)+((K35+F35+(LOG(G35)*4/3))*0.221)+((L35+F35+(LOG(G35)*4/3))*0.142)</f>
        <v>7.49461108360180983</v>
      </c>
      <c r="Y35" s="29">
        <f>((M35+F35+(LOG(G35)*4/3))*1)+((L35+F35+(LOG(G35)*4/3))*0.369)</f>
        <v>21.8108532479147001</v>
      </c>
      <c r="Z35" s="466">
        <f>X35</f>
        <v>7.49461108360180983</v>
      </c>
      <c r="AA35" t="n">
        <v>6450</v>
      </c>
      <c r="AB35" s="288" t="n">
        <v>35.3999999999999986</v>
      </c>
      <c r="AC35" s="43" t="n">
        <v>2800</v>
      </c>
      <c r="AD35" s="43" t="n">
        <v>1800</v>
      </c>
      <c r="AE35" s="471" t="n">
        <v>1600</v>
      </c>
      <c r="AF35" s="27">
        <f>AA35+(AB35*16*(36-B35-((112-C35)/112)))-AC35</f>
        <v>9212.85714285709946</v>
      </c>
      <c r="AG35" s="27">
        <f>AA35+(AB35*16*(34-B35-((112-C35)/112)))-AD35</f>
        <v>9080.05714285710019</v>
      </c>
      <c r="AH35" s="474">
        <f>AA35+(AB35*16*(32-B35-((112-C35)/112)))-AE35</f>
        <v>8147.25714285714002</v>
      </c>
      <c r="AI35" s="27">
        <f>(AF35-AC35)/(36-B35+((112-C35)/112))</f>
        <v>630.03508771929603</v>
      </c>
      <c r="AJ35" s="27">
        <f>(AF35-AD35)/(34-B35+((112-C35)/112))</f>
        <v>906.375545851523043</v>
      </c>
      <c r="AK35" s="474">
        <f>(AF35-AE35)/(32-B35+((112-C35)/112))</f>
        <v>1232.13872832368997</v>
      </c>
    </row>
    <row r="36" spans="1:37">
      <c r="A36" s="456" t="s">
        <v>925</v>
      </c>
      <c r="B36" s="280" t="n">
        <v>27</v>
      </c>
      <c r="C36" s="27" t="n">
        <v>101</v>
      </c>
      <c r="D36" s="44" t="s">
        <v>172</v>
      </c>
      <c r="E36" s="451" t="n">
        <v>1</v>
      </c>
      <c r="F36" s="459" t="n">
        <v>1</v>
      </c>
      <c r="G36" s="460" t="n">
        <v>5</v>
      </c>
      <c r="H36" s="38" t="n">
        <v>0</v>
      </c>
      <c r="I36" s="38" t="n">
        <v>2</v>
      </c>
      <c r="J36" s="38" t="n">
        <v>2</v>
      </c>
      <c r="K36" s="38" t="n">
        <v>5</v>
      </c>
      <c r="L36" s="38" t="n">
        <v>14</v>
      </c>
      <c r="M36" s="38" t="n">
        <v>14</v>
      </c>
      <c r="N36" s="463" t="n">
        <v>14</v>
      </c>
      <c r="O36" s="29">
        <f>((J36+F36+(LOG(G36)*4/3))*0.15)</f>
        <v>0.589794000867204016</v>
      </c>
      <c r="P36" s="29">
        <f>((M36+F36+(LOG(G36)*4/3))*0.552)+((K36+F36+(LOG(G36)*4/3))*0.576)+((L36+F36+(LOG(G36)*4/3))*0.195)</f>
        <v>15.8939830876488006</v>
      </c>
      <c r="Q36" s="29">
        <f>((M36+F36+(LOG(G36)*4/3))*0.607)+((L36+F36+(LOG(G36)*4/3))*0.248)</f>
        <v>13.6218258049431</v>
      </c>
      <c r="R36" s="466">
        <f>((M36+F36+(LOG(G36)*4/3))*0.223)+((K36+F36+(LOG(G36)*4/3))*0)+((L36+F36+(LOG(G36)*4/3))*0)</f>
        <v>3.55282708128925018</v>
      </c>
      <c r="S36" s="29">
        <f>((J36+F36+(LOG(G36)*4/3))*0.406)</f>
        <v>1.59637576234723007</v>
      </c>
      <c r="T36" s="29">
        <f>IF(D36="TEC",((K36+F36+(LOG(G36)*4/3))*0.15)+((L36+F36+(LOG(G36)*4/3))*0.324)+((M36+F36+(LOG(G36)*4/3))*0.127),((K36+F36+(LOG(G36)*4/3))*0.144)+((L36+F36+(LOG(G36)*4/3))*0.25)+((M36+F36+(LOG(G36)*4/3))*0.127))</f>
        <v>7.00455116301210978</v>
      </c>
      <c r="U36" s="29">
        <f>IF(D36="TEC",((L36+F36+(LOG(G36)*4/3))*0.543)+((M36+F36+(LOG(G36)*4/3))*0.583),((L36+F36+(LOG(G36)*4/3))*0.543)+((M36+F36+(LOG(G36)*4/3))*0.583))</f>
        <v>17.9393869665099004</v>
      </c>
      <c r="V36" s="466">
        <f>T36</f>
        <v>7.00455116301210978</v>
      </c>
      <c r="W36" s="29">
        <f>((J36+F36+(LOG(G36)*4/3))*0.25)</f>
        <v>0.982990001445340056</v>
      </c>
      <c r="X36" s="29">
        <f>((M36+F36+(LOG(G36)*4/3))*0.26)+((K36+F36+(LOG(G36)*4/3))*0.221)+((L36+F36+(LOG(G36)*4/3))*0.142)</f>
        <v>7.93661108360181</v>
      </c>
      <c r="Y36" s="29">
        <f>((M36+F36+(LOG(G36)*4/3))*1)+((L36+F36+(LOG(G36)*4/3))*0.369)</f>
        <v>21.8108532479147001</v>
      </c>
      <c r="Z36" s="466">
        <f>X36</f>
        <v>7.93661108360181</v>
      </c>
      <c r="AA36" t="n">
        <v>6000</v>
      </c>
      <c r="AB36" s="288" t="n">
        <v>28</v>
      </c>
      <c r="AE36" s="471"/>
      <c r="AF36" s="27">
        <f>AA36+(AB36*16*(36-B36-((112-C36)/112)))-AC36</f>
        <v>9988</v>
      </c>
      <c r="AG36" s="27">
        <f>AA36+(AB36*16*(34-B36-((112-C36)/112)))-AD36</f>
        <v>9092</v>
      </c>
      <c r="AH36" s="474">
        <f>AA36+(AB36*16*(32-B36-((112-C36)/112)))-AE36</f>
        <v>8196</v>
      </c>
      <c r="AI36" s="27">
        <f>(AF36-AC36)/(36-B36+((112-C36)/112))</f>
        <v>1097.79784102060989</v>
      </c>
      <c r="AJ36" s="27">
        <f>(AF36-AD36)/(34-B36+((112-C36)/112))</f>
        <v>1407.11446540880002</v>
      </c>
      <c r="AK36" s="474">
        <f>(AF36-AE36)/(32-B36+((112-C36)/112))</f>
        <v>1959.11733800349998</v>
      </c>
    </row>
    <row r="37" spans="1:37">
      <c r="A37" s="456" t="s">
        <v>926</v>
      </c>
      <c r="B37" s="280" t="n">
        <v>22</v>
      </c>
      <c r="C37" s="27" t="n">
        <v>20</v>
      </c>
      <c r="D37" s="44" t="s">
        <v>172</v>
      </c>
      <c r="E37" s="451" t="n">
        <v>5</v>
      </c>
      <c r="F37" s="459" t="n">
        <v>1</v>
      </c>
      <c r="G37" s="460" t="n">
        <v>2</v>
      </c>
      <c r="H37" s="38" t="n">
        <v>0</v>
      </c>
      <c r="I37" s="38" t="n">
        <v>2</v>
      </c>
      <c r="J37" s="38" t="n">
        <v>3</v>
      </c>
      <c r="K37" s="38" t="n">
        <v>13</v>
      </c>
      <c r="L37" s="38" t="n">
        <v>4</v>
      </c>
      <c r="M37" s="38" t="n">
        <v>12</v>
      </c>
      <c r="N37" s="463" t="n">
        <v>0</v>
      </c>
      <c r="O37" s="29">
        <f>((J37+F37+(LOG(G37)*4/3))*0.15)</f>
        <v>0.660205999132795984</v>
      </c>
      <c r="P37" s="29">
        <f>((M37+F37+(LOG(G37)*4/3))*0.552)+((K37+F37+(LOG(G37)*4/3))*0.576)+((L37+F37+(LOG(G37)*4/3))*0.195)</f>
        <v>16.7460169123513012</v>
      </c>
      <c r="Q37" s="29">
        <f>((M37+F37+(LOG(G37)*4/3))*0.607)+((L37+F37+(LOG(G37)*4/3))*0.248)</f>
        <v>9.47417419505696046</v>
      </c>
      <c r="R37" s="466">
        <f>((M37+F37+(LOG(G37)*4/3))*0.223)+((K37+F37+(LOG(G37)*4/3))*0)+((L37+F37+(LOG(G37)*4/3))*0)</f>
        <v>2.98850625204410001</v>
      </c>
      <c r="S37" s="29">
        <f>((J37+F37+(LOG(G37)*4/3))*0.406)</f>
        <v>1.78695757098610013</v>
      </c>
      <c r="T37" s="29">
        <f>IF(D37="TEC",((K37+F37+(LOG(G37)*4/3))*0.15)+((L37+F37+(LOG(G37)*4/3))*0.324)+((M37+F37+(LOG(G37)*4/3))*0.127),((K37+F37+(LOG(G37)*4/3))*0.144)+((L37+F37+(LOG(G37)*4/3))*0.25)+((M37+F37+(LOG(G37)*4/3))*0.127))</f>
        <v>5.1261155036545798</v>
      </c>
      <c r="U37" s="29">
        <f>IF(D37="TEC",((L37+F37+(LOG(G37)*4/3))*0.543)+((M37+F37+(LOG(G37)*4/3))*0.583),((L37+F37+(LOG(G37)*4/3))*0.543)+((M37+F37+(LOG(G37)*4/3))*0.583))</f>
        <v>10.7459463668234996</v>
      </c>
      <c r="V37" s="466">
        <f>T37</f>
        <v>5.1261155036545798</v>
      </c>
      <c r="W37" s="29">
        <f>((J37+F37+(LOG(G37)*4/3))*0.25)</f>
        <v>1.10034333188799005</v>
      </c>
      <c r="X37" s="29">
        <f>((M37+F37+(LOG(G37)*4/3))*0.26)+((K37+F37+(LOG(G37)*4/3))*0.221)+((L37+F37+(LOG(G37)*4/3))*0.142)</f>
        <v>7.43405558306488956</v>
      </c>
      <c r="Y37" s="29">
        <f>((M37+F37+(LOG(G37)*4/3))*1)+((L37+F37+(LOG(G37)*4/3))*0.369)</f>
        <v>15.3944800854186994</v>
      </c>
      <c r="Z37" s="466">
        <f>X37</f>
        <v>7.43405558306488956</v>
      </c>
      <c r="AA37" t="n">
        <v>6500</v>
      </c>
      <c r="AB37" s="288" t="n">
        <v>12</v>
      </c>
      <c r="AE37" s="471"/>
      <c r="AF37" s="27">
        <f>AA37+(AB37*16*(36-B37-((112-C37)/112)))-AC37</f>
        <v>9030.28571428571013</v>
      </c>
      <c r="AG37" s="27">
        <f>AA37+(AB37*16*(34-B37-((112-C37)/112)))-AD37</f>
        <v>8646.28571428571013</v>
      </c>
      <c r="AH37" s="474">
        <f>AA37+(AB37*16*(32-B37-((112-C37)/112)))-AE37</f>
        <v>8262.28571428571013</v>
      </c>
      <c r="AI37" s="27">
        <f>(AF37-AC37)/(36-B37+((112-C37)/112))</f>
        <v>609.272289156624993</v>
      </c>
      <c r="AJ37" s="27">
        <f>(AF37-AD37)/(34-B37+((112-C37)/112))</f>
        <v>704.311977715875969</v>
      </c>
      <c r="AK37" s="474">
        <f>(AF37-AE37)/(32-B37+((112-C37)/112))</f>
        <v>834.481848184816045</v>
      </c>
    </row>
    <row r="38" spans="1:37">
      <c r="A38" s="456" t="s">
        <v>927</v>
      </c>
      <c r="B38" s="280" t="n">
        <v>22</v>
      </c>
      <c r="C38" s="27" t="n">
        <v>54</v>
      </c>
      <c r="D38" s="44" t="s">
        <v>185</v>
      </c>
      <c r="E38" s="451" t="n">
        <v>4</v>
      </c>
      <c r="F38" s="459" t="n">
        <v>1</v>
      </c>
      <c r="G38" s="460" t="n">
        <v>3</v>
      </c>
      <c r="H38" s="38" t="n">
        <v>0</v>
      </c>
      <c r="I38" s="38" t="n">
        <v>1</v>
      </c>
      <c r="J38" s="38" t="n">
        <v>2</v>
      </c>
      <c r="K38" s="38" t="n">
        <v>2</v>
      </c>
      <c r="L38" s="38" t="n">
        <v>6</v>
      </c>
      <c r="M38" s="38" t="n">
        <v>14</v>
      </c>
      <c r="N38" s="463" t="n">
        <v>13</v>
      </c>
      <c r="O38" s="29">
        <f>((J38+F38+(LOG(G38)*4/3))*0.15)</f>
        <v>0.545424250943932964</v>
      </c>
      <c r="P38" s="29">
        <f>((M38+F38+(LOG(G38)*4/3))*0.552)+((K38+F38+(LOG(G38)*4/3))*0.576)+((L38+F38+(LOG(G38)*4/3))*0.195)</f>
        <v>12.2146418933254992</v>
      </c>
      <c r="Q38" s="29">
        <f>((M38+F38+(LOG(G38)*4/3))*0.607)+((L38+F38+(LOG(G38)*4/3))*0.248)</f>
        <v>11.3849182303804994</v>
      </c>
      <c r="R38" s="466">
        <f>((M38+F38+(LOG(G38)*4/3))*0.223)+((K38+F38+(LOG(G38)*4/3))*0)+((L38+F38+(LOG(G38)*4/3))*0)</f>
        <v>3.48686405306998992</v>
      </c>
      <c r="S38" s="29">
        <f>((J38+F38+(LOG(G38)*4/3))*0.406)</f>
        <v>1.47628163922158002</v>
      </c>
      <c r="T38" s="29">
        <f>IF(D38="TEC",((K38+F38+(LOG(G38)*4/3))*0.15)+((L38+F38+(LOG(G38)*4/3))*0.324)+((M38+F38+(LOG(G38)*4/3))*0.127),((K38+F38+(LOG(G38)*4/3))*0.144)+((L38+F38+(LOG(G38)*4/3))*0.25)+((M38+F38+(LOG(G38)*4/3))*0.127))</f>
        <v>4.41844023161193977</v>
      </c>
      <c r="U38" s="29">
        <f>IF(D38="TEC",((L38+F38+(LOG(G38)*4/3))*0.543)+((M38+F38+(LOG(G38)*4/3))*0.583),((L38+F38+(LOG(G38)*4/3))*0.543)+((M38+F38+(LOG(G38)*4/3))*0.583))</f>
        <v>13.2623180437525008</v>
      </c>
      <c r="V38" s="466">
        <f>T38</f>
        <v>4.41844023161193977</v>
      </c>
      <c r="W38" s="29">
        <f>((J38+F38+(LOG(G38)*4/3))*0.25)</f>
        <v>0.909040418239887948</v>
      </c>
      <c r="X38" s="29">
        <f>((M38+F38+(LOG(G38)*4/3))*0.26)+((K38+F38+(LOG(G38)*4/3))*0.221)+((L38+F38+(LOG(G38)*4/3))*0.142)</f>
        <v>5.95332872225382026</v>
      </c>
      <c r="Y38" s="29">
        <f>((M38+F38+(LOG(G38)*4/3))*1)+((L38+F38+(LOG(G38)*4/3))*0.369)</f>
        <v>18.4539053302816995</v>
      </c>
      <c r="Z38" s="466">
        <f>X38</f>
        <v>5.95332872225382026</v>
      </c>
      <c r="AA38" t="n">
        <v>6000</v>
      </c>
      <c r="AB38" s="288" t="n">
        <v>15</v>
      </c>
      <c r="AE38" s="471"/>
      <c r="AF38" s="27">
        <f>AA38+(AB38*16*(36-B38-((112-C38)/112)))-AC38</f>
        <v>9235.71428571430079</v>
      </c>
      <c r="AG38" s="27">
        <f>AA38+(AB38*16*(34-B38-((112-C38)/112)))-AD38</f>
        <v>8755.71428571430079</v>
      </c>
      <c r="AH38" s="474">
        <f>AA38+(AB38*16*(32-B38-((112-C38)/112)))-AE38</f>
        <v>8275.71428571428987</v>
      </c>
      <c r="AI38" s="27">
        <f>(AF38-AC38)/(36-B38+((112-C38)/112))</f>
        <v>636.162361623618949</v>
      </c>
      <c r="AJ38" s="27">
        <f>(AF38-AD38)/(34-B38+((112-C38)/112))</f>
        <v>737.803138373756042</v>
      </c>
      <c r="AK38" s="474">
        <f>(AF38-AE38)/(32-B38+((112-C38)/112))</f>
        <v>878.098471986422965</v>
      </c>
    </row>
    <row r="39" spans="1:37">
      <c r="A39" s="456" t="s">
        <v>928</v>
      </c>
      <c r="B39" s="280" t="n">
        <v>23</v>
      </c>
      <c r="C39" s="27" t="n">
        <v>69</v>
      </c>
      <c r="D39" s="44" t="s">
        <v>172</v>
      </c>
      <c r="E39" s="451"/>
      <c r="F39" s="459" t="n">
        <v>1</v>
      </c>
      <c r="G39" s="460" t="n">
        <v>3</v>
      </c>
      <c r="H39" s="38" t="n">
        <v>0</v>
      </c>
      <c r="I39" s="38" t="n">
        <v>2</v>
      </c>
      <c r="J39" s="38" t="n">
        <v>3</v>
      </c>
      <c r="K39" s="38" t="n">
        <v>9</v>
      </c>
      <c r="L39" s="38" t="n">
        <v>9</v>
      </c>
      <c r="M39" s="38" t="n">
        <v>12</v>
      </c>
      <c r="N39" s="463" t="n">
        <v>2</v>
      </c>
      <c r="O39" s="29">
        <f>((J39+F39+(LOG(G39)*4/3))*0.15)</f>
        <v>0.695424250943933053</v>
      </c>
      <c r="P39" s="29">
        <f>((M39+F39+(LOG(G39)*4/3))*0.552)+((K39+F39+(LOG(G39)*4/3))*0.576)+((L39+F39+(LOG(G39)*4/3))*0.195)</f>
        <v>15.7276418933255009</v>
      </c>
      <c r="Q39" s="29">
        <f>((M39+F39+(LOG(G39)*4/3))*0.607)+((L39+F39+(LOG(G39)*4/3))*0.248)</f>
        <v>10.9149182303805006</v>
      </c>
      <c r="R39" s="466">
        <f>((M39+F39+(LOG(G39)*4/3))*0.223)+((K39+F39+(LOG(G39)*4/3))*0)+((L39+F39+(LOG(G39)*4/3))*0)</f>
        <v>3.04086405306999019</v>
      </c>
      <c r="S39" s="29">
        <f>((J39+F39+(LOG(G39)*4/3))*0.406)</f>
        <v>1.88228163922157989</v>
      </c>
      <c r="T39" s="29">
        <f>IF(D39="TEC",((K39+F39+(LOG(G39)*4/3))*0.15)+((L39+F39+(LOG(G39)*4/3))*0.324)+((M39+F39+(LOG(G39)*4/3))*0.127),((K39+F39+(LOG(G39)*4/3))*0.144)+((L39+F39+(LOG(G39)*4/3))*0.25)+((M39+F39+(LOG(G39)*4/3))*0.127))</f>
        <v>5.92244023161194999</v>
      </c>
      <c r="U39" s="29">
        <f>IF(D39="TEC",((L39+F39+(LOG(G39)*4/3))*0.543)+((M39+F39+(LOG(G39)*4/3))*0.583),((L39+F39+(LOG(G39)*4/3))*0.543)+((M39+F39+(LOG(G39)*4/3))*0.583))</f>
        <v>13.7253180437525</v>
      </c>
      <c r="V39" s="466">
        <f>T39</f>
        <v>5.92244023161194999</v>
      </c>
      <c r="W39" s="29">
        <f>((J39+F39+(LOG(G39)*4/3))*0.25)</f>
        <v>1.1590404182398899</v>
      </c>
      <c r="X39" s="29">
        <f>((M39+F39+(LOG(G39)*4/3))*0.26)+((K39+F39+(LOG(G39)*4/3))*0.221)+((L39+F39+(LOG(G39)*4/3))*0.142)</f>
        <v>7.40632872225383032</v>
      </c>
      <c r="Y39" s="29">
        <f>((M39+F39+(LOG(G39)*4/3))*1)+((L39+F39+(LOG(G39)*4/3))*0.369)</f>
        <v>17.5609053302816989</v>
      </c>
      <c r="Z39" s="466">
        <f>X39</f>
        <v>7.40632872225383032</v>
      </c>
      <c r="AA39" t="n">
        <v>6875</v>
      </c>
      <c r="AB39" s="288" t="n">
        <v>10.8000000000000007</v>
      </c>
      <c r="AE39" s="471"/>
      <c r="AF39" s="27">
        <f>AA39+(AB39*16*(36-B39-((112-C39)/112)))-AC39</f>
        <v>9055.05714285714021</v>
      </c>
      <c r="AG39" s="27">
        <f>AA39+(AB39*16*(34-B39-((112-C39)/112)))-AD39</f>
        <v>8709.45714285713984</v>
      </c>
      <c r="AH39" s="474">
        <f>AA39+(AB39*16*(32-B39-((112-C39)/112)))-AE39</f>
        <v>8363.85714285713948</v>
      </c>
      <c r="AI39" s="27">
        <f>(AF39-AC39)/(36-B39+((112-C39)/112))</f>
        <v>676.561974649765034</v>
      </c>
      <c r="AJ39" s="27">
        <f>(AF39-AD39)/(34-B39+((112-C39)/112))</f>
        <v>795.424627450978051</v>
      </c>
      <c r="AK39" s="474">
        <f>(AF39-AE39)/(32-B39+((112-C39)/112))</f>
        <v>964.95375832540401</v>
      </c>
    </row>
    <row r="40" spans="1:37">
      <c r="A40" s="456" t="s">
        <v>929</v>
      </c>
      <c r="B40" s="280" t="n">
        <v>23</v>
      </c>
      <c r="C40" s="27" t="n">
        <v>78</v>
      </c>
      <c r="D40" s="44" t="s">
        <v>175</v>
      </c>
      <c r="E40" s="451" t="n">
        <v>3</v>
      </c>
      <c r="F40" s="459" t="n">
        <v>1</v>
      </c>
      <c r="G40" s="460" t="n">
        <v>3</v>
      </c>
      <c r="H40" s="38" t="n">
        <v>0</v>
      </c>
      <c r="I40" s="38" t="n">
        <v>3</v>
      </c>
      <c r="J40" s="38" t="n">
        <v>6</v>
      </c>
      <c r="K40" s="38" t="n">
        <v>9</v>
      </c>
      <c r="L40" s="38" t="n">
        <v>7</v>
      </c>
      <c r="M40" s="38" t="n">
        <v>13</v>
      </c>
      <c r="N40" s="463" t="n">
        <v>6</v>
      </c>
      <c r="O40" s="29">
        <f>((J40+F40+(LOG(G40)*4/3))*0.15)</f>
        <v>1.14542425094393008</v>
      </c>
      <c r="P40" s="29">
        <f>((M40+F40+(LOG(G40)*4/3))*0.552)+((K40+F40+(LOG(G40)*4/3))*0.576)+((L40+F40+(LOG(G40)*4/3))*0.195)</f>
        <v>15.8896418933254999</v>
      </c>
      <c r="Q40" s="29">
        <f>((M40+F40+(LOG(G40)*4/3))*0.607)+((L40+F40+(LOG(G40)*4/3))*0.248)</f>
        <v>11.0259182303804995</v>
      </c>
      <c r="R40" s="466">
        <f>((M40+F40+(LOG(G40)*4/3))*0.223)+((K40+F40+(LOG(G40)*4/3))*0)+((L40+F40+(LOG(G40)*4/3))*0)</f>
        <v>3.26386405306999006</v>
      </c>
      <c r="S40" s="29">
        <f>((J40+F40+(LOG(G40)*4/3))*0.406)</f>
        <v>3.10028163922157995</v>
      </c>
      <c r="T40" s="29">
        <f>IF(D40="TEC",((K40+F40+(LOG(G40)*4/3))*0.15)+((L40+F40+(LOG(G40)*4/3))*0.324)+((M40+F40+(LOG(G40)*4/3))*0.127),((K40+F40+(LOG(G40)*4/3))*0.144)+((L40+F40+(LOG(G40)*4/3))*0.25)+((M40+F40+(LOG(G40)*4/3))*0.127))</f>
        <v>5.54944023161194</v>
      </c>
      <c r="U40" s="29">
        <f>IF(D40="TEC",((L40+F40+(LOG(G40)*4/3))*0.543)+((M40+F40+(LOG(G40)*4/3))*0.583),((L40+F40+(LOG(G40)*4/3))*0.543)+((M40+F40+(LOG(G40)*4/3))*0.583))</f>
        <v>13.2223180437524999</v>
      </c>
      <c r="V40" s="466">
        <f>T40</f>
        <v>5.54944023161194</v>
      </c>
      <c r="W40" s="29">
        <f>((J40+F40+(LOG(G40)*4/3))*0.25)</f>
        <v>1.9090404182398899</v>
      </c>
      <c r="X40" s="29">
        <f>((M40+F40+(LOG(G40)*4/3))*0.26)+((K40+F40+(LOG(G40)*4/3))*0.221)+((L40+F40+(LOG(G40)*4/3))*0.142)</f>
        <v>7.3823287222538303</v>
      </c>
      <c r="Y40" s="29">
        <f>((M40+F40+(LOG(G40)*4/3))*1)+((L40+F40+(LOG(G40)*4/3))*0.369)</f>
        <v>17.8229053302816993</v>
      </c>
      <c r="Z40" s="466">
        <f>X40</f>
        <v>7.3823287222538303</v>
      </c>
      <c r="AA40" t="n">
        <v>6500</v>
      </c>
      <c r="AB40" s="288" t="n">
        <v>14</v>
      </c>
      <c r="AE40" s="471"/>
      <c r="AF40" s="27">
        <f>AA40+(AB40*16*(36-B40-((112-C40)/112)))-AC40</f>
        <v>9344.00000000000909</v>
      </c>
      <c r="AG40" s="27">
        <f>AA40+(AB40*16*(34-B40-((112-C40)/112)))-AD40</f>
        <v>8896.00000000000909</v>
      </c>
      <c r="AH40" s="474">
        <f>AA40+(AB40*16*(32-B40-((112-C40)/112)))-AE40</f>
        <v>8448</v>
      </c>
      <c r="AI40" s="27">
        <f>(AF40-AC40)/(36-B40+((112-C40)/112))</f>
        <v>702.367785234902044</v>
      </c>
      <c r="AJ40" s="27">
        <f>(AF40-AD40)/(34-B40+((112-C40)/112))</f>
        <v>826.641390205374023</v>
      </c>
      <c r="AK40" s="474">
        <f>(AF40-AE40)/(32-B40+((112-C40)/112))</f>
        <v>1004.34548944337996</v>
      </c>
    </row>
    <row r="41" spans="1:37">
      <c r="A41" s="456" t="s">
        <v>930</v>
      </c>
      <c r="B41" s="280" t="n">
        <v>23</v>
      </c>
      <c r="C41" s="27" t="n">
        <v>59</v>
      </c>
      <c r="D41" s="44" t="s">
        <v>172</v>
      </c>
      <c r="E41" s="451" t="n">
        <v>4</v>
      </c>
      <c r="F41" s="459" t="n">
        <v>1</v>
      </c>
      <c r="G41" s="460" t="n">
        <v>1</v>
      </c>
      <c r="H41" s="38" t="n">
        <v>0</v>
      </c>
      <c r="I41" s="38" t="n">
        <v>2</v>
      </c>
      <c r="J41" s="38" t="n">
        <v>6</v>
      </c>
      <c r="K41" s="38" t="n">
        <v>3</v>
      </c>
      <c r="L41" s="38" t="n">
        <v>11</v>
      </c>
      <c r="M41" s="38" t="n">
        <v>14</v>
      </c>
      <c r="N41" s="463" t="n">
        <v>8</v>
      </c>
      <c r="O41" s="29">
        <f>((J41+F41+(LOG(G41)*4/3))*0.15)</f>
        <v>1.05000000000000004</v>
      </c>
      <c r="P41" s="29">
        <f>((M41+F41+(LOG(G41)*4/3))*0.552)+((K41+F41+(LOG(G41)*4/3))*0.576)+((L41+F41+(LOG(G41)*4/3))*0.195)</f>
        <v>12.9239999999999995</v>
      </c>
      <c r="Q41" s="29">
        <f>((M41+F41+(LOG(G41)*4/3))*0.607)+((L41+F41+(LOG(G41)*4/3))*0.248)</f>
        <v>12.0809999999999995</v>
      </c>
      <c r="R41" s="466">
        <f>((M41+F41+(LOG(G41)*4/3))*0.223)+((K41+F41+(LOG(G41)*4/3))*0)+((L41+F41+(LOG(G41)*4/3))*0)</f>
        <v>3.3450000000000002</v>
      </c>
      <c r="S41" s="29">
        <f>((J41+F41+(LOG(G41)*4/3))*0.406)</f>
        <v>2.84200000000000017</v>
      </c>
      <c r="T41" s="29">
        <f>IF(D41="TEC",((K41+F41+(LOG(G41)*4/3))*0.15)+((L41+F41+(LOG(G41)*4/3))*0.324)+((M41+F41+(LOG(G41)*4/3))*0.127),((K41+F41+(LOG(G41)*4/3))*0.144)+((L41+F41+(LOG(G41)*4/3))*0.25)+((M41+F41+(LOG(G41)*4/3))*0.127))</f>
        <v>5.48099999999999987</v>
      </c>
      <c r="U41" s="29">
        <f>IF(D41="TEC",((L41+F41+(LOG(G41)*4/3))*0.543)+((M41+F41+(LOG(G41)*4/3))*0.583),((L41+F41+(LOG(G41)*4/3))*0.543)+((M41+F41+(LOG(G41)*4/3))*0.583))</f>
        <v>15.2609999999999992</v>
      </c>
      <c r="V41" s="466">
        <f>T41</f>
        <v>5.48099999999999987</v>
      </c>
      <c r="W41" s="29">
        <f>((J41+F41+(LOG(G41)*4/3))*0.25)</f>
        <v>1.75</v>
      </c>
      <c r="X41" s="29">
        <f>((M41+F41+(LOG(G41)*4/3))*0.26)+((K41+F41+(LOG(G41)*4/3))*0.221)+((L41+F41+(LOG(G41)*4/3))*0.142)</f>
        <v>6.48800000000000043</v>
      </c>
      <c r="Y41" s="29">
        <f>((M41+F41+(LOG(G41)*4/3))*1)+((L41+F41+(LOG(G41)*4/3))*0.369)</f>
        <v>19.4280000000000008</v>
      </c>
      <c r="Z41" s="466">
        <f>X41</f>
        <v>6.48800000000000043</v>
      </c>
      <c r="AA41" t="n">
        <v>7250</v>
      </c>
      <c r="AB41" s="288" t="n">
        <v>26.1000000000000014</v>
      </c>
      <c r="AC41" s="43" t="n">
        <v>1300</v>
      </c>
      <c r="AD41" s="43" t="n">
        <v>1600</v>
      </c>
      <c r="AE41" s="471" t="n">
        <v>2000</v>
      </c>
      <c r="AF41" s="27">
        <f>AA41+(AB41*16*(36-B41-((112-C41)/112)))-AC41</f>
        <v>11181.1857142857007</v>
      </c>
      <c r="AG41" s="27">
        <f>AA41+(AB41*16*(34-B41-((112-C41)/112)))-AD41</f>
        <v>10045.9857142856999</v>
      </c>
      <c r="AH41" s="474">
        <f>AA41+(AB41*16*(32-B41-((112-C41)/112)))-AE41</f>
        <v>8810.78571428569921</v>
      </c>
      <c r="AI41" s="27">
        <f>(AF41-AC41)/(36-B41+((112-C41)/112))</f>
        <v>733.394831013914995</v>
      </c>
      <c r="AJ41" s="27">
        <f>(AF41-AD41)/(34-B41+((112-C41)/112))</f>
        <v>835.091673151748978</v>
      </c>
      <c r="AK41" s="474">
        <f>(AF41-AE41)/(32-B41+((112-C41)/112))</f>
        <v>969.173232799244033</v>
      </c>
    </row>
    <row r="42" spans="1:37">
      <c r="A42" s="456" t="s">
        <v>931</v>
      </c>
      <c r="B42" s="280" t="n">
        <v>22</v>
      </c>
      <c r="C42" s="27" t="n">
        <v>42</v>
      </c>
      <c r="D42" s="44" t="s">
        <v>185</v>
      </c>
      <c r="E42" s="451"/>
      <c r="F42" s="459" t="n">
        <v>1</v>
      </c>
      <c r="G42" s="460" t="n">
        <v>2</v>
      </c>
      <c r="H42" s="38" t="n">
        <v>0</v>
      </c>
      <c r="I42" s="38" t="n">
        <v>1</v>
      </c>
      <c r="J42" s="38" t="n">
        <v>4</v>
      </c>
      <c r="K42" s="38" t="n">
        <v>2</v>
      </c>
      <c r="L42" s="38" t="n">
        <v>9</v>
      </c>
      <c r="M42" s="38" t="n">
        <v>14</v>
      </c>
      <c r="N42" s="463" t="n">
        <v>3</v>
      </c>
      <c r="O42" s="29">
        <f>((J42+F42+(LOG(G42)*4/3))*0.15)</f>
        <v>0.810205999132796073</v>
      </c>
      <c r="P42" s="29">
        <f>((M42+F42+(LOG(G42)*4/3))*0.552)+((K42+F42+(LOG(G42)*4/3))*0.576)+((L42+F42+(LOG(G42)*4/3))*0.195)</f>
        <v>12.4890169123512003</v>
      </c>
      <c r="Q42" s="29">
        <f>((M42+F42+(LOG(G42)*4/3))*0.607)+((L42+F42+(LOG(G42)*4/3))*0.248)</f>
        <v>11.9281741950570002</v>
      </c>
      <c r="R42" s="466">
        <f>((M42+F42+(LOG(G42)*4/3))*0.223)+((K42+F42+(LOG(G42)*4/3))*0)+((L42+F42+(LOG(G42)*4/3))*0)</f>
        <v>3.43450625204410009</v>
      </c>
      <c r="S42" s="29">
        <f>((J42+F42+(LOG(G42)*4/3))*0.406)</f>
        <v>2.1929575709861</v>
      </c>
      <c r="T42" s="29">
        <f>IF(D42="TEC",((K42+F42+(LOG(G42)*4/3))*0.15)+((L42+F42+(LOG(G42)*4/3))*0.324)+((M42+F42+(LOG(G42)*4/3))*0.127),((K42+F42+(LOG(G42)*4/3))*0.144)+((L42+F42+(LOG(G42)*4/3))*0.25)+((M42+F42+(LOG(G42)*4/3))*0.127))</f>
        <v>5.04611550365457973</v>
      </c>
      <c r="U42" s="29">
        <f>IF(D42="TEC",((L42+F42+(LOG(G42)*4/3))*0.543)+((M42+F42+(LOG(G42)*4/3))*0.583),((L42+F42+(LOG(G42)*4/3))*0.543)+((M42+F42+(LOG(G42)*4/3))*0.583))</f>
        <v>14.6269463668235993</v>
      </c>
      <c r="V42" s="466">
        <f>T42</f>
        <v>5.04611550365457973</v>
      </c>
      <c r="W42" s="29">
        <f>((J42+F42+(LOG(G42)*4/3))*0.25)</f>
        <v>1.35034333188799005</v>
      </c>
      <c r="X42" s="29">
        <f>((M42+F42+(LOG(G42)*4/3))*0.26)+((K42+F42+(LOG(G42)*4/3))*0.221)+((L42+F42+(LOG(G42)*4/3))*0.142)</f>
        <v>6.23305558306488994</v>
      </c>
      <c r="Y42" s="29">
        <f>((M42+F42+(LOG(G42)*4/3))*1)+((L42+F42+(LOG(G42)*4/3))*0.369)</f>
        <v>19.2394800854186983</v>
      </c>
      <c r="Z42" s="466">
        <f>X42</f>
        <v>6.23305558306488994</v>
      </c>
      <c r="AA42" t="n">
        <v>5000</v>
      </c>
      <c r="AB42" s="288" t="n">
        <v>25.6999999999999993</v>
      </c>
      <c r="AE42" s="471"/>
      <c r="AF42" s="27">
        <f>AA42+(AB42*16*(36-B42-((112-C42)/112)))-AC42</f>
        <v>10499.7999999999993</v>
      </c>
      <c r="AG42" s="27">
        <f>AA42+(AB42*16*(34-B42-((112-C42)/112)))-AD42</f>
        <v>9677.39999999999964</v>
      </c>
      <c r="AH42" s="474">
        <f>AA42+(AB42*16*(32-B42-((112-C42)/112)))-AE42</f>
        <v>8855</v>
      </c>
      <c r="AI42" s="27">
        <f>(AF42-AC42)/(36-B42+((112-C42)/112))</f>
        <v>717.935042735042998</v>
      </c>
      <c r="AJ42" s="27">
        <f>(AF42-AD42)/(34-B42+((112-C42)/112))</f>
        <v>831.667326732673018</v>
      </c>
      <c r="AK42" s="474">
        <f>(AF42-AE42)/(32-B42+((112-C42)/112))</f>
        <v>988.216470588234984</v>
      </c>
    </row>
    <row r="43" spans="1:37">
      <c r="A43" s="456" t="s">
        <v>932</v>
      </c>
      <c r="B43" s="280" t="n">
        <v>27</v>
      </c>
      <c r="C43" s="27" t="n">
        <v>19</v>
      </c>
      <c r="D43" s="44" t="s">
        <v>175</v>
      </c>
      <c r="E43" s="451" t="n">
        <v>3</v>
      </c>
      <c r="F43" s="459" t="n">
        <v>1</v>
      </c>
      <c r="G43" s="460" t="n">
        <v>4</v>
      </c>
      <c r="H43" s="38" t="n">
        <v>0</v>
      </c>
      <c r="I43" s="38" t="n">
        <v>4</v>
      </c>
      <c r="J43" s="38" t="n">
        <v>4</v>
      </c>
      <c r="K43" s="38" t="n">
        <v>8</v>
      </c>
      <c r="L43" s="38" t="n">
        <v>13</v>
      </c>
      <c r="M43" s="38" t="n">
        <v>13</v>
      </c>
      <c r="N43" s="463" t="n">
        <v>19</v>
      </c>
      <c r="O43" s="29">
        <f>((J43+F43+(LOG(G43)*4/3))*0.15)</f>
        <v>0.870411998265593034</v>
      </c>
      <c r="P43" s="29">
        <f>((M43+F43+(LOG(G43)*4/3))*0.552)+((K43+F43+(LOG(G43)*4/3))*0.576)+((L43+F43+(LOG(G43)*4/3))*0.195)</f>
        <v>16.7040338247025986</v>
      </c>
      <c r="Q43" s="29">
        <f>((M43+F43+(LOG(G43)*4/3))*0.607)+((L43+F43+(LOG(G43)*4/3))*0.248)</f>
        <v>12.6563483901138998</v>
      </c>
      <c r="R43" s="466">
        <f>((M43+F43+(LOG(G43)*4/3))*0.223)+((K43+F43+(LOG(G43)*4/3))*0)+((L43+F43+(LOG(G43)*4/3))*0)</f>
        <v>3.30101250408818991</v>
      </c>
      <c r="S43" s="29">
        <f>((J43+F43+(LOG(G43)*4/3))*0.406)</f>
        <v>2.3559151419722002</v>
      </c>
      <c r="T43" s="29">
        <f>IF(D43="TEC",((K43+F43+(LOG(G43)*4/3))*0.15)+((L43+F43+(LOG(G43)*4/3))*0.324)+((M43+F43+(LOG(G43)*4/3))*0.127),((K43+F43+(LOG(G43)*4/3))*0.144)+((L43+F43+(LOG(G43)*4/3))*0.25)+((M43+F43+(LOG(G43)*4/3))*0.127))</f>
        <v>6.99223100730918024</v>
      </c>
      <c r="U43" s="29">
        <f>IF(D43="TEC",((L43+F43+(LOG(G43)*4/3))*0.543)+((M43+F43+(LOG(G43)*4/3))*0.583),((L43+F43+(LOG(G43)*4/3))*0.543)+((M43+F43+(LOG(G43)*4/3))*0.583))</f>
        <v>16.6678927336471006</v>
      </c>
      <c r="V43" s="466">
        <f>T43</f>
        <v>6.99223100730918024</v>
      </c>
      <c r="W43" s="29">
        <f>((J43+F43+(LOG(G43)*4/3))*0.25)</f>
        <v>1.45068666377599005</v>
      </c>
      <c r="X43" s="29">
        <f>((M43+F43+(LOG(G43)*4/3))*0.26)+((K43+F43+(LOG(G43)*4/3))*0.221)+((L43+F43+(LOG(G43)*4/3))*0.142)</f>
        <v>8.11711116612977968</v>
      </c>
      <c r="Y43" s="29">
        <f>((M43+F43+(LOG(G43)*4/3))*1)+((L43+F43+(LOG(G43)*4/3))*0.369)</f>
        <v>20.2649601708374014</v>
      </c>
      <c r="Z43" s="466">
        <f>X43</f>
        <v>8.11711116612977968</v>
      </c>
      <c r="AA43" t="n">
        <v>7200</v>
      </c>
      <c r="AB43" s="288" t="n">
        <v>26.1000000000000014</v>
      </c>
      <c r="AE43" s="471"/>
      <c r="AF43" s="27">
        <f>AA43+(AB43*16*(36-B43-((112-C43)/112)))-AC43</f>
        <v>10611.6428571429005</v>
      </c>
      <c r="AG43" s="27">
        <f>AA43+(AB43*16*(34-B43-((112-C43)/112)))-AD43</f>
        <v>9776.44285714285979</v>
      </c>
      <c r="AH43" s="474">
        <f>AA43+(AB43*16*(32-B43-((112-C43)/112)))-AE43</f>
        <v>8941.24285714286088</v>
      </c>
      <c r="AI43" s="27">
        <f>(AF43-AC43)/(36-B43+((112-C43)/112))</f>
        <v>1079.47683923705995</v>
      </c>
      <c r="AJ43" s="27">
        <f>(AF43-AD43)/(34-B43+((112-C43)/112))</f>
        <v>1355.19270239452999</v>
      </c>
      <c r="AK43" s="474">
        <f>(AF43-AE43)/(32-B43+((112-C43)/112))</f>
        <v>1820.0673813170099</v>
      </c>
    </row>
    <row r="44" spans="1:37">
      <c r="A44" s="456" t="s">
        <v>933</v>
      </c>
      <c r="B44" s="280" t="n">
        <v>21</v>
      </c>
      <c r="C44" s="27" t="n">
        <v>63</v>
      </c>
      <c r="D44" s="44" t="s">
        <v>175</v>
      </c>
      <c r="E44" s="451"/>
      <c r="F44" s="459" t="n">
        <v>1</v>
      </c>
      <c r="G44" s="460" t="n">
        <v>3</v>
      </c>
      <c r="H44" s="38" t="n">
        <v>0</v>
      </c>
      <c r="I44" s="38" t="n">
        <v>6</v>
      </c>
      <c r="J44" s="38" t="n">
        <v>3</v>
      </c>
      <c r="K44" s="38" t="n">
        <v>5</v>
      </c>
      <c r="L44" s="38" t="n">
        <v>10</v>
      </c>
      <c r="M44" s="38" t="n">
        <v>13</v>
      </c>
      <c r="N44" s="463" t="n">
        <v>0</v>
      </c>
      <c r="O44" s="29">
        <f>((J44+F44+(LOG(G44)*4/3))*0.15)</f>
        <v>0.695424250943933053</v>
      </c>
      <c r="P44" s="29">
        <f>((M44+F44+(LOG(G44)*4/3))*0.552)+((K44+F44+(LOG(G44)*4/3))*0.576)+((L44+F44+(LOG(G44)*4/3))*0.195)</f>
        <v>14.1706418933255005</v>
      </c>
      <c r="Q44" s="29">
        <f>((M44+F44+(LOG(G44)*4/3))*0.607)+((L44+F44+(LOG(G44)*4/3))*0.248)</f>
        <v>11.7699182303804992</v>
      </c>
      <c r="R44" s="466">
        <f>((M44+F44+(LOG(G44)*4/3))*0.223)+((K44+F44+(LOG(G44)*4/3))*0)+((L44+F44+(LOG(G44)*4/3))*0)</f>
        <v>3.26386405306999006</v>
      </c>
      <c r="S44" s="29">
        <f>((J44+F44+(LOG(G44)*4/3))*0.406)</f>
        <v>1.88228163922157989</v>
      </c>
      <c r="T44" s="29">
        <f>IF(D44="TEC",((K44+F44+(LOG(G44)*4/3))*0.15)+((L44+F44+(LOG(G44)*4/3))*0.324)+((M44+F44+(LOG(G44)*4/3))*0.127),((K44+F44+(LOG(G44)*4/3))*0.144)+((L44+F44+(LOG(G44)*4/3))*0.25)+((M44+F44+(LOG(G44)*4/3))*0.127))</f>
        <v>5.72344023161195015</v>
      </c>
      <c r="U44" s="29">
        <f>IF(D44="TEC",((L44+F44+(LOG(G44)*4/3))*0.543)+((M44+F44+(LOG(G44)*4/3))*0.583),((L44+F44+(LOG(G44)*4/3))*0.543)+((M44+F44+(LOG(G44)*4/3))*0.583))</f>
        <v>14.8513180437524994</v>
      </c>
      <c r="V44" s="466">
        <f>T44</f>
        <v>5.72344023161195015</v>
      </c>
      <c r="W44" s="29">
        <f>((J44+F44+(LOG(G44)*4/3))*0.25)</f>
        <v>1.1590404182398899</v>
      </c>
      <c r="X44" s="29">
        <f>((M44+F44+(LOG(G44)*4/3))*0.26)+((K44+F44+(LOG(G44)*4/3))*0.221)+((L44+F44+(LOG(G44)*4/3))*0.142)</f>
        <v>6.92432872225382035</v>
      </c>
      <c r="Y44" s="29">
        <f>((M44+F44+(LOG(G44)*4/3))*1)+((L44+F44+(LOG(G44)*4/3))*0.369)</f>
        <v>18.9299053302816986</v>
      </c>
      <c r="Z44" s="466">
        <f>X44</f>
        <v>6.92432872225382035</v>
      </c>
      <c r="AA44" t="n">
        <v>6500</v>
      </c>
      <c r="AB44" s="288">
        <f>14.05*1.2</f>
        <v>16.8599999999999994</v>
      </c>
      <c r="AE44" s="471"/>
      <c r="AF44" s="27">
        <f>AA44+(AB44*16*(36-B44-((112-C44)/112)))-AC44</f>
        <v>10428.3799999999992</v>
      </c>
      <c r="AG44" s="27">
        <f>AA44+(AB44*16*(34-B44-((112-C44)/112)))-AD44</f>
        <v>9888.86000000000058</v>
      </c>
      <c r="AH44" s="474">
        <f>AA44+(AB44*16*(32-B44-((112-C44)/112)))-AE44</f>
        <v>9349.34000000000015</v>
      </c>
      <c r="AI44" s="27">
        <f>(AF44-AC44)/(36-B44+((112-C44)/112))</f>
        <v>675.522591093117967</v>
      </c>
      <c r="AJ44" s="27">
        <f>(AF44-AD44)/(34-B44+((112-C44)/112))</f>
        <v>776.065488372093</v>
      </c>
      <c r="AK44" s="474">
        <f>(AF44-AE44)/(32-B44+((112-C44)/112))</f>
        <v>911.77092896174895</v>
      </c>
    </row>
    <row r="45" spans="1:37">
      <c r="A45" s="456" t="s">
        <v>934</v>
      </c>
      <c r="B45" s="280" t="n">
        <v>22</v>
      </c>
      <c r="C45" s="27" t="n">
        <v>36</v>
      </c>
      <c r="D45" s="44" t="s">
        <v>175</v>
      </c>
      <c r="E45" s="451"/>
      <c r="F45" s="459">
        <f>Plantilla!N11</f>
        <v>1</v>
      </c>
      <c r="G45" s="460" t="n">
        <v>3</v>
      </c>
      <c r="H45" s="38" t="n">
        <v>0</v>
      </c>
      <c r="I45" s="38" t="n">
        <v>2</v>
      </c>
      <c r="J45" s="38" t="n">
        <v>2</v>
      </c>
      <c r="K45" s="38" t="n">
        <v>2</v>
      </c>
      <c r="L45" s="38" t="n">
        <v>10</v>
      </c>
      <c r="M45" s="38" t="n">
        <v>14</v>
      </c>
      <c r="N45" s="463" t="n">
        <v>2</v>
      </c>
      <c r="O45" s="29">
        <f>((J45+F45+(LOG(G45)*4/3))*0.15)</f>
        <v>0.545424250943932964</v>
      </c>
      <c r="P45" s="29">
        <f>((M45+F45+(LOG(G45)*4/3))*0.552)+((K45+F45+(LOG(G45)*4/3))*0.576)+((L45+F45+(LOG(G45)*4/3))*0.195)</f>
        <v>12.9946418933255003</v>
      </c>
      <c r="Q45" s="29">
        <f>((M45+F45+(LOG(G45)*4/3))*0.607)+((L45+F45+(LOG(G45)*4/3))*0.248)</f>
        <v>12.3769182303805003</v>
      </c>
      <c r="R45" s="466">
        <f>((M45+F45+(LOG(G45)*4/3))*0.223)+((K45+F45+(LOG(G45)*4/3))*0)+((L45+F45+(LOG(G45)*4/3))*0)</f>
        <v>3.48686405306998992</v>
      </c>
      <c r="S45" s="29">
        <f>((J45+F45+(LOG(G45)*4/3))*0.406)</f>
        <v>1.47628163922158002</v>
      </c>
      <c r="T45" s="29">
        <f>IF(D45="TEC",((K45+F45+(LOG(G45)*4/3))*0.15)+((L45+F45+(LOG(G45)*4/3))*0.324)+((M45+F45+(LOG(G45)*4/3))*0.127),((K45+F45+(LOG(G45)*4/3))*0.144)+((L45+F45+(LOG(G45)*4/3))*0.25)+((M45+F45+(LOG(G45)*4/3))*0.127))</f>
        <v>5.41844023161195043</v>
      </c>
      <c r="U45" s="29">
        <f>IF(D45="TEC",((L45+F45+(LOG(G45)*4/3))*0.543)+((M45+F45+(LOG(G45)*4/3))*0.583),((L45+F45+(LOG(G45)*4/3))*0.543)+((M45+F45+(LOG(G45)*4/3))*0.583))</f>
        <v>15.4343180437524996</v>
      </c>
      <c r="V45" s="466">
        <f>T45</f>
        <v>5.41844023161195043</v>
      </c>
      <c r="W45" s="29">
        <f>((J45+F45+(LOG(G45)*4/3))*0.25)</f>
        <v>0.909040418239887948</v>
      </c>
      <c r="X45" s="29">
        <f>((M45+F45+(LOG(G45)*4/3))*0.26)+((K45+F45+(LOG(G45)*4/3))*0.221)+((L45+F45+(LOG(G45)*4/3))*0.142)</f>
        <v>6.52132872225381988</v>
      </c>
      <c r="Y45" s="29">
        <f>((M45+F45+(LOG(G45)*4/3))*1)+((L45+F45+(LOG(G45)*4/3))*0.369)</f>
        <v>19.9299053302816986</v>
      </c>
      <c r="Z45" s="466">
        <f>X45</f>
        <v>6.52132872225381988</v>
      </c>
      <c r="AA45" t="n">
        <v>5500</v>
      </c>
      <c r="AB45" s="288" t="n">
        <v>26</v>
      </c>
      <c r="AE45" s="471"/>
      <c r="AF45" s="27">
        <f>AA45+(AB45*16*(36-B45-((112-C45)/112)))-AC45</f>
        <v>11041.7142857143008</v>
      </c>
      <c r="AG45" s="27">
        <f>AA45+(AB45*16*(34-B45-((112-C45)/112)))-AD45</f>
        <v>10209.7142857143008</v>
      </c>
      <c r="AH45" s="474">
        <f>AA45+(AB45*16*(32-B45-((112-C45)/112)))-AE45</f>
        <v>9377.71428571428987</v>
      </c>
      <c r="AI45" s="27">
        <f>(AF45-AC45)/(36-B45+((112-C45)/112))</f>
        <v>752.233576642337994</v>
      </c>
      <c r="AJ45" s="27">
        <f>(AF45-AD45)/(34-B45+((112-C45)/112))</f>
        <v>870.895774647891017</v>
      </c>
      <c r="AK45" s="474">
        <f>(AF45-AE45)/(32-B45+((112-C45)/112))</f>
        <v>1034.00668896322009</v>
      </c>
    </row>
    <row r="46" spans="1:37">
      <c r="A46" s="456" t="s">
        <v>935</v>
      </c>
      <c r="B46" s="280" t="n">
        <v>23</v>
      </c>
      <c r="C46" s="27" t="n">
        <v>78</v>
      </c>
      <c r="D46" s="44" t="s">
        <v>175</v>
      </c>
      <c r="E46" s="451"/>
      <c r="F46" s="459">
        <f>Plantilla!N8</f>
        <v>1</v>
      </c>
      <c r="G46" s="460" t="n">
        <v>3</v>
      </c>
      <c r="H46" s="38" t="n">
        <v>0</v>
      </c>
      <c r="I46" s="38" t="n">
        <v>3</v>
      </c>
      <c r="J46" s="38" t="n">
        <v>4</v>
      </c>
      <c r="K46" s="38" t="n">
        <v>3</v>
      </c>
      <c r="L46" s="38" t="n">
        <v>12</v>
      </c>
      <c r="M46" s="38" t="n">
        <v>13</v>
      </c>
      <c r="N46" s="463" t="n">
        <v>3</v>
      </c>
      <c r="O46" s="29">
        <f>((J46+F46+(LOG(G46)*4/3))*0.15)</f>
        <v>0.845424250943933053</v>
      </c>
      <c r="P46" s="29">
        <f>((M46+F46+(LOG(G46)*4/3))*0.552)+((K46+F46+(LOG(G46)*4/3))*0.576)+((L46+F46+(LOG(G46)*4/3))*0.195)</f>
        <v>13.4086418933255</v>
      </c>
      <c r="Q46" s="29">
        <f>((M46+F46+(LOG(G46)*4/3))*0.607)+((L46+F46+(LOG(G46)*4/3))*0.248)</f>
        <v>12.2659182303804997</v>
      </c>
      <c r="R46" s="466">
        <f>((M46+F46+(LOG(G46)*4/3))*0.223)+((K46+F46+(LOG(G46)*4/3))*0)+((L46+F46+(LOG(G46)*4/3))*0)</f>
        <v>3.26386405306999006</v>
      </c>
      <c r="S46" s="29">
        <f>((J46+F46+(LOG(G46)*4/3))*0.406)</f>
        <v>2.28828163922158012</v>
      </c>
      <c r="T46" s="29">
        <f>IF(D46="TEC",((K46+F46+(LOG(G46)*4/3))*0.15)+((L46+F46+(LOG(G46)*4/3))*0.324)+((M46+F46+(LOG(G46)*4/3))*0.127),((K46+F46+(LOG(G46)*4/3))*0.144)+((L46+F46+(LOG(G46)*4/3))*0.25)+((M46+F46+(LOG(G46)*4/3))*0.127))</f>
        <v>5.93544023161194989</v>
      </c>
      <c r="U46" s="29">
        <f>IF(D46="TEC",((L46+F46+(LOG(G46)*4/3))*0.543)+((M46+F46+(LOG(G46)*4/3))*0.583),((L46+F46+(LOG(G46)*4/3))*0.543)+((M46+F46+(LOG(G46)*4/3))*0.583))</f>
        <v>15.9373180437524997</v>
      </c>
      <c r="V46" s="466">
        <f>T46</f>
        <v>5.93544023161194989</v>
      </c>
      <c r="W46" s="29">
        <f>((J46+F46+(LOG(G46)*4/3))*0.25)</f>
        <v>1.4090404182398899</v>
      </c>
      <c r="X46" s="29">
        <f>((M46+F46+(LOG(G46)*4/3))*0.26)+((K46+F46+(LOG(G46)*4/3))*0.221)+((L46+F46+(LOG(G46)*4/3))*0.142)</f>
        <v>6.76632872225381998</v>
      </c>
      <c r="Y46" s="29">
        <f>((M46+F46+(LOG(G46)*4/3))*1)+((L46+F46+(LOG(G46)*4/3))*0.369)</f>
        <v>19.6679053302817017</v>
      </c>
      <c r="Z46" s="466">
        <f>X46</f>
        <v>6.76632872225381998</v>
      </c>
      <c r="AA46" t="n">
        <v>7500</v>
      </c>
      <c r="AB46" s="288" t="n">
        <v>13.5</v>
      </c>
      <c r="AE46" s="471"/>
      <c r="AF46" s="27">
        <f>AA46+(AB46*16*(36-B46-((112-C46)/112)))-AC46</f>
        <v>10242.4285714285998</v>
      </c>
      <c r="AG46" s="27">
        <f>AA46+(AB46*16*(34-B46-((112-C46)/112)))-AD46</f>
        <v>9810.42857142857974</v>
      </c>
      <c r="AH46" s="474">
        <f>AA46+(AB46*16*(32-B46-((112-C46)/112)))-AE46</f>
        <v>9378.42857142857065</v>
      </c>
      <c r="AI46" s="27">
        <f>(AF46-AC46)/(36-B46+((112-C46)/112))</f>
        <v>769.900671140943018</v>
      </c>
      <c r="AJ46" s="27">
        <f>(AF46-AD46)/(34-B46+((112-C46)/112))</f>
        <v>906.123222748820012</v>
      </c>
      <c r="AK46" s="474">
        <f>(AF46-AE46)/(32-B46+((112-C46)/112))</f>
        <v>1100.91362763916004</v>
      </c>
    </row>
    <row r="47" spans="1:37">
      <c r="A47" s="456" t="s">
        <v>936</v>
      </c>
      <c r="B47" s="280" t="n">
        <v>24</v>
      </c>
      <c r="C47" s="27" t="n">
        <v>41</v>
      </c>
      <c r="D47" s="44" t="s">
        <v>175</v>
      </c>
      <c r="E47" s="451" t="n">
        <v>4</v>
      </c>
      <c r="F47" s="459" t="n">
        <v>1</v>
      </c>
      <c r="G47" s="460" t="n">
        <v>4</v>
      </c>
      <c r="H47" s="38" t="n">
        <v>0</v>
      </c>
      <c r="I47" s="38" t="n">
        <v>3</v>
      </c>
      <c r="J47" s="38" t="n">
        <v>8</v>
      </c>
      <c r="K47" s="38" t="n">
        <v>6</v>
      </c>
      <c r="L47" s="38" t="n">
        <v>9</v>
      </c>
      <c r="M47" s="38" t="n">
        <v>13</v>
      </c>
      <c r="N47" s="463" t="n">
        <v>3</v>
      </c>
      <c r="O47" s="29">
        <f>((J47+F47+(LOG(G47)*4/3))*0.15)</f>
        <v>1.4704119982655901</v>
      </c>
      <c r="P47" s="29">
        <f>((M47+F47+(LOG(G47)*4/3))*0.552)+((K47+F47+(LOG(G47)*4/3))*0.576)+((L47+F47+(LOG(G47)*4/3))*0.195)</f>
        <v>14.7720338247026</v>
      </c>
      <c r="Q47" s="29">
        <f>((M47+F47+(LOG(G47)*4/3))*0.607)+((L47+F47+(LOG(G47)*4/3))*0.248)</f>
        <v>11.6643483901139007</v>
      </c>
      <c r="R47" s="466">
        <f>((M47+F47+(LOG(G47)*4/3))*0.223)+((K47+F47+(LOG(G47)*4/3))*0)+((L47+F47+(LOG(G47)*4/3))*0)</f>
        <v>3.30101250408818991</v>
      </c>
      <c r="S47" s="29">
        <f>((J47+F47+(LOG(G47)*4/3))*0.406)</f>
        <v>3.97991514197219978</v>
      </c>
      <c r="T47" s="29">
        <f>IF(D47="TEC",((K47+F47+(LOG(G47)*4/3))*0.15)+((L47+F47+(LOG(G47)*4/3))*0.324)+((M47+F47+(LOG(G47)*4/3))*0.127),((K47+F47+(LOG(G47)*4/3))*0.144)+((L47+F47+(LOG(G47)*4/3))*0.25)+((M47+F47+(LOG(G47)*4/3))*0.127))</f>
        <v>5.70423100730917998</v>
      </c>
      <c r="U47" s="29">
        <f>IF(D47="TEC",((L47+F47+(LOG(G47)*4/3))*0.543)+((M47+F47+(LOG(G47)*4/3))*0.583),((L47+F47+(LOG(G47)*4/3))*0.543)+((M47+F47+(LOG(G47)*4/3))*0.583))</f>
        <v>14.4958927336471</v>
      </c>
      <c r="V47" s="466">
        <f>T47</f>
        <v>5.70423100730917998</v>
      </c>
      <c r="W47" s="29">
        <f>((J47+F47+(LOG(G47)*4/3))*0.25)</f>
        <v>2.45068666377598987</v>
      </c>
      <c r="X47" s="29">
        <f>((M47+F47+(LOG(G47)*4/3))*0.26)+((K47+F47+(LOG(G47)*4/3))*0.221)+((L47+F47+(LOG(G47)*4/3))*0.142)</f>
        <v>7.10711116612977989</v>
      </c>
      <c r="Y47" s="29">
        <f>((M47+F47+(LOG(G47)*4/3))*1)+((L47+F47+(LOG(G47)*4/3))*0.369)</f>
        <v>18.7889601708373988</v>
      </c>
      <c r="Z47" s="466">
        <f>X47</f>
        <v>7.10711116612977989</v>
      </c>
      <c r="AA47" t="n">
        <v>6500</v>
      </c>
      <c r="AB47" s="288" t="n">
        <v>24.5</v>
      </c>
      <c r="AE47" s="471"/>
      <c r="AF47" s="27">
        <f>AA47+(AB47*16*(36-B47-((112-C47)/112)))-AC47</f>
        <v>10955.5</v>
      </c>
      <c r="AG47" s="27">
        <f>AA47+(AB47*16*(34-B47-((112-C47)/112)))-AD47</f>
        <v>10171.5</v>
      </c>
      <c r="AH47" s="474">
        <f>AA47+(AB47*16*(32-B47-((112-C47)/112)))-AE47</f>
        <v>9387.5</v>
      </c>
      <c r="AI47" s="27">
        <f>(AF47-AC47)/(36-B47+((112-C47)/112))</f>
        <v>867.149116607772044</v>
      </c>
      <c r="AJ47" s="27">
        <f>(AF47-AD47)/(34-B47+((112-C47)/112))</f>
        <v>1030.24013434089011</v>
      </c>
      <c r="AK47" s="474">
        <f>(AF47-AE47)/(32-B47+((112-C47)/112))</f>
        <v>1268.8893485005201</v>
      </c>
    </row>
    <row r="48" spans="1:37">
      <c r="A48" s="456" t="s">
        <v>937</v>
      </c>
      <c r="B48" s="280" t="n">
        <v>23</v>
      </c>
      <c r="C48" s="27" t="n">
        <v>75</v>
      </c>
      <c r="D48" s="44" t="s">
        <v>175</v>
      </c>
      <c r="E48" s="451" t="n">
        <v>2</v>
      </c>
      <c r="F48" s="459" t="n">
        <v>1</v>
      </c>
      <c r="G48" s="460" t="n">
        <v>4</v>
      </c>
      <c r="H48" s="38" t="n">
        <v>0</v>
      </c>
      <c r="I48" s="38" t="n">
        <v>3</v>
      </c>
      <c r="J48" s="38" t="n">
        <v>4</v>
      </c>
      <c r="K48" s="38" t="n">
        <v>7</v>
      </c>
      <c r="L48" s="38" t="n">
        <v>7</v>
      </c>
      <c r="M48" s="38" t="n">
        <v>14</v>
      </c>
      <c r="N48" s="463" t="n">
        <v>1</v>
      </c>
      <c r="O48" s="29">
        <f>((J48+F48+(LOG(G48)*4/3))*0.15)</f>
        <v>0.870411998265593034</v>
      </c>
      <c r="P48" s="29">
        <f>((M48+F48+(LOG(G48)*4/3))*0.552)+((K48+F48+(LOG(G48)*4/3))*0.576)+((L48+F48+(LOG(G48)*4/3))*0.195)</f>
        <v>15.5100338247025995</v>
      </c>
      <c r="Q48" s="29">
        <f>((M48+F48+(LOG(G48)*4/3))*0.607)+((L48+F48+(LOG(G48)*4/3))*0.248)</f>
        <v>11.7753483901138996</v>
      </c>
      <c r="R48" s="466">
        <f>((M48+F48+(LOG(G48)*4/3))*0.223)+((K48+F48+(LOG(G48)*4/3))*0)+((L48+F48+(LOG(G48)*4/3))*0)</f>
        <v>3.52401250408818978</v>
      </c>
      <c r="S48" s="29">
        <f>((J48+F48+(LOG(G48)*4/3))*0.406)</f>
        <v>2.3559151419722002</v>
      </c>
      <c r="T48" s="29">
        <f>IF(D48="TEC",((K48+F48+(LOG(G48)*4/3))*0.15)+((L48+F48+(LOG(G48)*4/3))*0.324)+((M48+F48+(LOG(G48)*4/3))*0.127),((K48+F48+(LOG(G48)*4/3))*0.144)+((L48+F48+(LOG(G48)*4/3))*0.25)+((M48+F48+(LOG(G48)*4/3))*0.127))</f>
        <v>5.47523100730917012</v>
      </c>
      <c r="U48" s="29">
        <f>IF(D48="TEC",((L48+F48+(LOG(G48)*4/3))*0.543)+((M48+F48+(LOG(G48)*4/3))*0.583),((L48+F48+(LOG(G48)*4/3))*0.543)+((M48+F48+(LOG(G48)*4/3))*0.583))</f>
        <v>13.9928927336470998</v>
      </c>
      <c r="V48" s="466">
        <f>T48</f>
        <v>5.47523100730917012</v>
      </c>
      <c r="W48" s="29">
        <f>((J48+F48+(LOG(G48)*4/3))*0.25)</f>
        <v>1.45068666377599005</v>
      </c>
      <c r="X48" s="29">
        <f>((M48+F48+(LOG(G48)*4/3))*0.26)+((K48+F48+(LOG(G48)*4/3))*0.221)+((L48+F48+(LOG(G48)*4/3))*0.142)</f>
        <v>7.30411116612977018</v>
      </c>
      <c r="Y48" s="29">
        <f>((M48+F48+(LOG(G48)*4/3))*1)+((L48+F48+(LOG(G48)*4/3))*0.369)</f>
        <v>19.0509601708373992</v>
      </c>
      <c r="Z48" s="466">
        <f>X48</f>
        <v>7.30411116612977018</v>
      </c>
      <c r="AA48" t="n">
        <v>6750</v>
      </c>
      <c r="AB48" s="288" t="n">
        <v>19.5</v>
      </c>
      <c r="AE48" s="471"/>
      <c r="AF48" s="27">
        <f>AA48+(AB48*16*(36-B48-((112-C48)/112)))-AC48</f>
        <v>10702.9285714285998</v>
      </c>
      <c r="AG48" s="27">
        <f>AA48+(AB48*16*(34-B48-((112-C48)/112)))-AD48</f>
        <v>10078.9285714285998</v>
      </c>
      <c r="AH48" s="474">
        <f>AA48+(AB48*16*(32-B48-((112-C48)/112)))-AE48</f>
        <v>9454.92857142857065</v>
      </c>
      <c r="AI48" s="27">
        <f>(AF48-AC48)/(36-B48+((112-C48)/112))</f>
        <v>802.898861352985023</v>
      </c>
      <c r="AJ48" s="27">
        <f>(AF48-AD48)/(34-B48+((112-C48)/112))</f>
        <v>944.624113475184004</v>
      </c>
      <c r="AK48" s="474">
        <f>(AF48-AE48)/(32-B48+((112-C48)/112))</f>
        <v>1147.10813397130005</v>
      </c>
    </row>
    <row r="49" spans="1:37">
      <c r="A49" s="456" t="s">
        <v>938</v>
      </c>
      <c r="B49" s="280" t="n">
        <v>23</v>
      </c>
      <c r="C49" s="27" t="n">
        <v>66</v>
      </c>
      <c r="D49" s="44" t="s">
        <v>175</v>
      </c>
      <c r="E49" s="451" t="n">
        <v>0</v>
      </c>
      <c r="F49" s="459" t="n">
        <v>1</v>
      </c>
      <c r="G49" s="460" t="n">
        <v>3</v>
      </c>
      <c r="H49" s="38" t="n">
        <v>0</v>
      </c>
      <c r="I49" s="38" t="n">
        <v>2</v>
      </c>
      <c r="J49" s="38" t="n">
        <v>4</v>
      </c>
      <c r="K49" s="38" t="n">
        <v>6</v>
      </c>
      <c r="L49" s="38" t="n">
        <v>11</v>
      </c>
      <c r="M49" s="38" t="n">
        <v>14</v>
      </c>
      <c r="N49" s="463" t="n">
        <v>1</v>
      </c>
      <c r="O49" s="29">
        <f>((J49+F49+(LOG(G49)*4/3))*0.15)</f>
        <v>0.845424250943933053</v>
      </c>
      <c r="P49" s="29">
        <f>((M49+F49+(LOG(G49)*4/3))*0.552)+((K49+F49+(LOG(G49)*4/3))*0.576)+((L49+F49+(LOG(G49)*4/3))*0.195)</f>
        <v>15.4936418933254991</v>
      </c>
      <c r="Q49" s="29">
        <f>((M49+F49+(LOG(G49)*4/3))*0.607)+((L49+F49+(LOG(G49)*4/3))*0.248)</f>
        <v>12.6249182303804997</v>
      </c>
      <c r="R49" s="466">
        <f>((M49+F49+(LOG(G49)*4/3))*0.223)+((K49+F49+(LOG(G49)*4/3))*0)+((L49+F49+(LOG(G49)*4/3))*0)</f>
        <v>3.48686405306998992</v>
      </c>
      <c r="S49" s="29">
        <f>((J49+F49+(LOG(G49)*4/3))*0.406)</f>
        <v>2.28828163922158012</v>
      </c>
      <c r="T49" s="29">
        <f>IF(D49="TEC",((K49+F49+(LOG(G49)*4/3))*0.15)+((L49+F49+(LOG(G49)*4/3))*0.324)+((M49+F49+(LOG(G49)*4/3))*0.127),((K49+F49+(LOG(G49)*4/3))*0.144)+((L49+F49+(LOG(G49)*4/3))*0.25)+((M49+F49+(LOG(G49)*4/3))*0.127))</f>
        <v>6.24444023161195005</v>
      </c>
      <c r="U49" s="29">
        <f>IF(D49="TEC",((L49+F49+(LOG(G49)*4/3))*0.543)+((M49+F49+(LOG(G49)*4/3))*0.583),((L49+F49+(LOG(G49)*4/3))*0.543)+((M49+F49+(LOG(G49)*4/3))*0.583))</f>
        <v>15.9773180437525006</v>
      </c>
      <c r="V49" s="466">
        <f>T49</f>
        <v>6.24444023161195005</v>
      </c>
      <c r="W49" s="29">
        <f>((J49+F49+(LOG(G49)*4/3))*0.25)</f>
        <v>1.4090404182398899</v>
      </c>
      <c r="X49" s="29">
        <f>((M49+F49+(LOG(G49)*4/3))*0.26)+((K49+F49+(LOG(G49)*4/3))*0.221)+((L49+F49+(LOG(G49)*4/3))*0.142)</f>
        <v>7.54732872225381968</v>
      </c>
      <c r="Y49" s="29">
        <f>((M49+F49+(LOG(G49)*4/3))*1)+((L49+F49+(LOG(G49)*4/3))*0.369)</f>
        <v>20.2989053302816984</v>
      </c>
      <c r="Z49" s="466">
        <f>X49</f>
        <v>7.54732872225381968</v>
      </c>
      <c r="AA49" t="n">
        <v>7234</v>
      </c>
      <c r="AB49" s="288" t="n">
        <v>19</v>
      </c>
      <c r="AE49" s="471"/>
      <c r="AF49" s="27">
        <f>AA49+(AB49*16*(36-B49-((112-C49)/112)))-AC49</f>
        <v>11061.1428571429005</v>
      </c>
      <c r="AG49" s="27">
        <f>AA49+(AB49*16*(34-B49-((112-C49)/112)))-AD49</f>
        <v>10453.1428571429005</v>
      </c>
      <c r="AH49" s="474">
        <f>AA49+(AB49*16*(32-B49-((112-C49)/112)))-AE49</f>
        <v>9845.14285714286052</v>
      </c>
      <c r="AI49" s="27">
        <f>(AF49-AC49)/(36-B49+((112-C49)/112))</f>
        <v>824.798934753663957</v>
      </c>
      <c r="AJ49" s="27">
        <f>(AF49-AD49)/(34-B49+((112-C49)/112))</f>
        <v>969.364632237874048</v>
      </c>
      <c r="AK49" s="474">
        <f>(AF49-AE49)/(32-B49+((112-C49)/112))</f>
        <v>1175.37760910815996</v>
      </c>
    </row>
    <row r="50" spans="1:37">
      <c r="A50" s="456" t="s">
        <v>939</v>
      </c>
      <c r="B50" s="280" t="n">
        <v>20</v>
      </c>
      <c r="C50" s="27" t="n">
        <v>94</v>
      </c>
      <c r="D50" s="44" t="s">
        <v>172</v>
      </c>
      <c r="E50" s="451"/>
      <c r="F50" s="459" t="n">
        <v>1</v>
      </c>
      <c r="G50" s="460" t="n">
        <v>4</v>
      </c>
      <c r="H50" s="38" t="n">
        <v>0</v>
      </c>
      <c r="I50" s="38" t="n">
        <v>3</v>
      </c>
      <c r="J50" s="38" t="n">
        <v>7</v>
      </c>
      <c r="K50" s="38" t="n">
        <v>5</v>
      </c>
      <c r="L50" s="38" t="n">
        <v>7</v>
      </c>
      <c r="M50" s="38" t="n">
        <v>13</v>
      </c>
      <c r="N50" s="463" t="n">
        <v>1</v>
      </c>
      <c r="O50" s="29">
        <f>((J50+F50+(LOG(G50)*4/3))*0.15)</f>
        <v>1.32041199826558997</v>
      </c>
      <c r="P50" s="29">
        <f>((M50+F50+(LOG(G50)*4/3))*0.552)+((K50+F50+(LOG(G50)*4/3))*0.576)+((L50+F50+(LOG(G50)*4/3))*0.195)</f>
        <v>13.8060338247026007</v>
      </c>
      <c r="Q50" s="29">
        <f>((M50+F50+(LOG(G50)*4/3))*0.607)+((L50+F50+(LOG(G50)*4/3))*0.248)</f>
        <v>11.1683483901139002</v>
      </c>
      <c r="R50" s="466">
        <f>((M50+F50+(LOG(G50)*4/3))*0.223)+((K50+F50+(LOG(G50)*4/3))*0)+((L50+F50+(LOG(G50)*4/3))*0)</f>
        <v>3.30101250408818991</v>
      </c>
      <c r="S50" s="29">
        <f>((J50+F50+(LOG(G50)*4/3))*0.406)</f>
        <v>3.57391514197220017</v>
      </c>
      <c r="T50" s="29">
        <f>IF(D50="TEC",((K50+F50+(LOG(G50)*4/3))*0.15)+((L50+F50+(LOG(G50)*4/3))*0.324)+((M50+F50+(LOG(G50)*4/3))*0.127),((K50+F50+(LOG(G50)*4/3))*0.144)+((L50+F50+(LOG(G50)*4/3))*0.25)+((M50+F50+(LOG(G50)*4/3))*0.127))</f>
        <v>5.06023100730917008</v>
      </c>
      <c r="U50" s="29">
        <f>IF(D50="TEC",((L50+F50+(LOG(G50)*4/3))*0.543)+((M50+F50+(LOG(G50)*4/3))*0.583),((L50+F50+(LOG(G50)*4/3))*0.543)+((M50+F50+(LOG(G50)*4/3))*0.583))</f>
        <v>13.4098927336470997</v>
      </c>
      <c r="V50" s="466">
        <f>T50</f>
        <v>5.06023100730917008</v>
      </c>
      <c r="W50" s="29">
        <f>((J50+F50+(LOG(G50)*4/3))*0.25)</f>
        <v>2.20068666377598987</v>
      </c>
      <c r="X50" s="29">
        <f>((M50+F50+(LOG(G50)*4/3))*0.26)+((K50+F50+(LOG(G50)*4/3))*0.221)+((L50+F50+(LOG(G50)*4/3))*0.142)</f>
        <v>6.60211116612977023</v>
      </c>
      <c r="Y50" s="29">
        <f>((M50+F50+(LOG(G50)*4/3))*1)+((L50+F50+(LOG(G50)*4/3))*0.369)</f>
        <v>18.0509601708373992</v>
      </c>
      <c r="Z50" s="466">
        <f>X50</f>
        <v>6.60211116612977023</v>
      </c>
      <c r="AA50" t="n">
        <v>7700</v>
      </c>
      <c r="AB50" s="288" t="n">
        <v>13</v>
      </c>
      <c r="AE50" s="471"/>
      <c r="AF50" s="27">
        <f>AA50+(AB50*16*(36-B50-((112-C50)/112)))-AC50</f>
        <v>10994.5714285714002</v>
      </c>
      <c r="AG50" s="27">
        <f>AA50+(AB50*16*(34-B50-((112-C50)/112)))-AD50</f>
        <v>10578.5714285714002</v>
      </c>
      <c r="AH50" s="474">
        <f>AA50+(AB50*16*(32-B50-((112-C50)/112)))-AE50</f>
        <v>10162.5714285714002</v>
      </c>
      <c r="AI50" s="27">
        <f>(AF50-AC50)/(36-B50+((112-C50)/112))</f>
        <v>680.327071823202004</v>
      </c>
      <c r="AJ50" s="27">
        <f>(AF50-AD50)/(34-B50+((112-C50)/112))</f>
        <v>776.413619167714955</v>
      </c>
      <c r="AK50" s="474">
        <f>(AF50-AE50)/(32-B50+((112-C50)/112))</f>
        <v>904.105726872243054</v>
      </c>
    </row>
    <row r="51" spans="1:37">
      <c r="A51" s="456" t="s">
        <v>940</v>
      </c>
      <c r="B51" s="280" t="n">
        <v>23</v>
      </c>
      <c r="C51" s="27" t="n">
        <v>40</v>
      </c>
      <c r="D51" s="44" t="s">
        <v>172</v>
      </c>
      <c r="E51" s="451"/>
      <c r="F51" s="459" t="n">
        <v>1</v>
      </c>
      <c r="G51" s="460" t="n">
        <v>4</v>
      </c>
      <c r="H51" s="38" t="n">
        <v>0</v>
      </c>
      <c r="I51" s="38" t="n">
        <v>2</v>
      </c>
      <c r="J51" s="38" t="n">
        <v>2</v>
      </c>
      <c r="K51" s="38" t="n">
        <v>2</v>
      </c>
      <c r="L51" s="38" t="n">
        <v>8</v>
      </c>
      <c r="M51" s="38" t="n">
        <v>14</v>
      </c>
      <c r="N51" s="463" t="n">
        <v>16</v>
      </c>
      <c r="O51" s="29">
        <f>((J51+F51+(LOG(G51)*4/3))*0.15)</f>
        <v>0.570411998265592946</v>
      </c>
      <c r="P51" s="29">
        <f>((M51+F51+(LOG(G51)*4/3))*0.552)+((K51+F51+(LOG(G51)*4/3))*0.576)+((L51+F51+(LOG(G51)*4/3))*0.195)</f>
        <v>12.8250338247026008</v>
      </c>
      <c r="Q51" s="29">
        <f>((M51+F51+(LOG(G51)*4/3))*0.607)+((L51+F51+(LOG(G51)*4/3))*0.248)</f>
        <v>12.0233483901139007</v>
      </c>
      <c r="R51" s="466">
        <f>((M51+F51+(LOG(G51)*4/3))*0.223)+((K51+F51+(LOG(G51)*4/3))*0)+((L51+F51+(LOG(G51)*4/3))*0)</f>
        <v>3.52401250408818978</v>
      </c>
      <c r="S51" s="29">
        <f>((J51+F51+(LOG(G51)*4/3))*0.406)</f>
        <v>1.54391514197219992</v>
      </c>
      <c r="T51" s="29">
        <f>IF(D51="TEC",((K51+F51+(LOG(G51)*4/3))*0.15)+((L51+F51+(LOG(G51)*4/3))*0.324)+((M51+F51+(LOG(G51)*4/3))*0.127),((K51+F51+(LOG(G51)*4/3))*0.144)+((L51+F51+(LOG(G51)*4/3))*0.25)+((M51+F51+(LOG(G51)*4/3))*0.127))</f>
        <v>5.00523100730917037</v>
      </c>
      <c r="U51" s="29">
        <f>IF(D51="TEC",((L51+F51+(LOG(G51)*4/3))*0.543)+((M51+F51+(LOG(G51)*4/3))*0.583),((L51+F51+(LOG(G51)*4/3))*0.543)+((M51+F51+(LOG(G51)*4/3))*0.583))</f>
        <v>14.5358927336471009</v>
      </c>
      <c r="V51" s="466">
        <f>T51</f>
        <v>5.00523100730917037</v>
      </c>
      <c r="W51" s="29">
        <f>((J51+F51+(LOG(G51)*4/3))*0.25)</f>
        <v>0.950686663775987917</v>
      </c>
      <c r="X51" s="29">
        <f>((M51+F51+(LOG(G51)*4/3))*0.26)+((K51+F51+(LOG(G51)*4/3))*0.221)+((L51+F51+(LOG(G51)*4/3))*0.142)</f>
        <v>6.3411111661297701</v>
      </c>
      <c r="Y51" s="29">
        <f>((M51+F51+(LOG(G51)*4/3))*1)+((L51+F51+(LOG(G51)*4/3))*0.369)</f>
        <v>19.419960170837399</v>
      </c>
      <c r="Z51" s="466">
        <f>X51</f>
        <v>6.3411111661297701</v>
      </c>
      <c r="AA51" t="n">
        <v>6750</v>
      </c>
      <c r="AB51" s="288" t="n">
        <v>26</v>
      </c>
      <c r="AE51" s="471"/>
      <c r="AF51" s="27">
        <f>AA51+(AB51*16*(36-B51-((112-C51)/112)))-AC51</f>
        <v>11890.5714285715003</v>
      </c>
      <c r="AG51" s="27">
        <f>AA51+(AB51*16*(34-B51-((112-C51)/112)))-AD51</f>
        <v>11058.5714285715003</v>
      </c>
      <c r="AH51" s="474">
        <f>AA51+(AB51*16*(32-B51-((112-C51)/112)))-AE51</f>
        <v>10226.5714285714002</v>
      </c>
      <c r="AI51" s="27">
        <f>(AF51-AC51)/(36-B51+((112-C51)/112))</f>
        <v>871.560209424092022</v>
      </c>
      <c r="AJ51" s="27">
        <f>(AF51-AD51)/(34-B51+((112-C51)/112))</f>
        <v>1021.27607361963999</v>
      </c>
      <c r="AK51" s="474">
        <f>(AF51-AE51)/(32-B51+((112-C51)/112))</f>
        <v>1233.0962962962999</v>
      </c>
    </row>
    <row r="52" spans="1:37">
      <c r="A52" s="456" t="s">
        <v>941</v>
      </c>
      <c r="B52" s="280" t="n">
        <v>23</v>
      </c>
      <c r="C52" s="27" t="n">
        <v>63</v>
      </c>
      <c r="D52" s="44" t="s">
        <v>175</v>
      </c>
      <c r="E52" s="451" t="n">
        <v>6</v>
      </c>
      <c r="F52" s="459" t="n">
        <v>1</v>
      </c>
      <c r="G52" s="460" t="n">
        <v>3</v>
      </c>
      <c r="H52" s="38" t="n">
        <v>0</v>
      </c>
      <c r="I52" s="38" t="n">
        <v>4</v>
      </c>
      <c r="J52" s="38" t="n">
        <v>3</v>
      </c>
      <c r="K52" s="38" t="n">
        <v>5</v>
      </c>
      <c r="L52" s="38" t="n">
        <v>13</v>
      </c>
      <c r="M52" s="38" t="n">
        <v>13</v>
      </c>
      <c r="N52" s="463" t="n">
        <v>0</v>
      </c>
      <c r="O52" s="29">
        <f>((J52+F52+(LOG(G52)*4/3))*0.15)</f>
        <v>0.695424250943933053</v>
      </c>
      <c r="P52" s="29">
        <f>((M52+F52+(LOG(G52)*4/3))*0.552)+((K52+F52+(LOG(G52)*4/3))*0.576)+((L52+F52+(LOG(G52)*4/3))*0.195)</f>
        <v>14.7556418933254996</v>
      </c>
      <c r="Q52" s="29">
        <f>((M52+F52+(LOG(G52)*4/3))*0.607)+((L52+F52+(LOG(G52)*4/3))*0.248)</f>
        <v>12.5139182303805008</v>
      </c>
      <c r="R52" s="466">
        <f>((M52+F52+(LOG(G52)*4/3))*0.223)+((K52+F52+(LOG(G52)*4/3))*0)+((L52+F52+(LOG(G52)*4/3))*0)</f>
        <v>3.26386405306999006</v>
      </c>
      <c r="S52" s="29">
        <f>((J52+F52+(LOG(G52)*4/3))*0.406)</f>
        <v>1.88228163922157989</v>
      </c>
      <c r="T52" s="29">
        <f>IF(D52="TEC",((K52+F52+(LOG(G52)*4/3))*0.15)+((L52+F52+(LOG(G52)*4/3))*0.324)+((M52+F52+(LOG(G52)*4/3))*0.127),((K52+F52+(LOG(G52)*4/3))*0.144)+((L52+F52+(LOG(G52)*4/3))*0.25)+((M52+F52+(LOG(G52)*4/3))*0.127))</f>
        <v>6.47344023161195015</v>
      </c>
      <c r="U52" s="29">
        <f>IF(D52="TEC",((L52+F52+(LOG(G52)*4/3))*0.543)+((M52+F52+(LOG(G52)*4/3))*0.583),((L52+F52+(LOG(G52)*4/3))*0.543)+((M52+F52+(LOG(G52)*4/3))*0.583))</f>
        <v>16.4803180437525008</v>
      </c>
      <c r="V52" s="466">
        <f>T52</f>
        <v>6.47344023161195015</v>
      </c>
      <c r="W52" s="29">
        <f>((J52+F52+(LOG(G52)*4/3))*0.25)</f>
        <v>1.1590404182398899</v>
      </c>
      <c r="X52" s="29">
        <f>((M52+F52+(LOG(G52)*4/3))*0.26)+((K52+F52+(LOG(G52)*4/3))*0.221)+((L52+F52+(LOG(G52)*4/3))*0.142)</f>
        <v>7.35032872225381961</v>
      </c>
      <c r="Y52" s="29">
        <f>((M52+F52+(LOG(G52)*4/3))*1)+((L52+F52+(LOG(G52)*4/3))*0.369)</f>
        <v>20.0369053302817015</v>
      </c>
      <c r="Z52" s="466">
        <f>X52</f>
        <v>7.35032872225381961</v>
      </c>
      <c r="AA52" t="n">
        <v>7790</v>
      </c>
      <c r="AB52" s="288" t="n">
        <v>18.6000000000000014</v>
      </c>
      <c r="AE52" s="471"/>
      <c r="AF52" s="27">
        <f>AA52+(AB52*16*(36-B52-((112-C52)/112)))-AC52</f>
        <v>11528.6000000000004</v>
      </c>
      <c r="AG52" s="27">
        <f>AA52+(AB52*16*(34-B52-((112-C52)/112)))-AD52</f>
        <v>10933.3999999999996</v>
      </c>
      <c r="AH52" s="474">
        <f>AA52+(AB52*16*(32-B52-((112-C52)/112)))-AE52</f>
        <v>10338.2000000000007</v>
      </c>
      <c r="AI52" s="27">
        <f>(AF52-AC52)/(36-B52+((112-C52)/112))</f>
        <v>857.942325581395039</v>
      </c>
      <c r="AJ52" s="27">
        <f>(AF52-AD52)/(34-B52+((112-C52)/112))</f>
        <v>1007.96502732240003</v>
      </c>
      <c r="AK52" s="474">
        <f>(AF52-AE52)/(32-B52+((112-C52)/112))</f>
        <v>1221.57350993378009</v>
      </c>
    </row>
    <row r="53" spans="1:37">
      <c r="A53" s="456" t="s">
        <v>942</v>
      </c>
      <c r="B53" s="280" t="n">
        <v>22</v>
      </c>
      <c r="C53" s="27" t="n">
        <v>40</v>
      </c>
      <c r="D53" s="44" t="s">
        <v>185</v>
      </c>
      <c r="E53" s="451" t="n">
        <v>3</v>
      </c>
      <c r="F53" s="459" t="n">
        <v>1</v>
      </c>
      <c r="G53" s="460" t="n">
        <v>3</v>
      </c>
      <c r="H53" s="38" t="n">
        <v>0</v>
      </c>
      <c r="I53" s="38" t="n">
        <v>2</v>
      </c>
      <c r="J53" s="38" t="n">
        <v>4</v>
      </c>
      <c r="K53" s="38" t="n">
        <v>3</v>
      </c>
      <c r="L53" s="38" t="n">
        <v>5</v>
      </c>
      <c r="M53" s="38" t="n">
        <v>15</v>
      </c>
      <c r="N53" s="463" t="n">
        <v>4</v>
      </c>
      <c r="O53" s="29">
        <f>((J53+F53+(LOG(G53)*4/3))*0.15)</f>
        <v>0.845424250943933053</v>
      </c>
      <c r="P53" s="29">
        <f>((M53+F53+(LOG(G53)*4/3))*0.552)+((K53+F53+(LOG(G53)*4/3))*0.576)+((L53+F53+(LOG(G53)*4/3))*0.195)</f>
        <v>13.1476418933255008</v>
      </c>
      <c r="Q53" s="29">
        <f>((M53+F53+(LOG(G53)*4/3))*0.607)+((L53+F53+(LOG(G53)*4/3))*0.248)</f>
        <v>11.7439182303804994</v>
      </c>
      <c r="R53" s="466">
        <f>((M53+F53+(LOG(G53)*4/3))*0.223)+((K53+F53+(LOG(G53)*4/3))*0)+((L53+F53+(LOG(G53)*4/3))*0)</f>
        <v>3.70986405306998979</v>
      </c>
      <c r="S53" s="29">
        <f>((J53+F53+(LOG(G53)*4/3))*0.406)</f>
        <v>2.28828163922158012</v>
      </c>
      <c r="T53" s="29">
        <f>IF(D53="TEC",((K53+F53+(LOG(G53)*4/3))*0.15)+((L53+F53+(LOG(G53)*4/3))*0.324)+((M53+F53+(LOG(G53)*4/3))*0.127),((K53+F53+(LOG(G53)*4/3))*0.144)+((L53+F53+(LOG(G53)*4/3))*0.25)+((M53+F53+(LOG(G53)*4/3))*0.127))</f>
        <v>4.43944023161193968</v>
      </c>
      <c r="U53" s="29">
        <f>IF(D53="TEC",((L53+F53+(LOG(G53)*4/3))*0.543)+((M53+F53+(LOG(G53)*4/3))*0.583),((L53+F53+(LOG(G53)*4/3))*0.543)+((M53+F53+(LOG(G53)*4/3))*0.583))</f>
        <v>13.3023180437524999</v>
      </c>
      <c r="V53" s="466">
        <f>T53</f>
        <v>4.43944023161193968</v>
      </c>
      <c r="W53" s="29">
        <f>((J53+F53+(LOG(G53)*4/3))*0.25)</f>
        <v>1.4090404182398899</v>
      </c>
      <c r="X53" s="29">
        <f>((M53+F53+(LOG(G53)*4/3))*0.26)+((K53+F53+(LOG(G53)*4/3))*0.221)+((L53+F53+(LOG(G53)*4/3))*0.142)</f>
        <v>6.29232872225381978</v>
      </c>
      <c r="Y53" s="29">
        <f>((M53+F53+(LOG(G53)*4/3))*1)+((L53+F53+(LOG(G53)*4/3))*0.369)</f>
        <v>19.0849053302816998</v>
      </c>
      <c r="Z53" s="466">
        <f>X53</f>
        <v>6.29232872225381978</v>
      </c>
      <c r="AA53" t="n">
        <v>5999</v>
      </c>
      <c r="AB53" s="288" t="n">
        <v>30.5</v>
      </c>
      <c r="AE53" s="471"/>
      <c r="AF53" s="27">
        <f>AA53+(AB53*16*(36-B53-((112-C53)/112)))-AC53</f>
        <v>12517.2857142856992</v>
      </c>
      <c r="AG53" s="27">
        <f>AA53+(AB53*16*(34-B53-((112-C53)/112)))-AD53</f>
        <v>11541.2857142856992</v>
      </c>
      <c r="AH53" s="474">
        <f>AA53+(AB53*16*(32-B53-((112-C53)/112)))-AE53</f>
        <v>10565.2857142856992</v>
      </c>
      <c r="AI53" s="27">
        <f>(AF53-AC53)/(36-B53+((112-C53)/112))</f>
        <v>854.839024390245982</v>
      </c>
      <c r="AJ53" s="27">
        <f>(AF53-AD53)/(34-B53+((112-C53)/112))</f>
        <v>990.067796610171968</v>
      </c>
      <c r="AK53" s="474">
        <f>(AF53-AE53)/(32-B53+((112-C53)/112))</f>
        <v>1176.12080536913004</v>
      </c>
    </row>
    <row r="54" spans="1:37">
      <c r="A54" s="456" t="s">
        <v>943</v>
      </c>
      <c r="B54" s="280" t="n">
        <v>22</v>
      </c>
      <c r="C54" s="27" t="n">
        <v>87</v>
      </c>
      <c r="D54" s="44" t="s">
        <v>175</v>
      </c>
      <c r="E54" s="451" t="n">
        <v>4</v>
      </c>
      <c r="F54" s="459" t="n">
        <v>1</v>
      </c>
      <c r="G54" s="460" t="n">
        <v>3</v>
      </c>
      <c r="H54" s="38" t="n">
        <v>0</v>
      </c>
      <c r="I54" s="38" t="n">
        <v>3</v>
      </c>
      <c r="J54" s="38" t="n">
        <v>3</v>
      </c>
      <c r="K54" s="38" t="n">
        <v>5</v>
      </c>
      <c r="L54" s="38" t="n">
        <v>8</v>
      </c>
      <c r="M54" s="38" t="n">
        <v>15</v>
      </c>
      <c r="N54" s="463" t="n">
        <v>4</v>
      </c>
      <c r="O54" s="29">
        <f>((J54+F54+(LOG(G54)*4/3))*0.15)</f>
        <v>0.695424250943933053</v>
      </c>
      <c r="P54" s="29">
        <f>((M54+F54+(LOG(G54)*4/3))*0.552)+((K54+F54+(LOG(G54)*4/3))*0.576)+((L54+F54+(LOG(G54)*4/3))*0.195)</f>
        <v>14.8846418933254991</v>
      </c>
      <c r="Q54" s="29">
        <f>((M54+F54+(LOG(G54)*4/3))*0.607)+((L54+F54+(LOG(G54)*4/3))*0.248)</f>
        <v>12.4879182303804992</v>
      </c>
      <c r="R54" s="466">
        <f>((M54+F54+(LOG(G54)*4/3))*0.223)+((K54+F54+(LOG(G54)*4/3))*0)+((L54+F54+(LOG(G54)*4/3))*0)</f>
        <v>3.70986405306998979</v>
      </c>
      <c r="S54" s="29">
        <f>((J54+F54+(LOG(G54)*4/3))*0.406)</f>
        <v>1.88228163922157989</v>
      </c>
      <c r="T54" s="29">
        <f>IF(D54="TEC",((K54+F54+(LOG(G54)*4/3))*0.15)+((L54+F54+(LOG(G54)*4/3))*0.324)+((M54+F54+(LOG(G54)*4/3))*0.127),((K54+F54+(LOG(G54)*4/3))*0.144)+((L54+F54+(LOG(G54)*4/3))*0.25)+((M54+F54+(LOG(G54)*4/3))*0.127))</f>
        <v>5.47744023161193994</v>
      </c>
      <c r="U54" s="29">
        <f>IF(D54="TEC",((L54+F54+(LOG(G54)*4/3))*0.543)+((M54+F54+(LOG(G54)*4/3))*0.583),((L54+F54+(LOG(G54)*4/3))*0.543)+((M54+F54+(LOG(G54)*4/3))*0.583))</f>
        <v>14.9313180437524995</v>
      </c>
      <c r="V54" s="466">
        <f>T54</f>
        <v>5.47744023161193994</v>
      </c>
      <c r="W54" s="29">
        <f>((J54+F54+(LOG(G54)*4/3))*0.25)</f>
        <v>1.1590404182398899</v>
      </c>
      <c r="X54" s="29">
        <f>((M54+F54+(LOG(G54)*4/3))*0.26)+((K54+F54+(LOG(G54)*4/3))*0.221)+((L54+F54+(LOG(G54)*4/3))*0.142)</f>
        <v>7.16032872225382011</v>
      </c>
      <c r="Y54" s="29">
        <f>((M54+F54+(LOG(G54)*4/3))*1)+((L54+F54+(LOG(G54)*4/3))*0.369)</f>
        <v>20.1919053302816991</v>
      </c>
      <c r="Z54" s="466">
        <f>X54</f>
        <v>7.16032872225382011</v>
      </c>
      <c r="AA54" t="n">
        <v>6500</v>
      </c>
      <c r="AB54" s="288" t="n">
        <v>26.5</v>
      </c>
      <c r="AE54" s="471"/>
      <c r="AF54" s="27">
        <f>AA54+(AB54*16*(36-B54-((112-C54)/112)))-AC54</f>
        <v>12341.3571428570995</v>
      </c>
      <c r="AG54" s="27">
        <f>AA54+(AB54*16*(34-B54-((112-C54)/112)))-AD54</f>
        <v>11493.3571428570995</v>
      </c>
      <c r="AH54" s="474">
        <f>AA54+(AB54*16*(32-B54-((112-C54)/112)))-AE54</f>
        <v>10645.3571428571995</v>
      </c>
      <c r="AI54" s="27">
        <f>(AF54-AC54)/(36-B54+((112-C54)/112))</f>
        <v>867.691148775890952</v>
      </c>
      <c r="AJ54" s="27">
        <f>(AF54-AD54)/(34-B54+((112-C54)/112))</f>
        <v>1009.66544923301001</v>
      </c>
      <c r="AK54" s="474">
        <f>(AF54-AE54)/(32-B54+((112-C54)/112))</f>
        <v>1207.18951965065003</v>
      </c>
    </row>
    <row r="55" spans="1:37">
      <c r="A55" s="456" t="s">
        <v>944</v>
      </c>
      <c r="B55" s="280" t="n">
        <v>23</v>
      </c>
      <c r="C55" s="27" t="n">
        <v>101</v>
      </c>
      <c r="D55" s="44" t="s">
        <v>185</v>
      </c>
      <c r="E55" s="451" t="n">
        <v>2</v>
      </c>
      <c r="F55" s="459" t="n">
        <v>1</v>
      </c>
      <c r="G55" s="460" t="n">
        <v>3</v>
      </c>
      <c r="H55" s="38" t="n">
        <v>0</v>
      </c>
      <c r="I55" s="38" t="n">
        <v>4</v>
      </c>
      <c r="J55" s="38" t="n">
        <v>2</v>
      </c>
      <c r="K55" s="38" t="n">
        <v>2</v>
      </c>
      <c r="L55" s="38" t="n">
        <v>9</v>
      </c>
      <c r="M55" s="38" t="n">
        <v>15</v>
      </c>
      <c r="N55" s="463" t="n">
        <v>13</v>
      </c>
      <c r="O55" s="29">
        <f>((J55+F55+(LOG(G55)*4/3))*0.15)</f>
        <v>0.545424250943932964</v>
      </c>
      <c r="P55" s="29">
        <f>((M55+F55+(LOG(G55)*4/3))*0.552)+((K55+F55+(LOG(G55)*4/3))*0.576)+((L55+F55+(LOG(G55)*4/3))*0.195)</f>
        <v>13.3516418933254997</v>
      </c>
      <c r="Q55" s="29">
        <f>((M55+F55+(LOG(G55)*4/3))*0.607)+((L55+F55+(LOG(G55)*4/3))*0.248)</f>
        <v>12.7359182303805003</v>
      </c>
      <c r="R55" s="466">
        <f>((M55+F55+(LOG(G55)*4/3))*0.223)+((K55+F55+(LOG(G55)*4/3))*0)+((L55+F55+(LOG(G55)*4/3))*0)</f>
        <v>3.70986405306998979</v>
      </c>
      <c r="S55" s="29">
        <f>((J55+F55+(LOG(G55)*4/3))*0.406)</f>
        <v>1.47628163922158002</v>
      </c>
      <c r="T55" s="29">
        <f>IF(D55="TEC",((K55+F55+(LOG(G55)*4/3))*0.15)+((L55+F55+(LOG(G55)*4/3))*0.324)+((M55+F55+(LOG(G55)*4/3))*0.127),((K55+F55+(LOG(G55)*4/3))*0.144)+((L55+F55+(LOG(G55)*4/3))*0.25)+((M55+F55+(LOG(G55)*4/3))*0.127))</f>
        <v>5.29544023161195021</v>
      </c>
      <c r="U55" s="29">
        <f>IF(D55="TEC",((L55+F55+(LOG(G55)*4/3))*0.543)+((M55+F55+(LOG(G55)*4/3))*0.583),((L55+F55+(LOG(G55)*4/3))*0.543)+((M55+F55+(LOG(G55)*4/3))*0.583))</f>
        <v>15.4743180437525005</v>
      </c>
      <c r="V55" s="466">
        <f>T55</f>
        <v>5.29544023161195021</v>
      </c>
      <c r="W55" s="29">
        <f>((J55+F55+(LOG(G55)*4/3))*0.25)</f>
        <v>0.909040418239887948</v>
      </c>
      <c r="X55" s="29">
        <f>((M55+F55+(LOG(G55)*4/3))*0.26)+((K55+F55+(LOG(G55)*4/3))*0.221)+((L55+F55+(LOG(G55)*4/3))*0.142)</f>
        <v>6.6393287222538202</v>
      </c>
      <c r="Y55" s="29">
        <f>((M55+F55+(LOG(G55)*4/3))*1)+((L55+F55+(LOG(G55)*4/3))*0.369)</f>
        <v>20.5609053302816989</v>
      </c>
      <c r="Z55" s="466">
        <f>X55</f>
        <v>6.6393287222538202</v>
      </c>
      <c r="AA55" t="n">
        <v>6700</v>
      </c>
      <c r="AB55" s="288" t="n">
        <v>30.6000000000000014</v>
      </c>
      <c r="AE55" s="471"/>
      <c r="AF55" s="27">
        <f>AA55+(AB55*16*(36-B55-((112-C55)/112)))-AC55</f>
        <v>13016.7142857143008</v>
      </c>
      <c r="AG55" s="27">
        <f>AA55+(AB55*16*(34-B55-((112-C55)/112)))-AD55</f>
        <v>12037.5142857143001</v>
      </c>
      <c r="AH55" s="474">
        <f>AA55+(AB55*16*(32-B55-((112-C55)/112)))-AE55</f>
        <v>11058.3142857142993</v>
      </c>
      <c r="AI55" s="27">
        <f>(AF55-AC55)/(36-B55+((112-C55)/112))</f>
        <v>993.777777777778056</v>
      </c>
      <c r="AJ55" s="27">
        <f>(AF55-AD55)/(34-B55+((112-C55)/112))</f>
        <v>1172.86564762670992</v>
      </c>
      <c r="AK55" s="474">
        <f>(AF55-AE55)/(32-B55+((112-C55)/112))</f>
        <v>1430.6889106967601</v>
      </c>
    </row>
    <row r="56" spans="1:37">
      <c r="A56" s="456" t="s">
        <v>945</v>
      </c>
      <c r="B56" s="280" t="n">
        <v>22</v>
      </c>
      <c r="C56" s="27" t="n">
        <v>83</v>
      </c>
      <c r="D56" s="44" t="s">
        <v>172</v>
      </c>
      <c r="E56" s="451"/>
      <c r="F56" s="459">
        <f>Plantilla!N12</f>
        <v>1</v>
      </c>
      <c r="G56" s="460" t="n">
        <v>3</v>
      </c>
      <c r="H56" s="38" t="n">
        <v>0</v>
      </c>
      <c r="I56" s="38" t="n">
        <v>3</v>
      </c>
      <c r="J56" s="38" t="n">
        <v>6</v>
      </c>
      <c r="K56" s="38" t="n">
        <v>5</v>
      </c>
      <c r="L56" s="38" t="n">
        <v>6</v>
      </c>
      <c r="M56" s="38" t="n">
        <v>14</v>
      </c>
      <c r="N56" s="463" t="n">
        <v>3</v>
      </c>
      <c r="O56" s="29">
        <f>((J56+F56+(LOG(G56)*4/3))*0.15)</f>
        <v>1.14542425094393008</v>
      </c>
      <c r="P56" s="29">
        <f>((M56+F56+(LOG(G56)*4/3))*0.552)+((K56+F56+(LOG(G56)*4/3))*0.576)+((L56+F56+(LOG(G56)*4/3))*0.195)</f>
        <v>13.9426418933255007</v>
      </c>
      <c r="Q56" s="29">
        <f>((M56+F56+(LOG(G56)*4/3))*0.607)+((L56+F56+(LOG(G56)*4/3))*0.248)</f>
        <v>11.3849182303804994</v>
      </c>
      <c r="R56" s="466">
        <f>((M56+F56+(LOG(G56)*4/3))*0.223)+((K56+F56+(LOG(G56)*4/3))*0)+((L56+F56+(LOG(G56)*4/3))*0)</f>
        <v>3.48686405306998992</v>
      </c>
      <c r="S56" s="29">
        <f>((J56+F56+(LOG(G56)*4/3))*0.406)</f>
        <v>3.10028163922157995</v>
      </c>
      <c r="T56" s="29">
        <f>IF(D56="TEC",((K56+F56+(LOG(G56)*4/3))*0.15)+((L56+F56+(LOG(G56)*4/3))*0.324)+((M56+F56+(LOG(G56)*4/3))*0.127),((K56+F56+(LOG(G56)*4/3))*0.144)+((L56+F56+(LOG(G56)*4/3))*0.25)+((M56+F56+(LOG(G56)*4/3))*0.127))</f>
        <v>4.85044023161194016</v>
      </c>
      <c r="U56" s="29">
        <f>IF(D56="TEC",((L56+F56+(LOG(G56)*4/3))*0.543)+((M56+F56+(LOG(G56)*4/3))*0.583),((L56+F56+(LOG(G56)*4/3))*0.543)+((M56+F56+(LOG(G56)*4/3))*0.583))</f>
        <v>13.2623180437525008</v>
      </c>
      <c r="V56" s="466">
        <f>T56</f>
        <v>4.85044023161194016</v>
      </c>
      <c r="W56" s="29">
        <f>((J56+F56+(LOG(G56)*4/3))*0.25)</f>
        <v>1.9090404182398899</v>
      </c>
      <c r="X56" s="29">
        <f>((M56+F56+(LOG(G56)*4/3))*0.26)+((K56+F56+(LOG(G56)*4/3))*0.221)+((L56+F56+(LOG(G56)*4/3))*0.142)</f>
        <v>6.61632872225381963</v>
      </c>
      <c r="Y56" s="29">
        <f>((M56+F56+(LOG(G56)*4/3))*1)+((L56+F56+(LOG(G56)*4/3))*0.369)</f>
        <v>18.4539053302816995</v>
      </c>
      <c r="Z56" s="466">
        <f>X56</f>
        <v>6.61632872225381963</v>
      </c>
      <c r="AA56" t="n">
        <v>8000</v>
      </c>
      <c r="AB56" s="288" t="n">
        <v>20</v>
      </c>
      <c r="AE56" s="471"/>
      <c r="AF56" s="27">
        <f>AA56+(AB56*16*(36-B56-((112-C56)/112)))-AC56</f>
        <v>12397.1428571429005</v>
      </c>
      <c r="AG56" s="27">
        <f>AA56+(AB56*16*(34-B56-((112-C56)/112)))-AD56</f>
        <v>11757.1428571429005</v>
      </c>
      <c r="AH56" s="474">
        <f>AA56+(AB56*16*(32-B56-((112-C56)/112)))-AE56</f>
        <v>11117.1428571429005</v>
      </c>
      <c r="AI56" s="27">
        <f>(AF56-AC56)/(36-B56+((112-C56)/112))</f>
        <v>869.43018159048404</v>
      </c>
      <c r="AJ56" s="27">
        <f>(AF56-AD56)/(34-B56+((112-C56)/112))</f>
        <v>1011.27458120902998</v>
      </c>
      <c r="AK56" s="474">
        <f>(AF56-AE56)/(32-B56+((112-C56)/112))</f>
        <v>1208.42471714534008</v>
      </c>
    </row>
    <row r="57" spans="1:37">
      <c r="A57" s="456" t="s">
        <v>946</v>
      </c>
      <c r="B57" s="280" t="n">
        <v>20</v>
      </c>
      <c r="C57" s="27" t="n">
        <v>81</v>
      </c>
      <c r="D57" s="44" t="s">
        <v>172</v>
      </c>
      <c r="E57" s="451"/>
      <c r="F57" s="459">
        <f>Plantilla!N5</f>
        <v>1</v>
      </c>
      <c r="G57" s="460" t="n">
        <v>5</v>
      </c>
      <c r="H57" s="38" t="n">
        <v>0</v>
      </c>
      <c r="I57" s="38" t="n">
        <v>2</v>
      </c>
      <c r="J57" s="38" t="n">
        <v>6</v>
      </c>
      <c r="K57" s="38" t="n">
        <v>7</v>
      </c>
      <c r="L57" s="38" t="n">
        <v>6</v>
      </c>
      <c r="M57" s="38" t="n">
        <v>13</v>
      </c>
      <c r="N57" s="463" t="n">
        <v>4</v>
      </c>
      <c r="O57" s="29">
        <f>((J57+F57+(LOG(G57)*4/3))*0.15)</f>
        <v>1.18979400086720011</v>
      </c>
      <c r="P57" s="29">
        <f>((M57+F57+(LOG(G57)*4/3))*0.552)+((K57+F57+(LOG(G57)*4/3))*0.576)+((L57+F57+(LOG(G57)*4/3))*0.195)</f>
        <v>14.9339830876487998</v>
      </c>
      <c r="Q57" s="29">
        <f>((M57+F57+(LOG(G57)*4/3))*0.607)+((L57+F57+(LOG(G57)*4/3))*0.248)</f>
        <v>11.0308258049431007</v>
      </c>
      <c r="R57" s="466">
        <f>((M57+F57+(LOG(G57)*4/3))*0.223)+((K57+F57+(LOG(G57)*4/3))*0)+((L57+F57+(LOG(G57)*4/3))*0)</f>
        <v>3.32982708128924987</v>
      </c>
      <c r="S57" s="29">
        <f>((J57+F57+(LOG(G57)*4/3))*0.406)</f>
        <v>3.22037576234723</v>
      </c>
      <c r="T57" s="29">
        <f>IF(D57="TEC",((K57+F57+(LOG(G57)*4/3))*0.15)+((L57+F57+(LOG(G57)*4/3))*0.324)+((M57+F57+(LOG(G57)*4/3))*0.127),((K57+F57+(LOG(G57)*4/3))*0.144)+((L57+F57+(LOG(G57)*4/3))*0.25)+((M57+F57+(LOG(G57)*4/3))*0.127))</f>
        <v>5.1655511630120996</v>
      </c>
      <c r="U57" s="29">
        <f>IF(D57="TEC",((L57+F57+(LOG(G57)*4/3))*0.543)+((M57+F57+(LOG(G57)*4/3))*0.583),((L57+F57+(LOG(G57)*4/3))*0.543)+((M57+F57+(LOG(G57)*4/3))*0.583))</f>
        <v>13.0123869665097995</v>
      </c>
      <c r="V57" s="466">
        <f>T57</f>
        <v>5.1655511630120996</v>
      </c>
      <c r="W57" s="29">
        <f>((J57+F57+(LOG(G57)*4/3))*0.25)</f>
        <v>1.98299000144534006</v>
      </c>
      <c r="X57" s="29">
        <f>((M57+F57+(LOG(G57)*4/3))*0.26)+((K57+F57+(LOG(G57)*4/3))*0.221)+((L57+F57+(LOG(G57)*4/3))*0.142)</f>
        <v>6.98261108360178984</v>
      </c>
      <c r="Y57" s="29">
        <f>((M57+F57+(LOG(G57)*4/3))*1)+((L57+F57+(LOG(G57)*4/3))*0.369)</f>
        <v>17.8588532479146984</v>
      </c>
      <c r="Z57" s="466">
        <f>X57</f>
        <v>6.98261108360178984</v>
      </c>
      <c r="AA57" t="n">
        <v>8700</v>
      </c>
      <c r="AB57" s="288">
        <f>11.4*1.2</f>
        <v>13.6799999999999997</v>
      </c>
      <c r="AE57" s="471"/>
      <c r="AF57" s="27">
        <f>AA57+(AB57*16*(36-B57-((112-C57)/112)))-AC57</f>
        <v>12141.4971428572007</v>
      </c>
      <c r="AG57" s="27">
        <f>AA57+(AB57*16*(34-B57-((112-C57)/112)))-AD57</f>
        <v>11703.7371428572005</v>
      </c>
      <c r="AH57" s="474">
        <f>AA57+(AB57*16*(32-B57-((112-C57)/112)))-AE57</f>
        <v>11265.9771428572003</v>
      </c>
      <c r="AI57" s="27">
        <f>(AF57-AC57)/(36-B57+((112-C57)/112))</f>
        <v>745.939484366433021</v>
      </c>
      <c r="AJ57" s="27">
        <f>(AF57-AD57)/(34-B57+((112-C57)/112))</f>
        <v>850.436322701694053</v>
      </c>
      <c r="AK57" s="474">
        <f>(AF57-AE57)/(32-B57+((112-C57)/112))</f>
        <v>988.980130909097056</v>
      </c>
    </row>
    <row r="58" spans="1:37">
      <c r="A58" s="456" t="s">
        <v>947</v>
      </c>
      <c r="B58" s="280" t="n">
        <v>23</v>
      </c>
      <c r="C58" s="27" t="n">
        <v>41</v>
      </c>
      <c r="D58" s="44" t="s">
        <v>185</v>
      </c>
      <c r="E58" s="451" t="n">
        <v>3</v>
      </c>
      <c r="F58" s="459" t="n">
        <v>1</v>
      </c>
      <c r="G58" s="460" t="n">
        <v>3</v>
      </c>
      <c r="H58" s="38" t="n">
        <v>0</v>
      </c>
      <c r="I58" s="38" t="n">
        <v>3</v>
      </c>
      <c r="J58" s="38" t="n">
        <v>2</v>
      </c>
      <c r="K58" s="38" t="n">
        <v>4</v>
      </c>
      <c r="L58" s="38" t="n">
        <v>9</v>
      </c>
      <c r="M58" s="38" t="n">
        <v>15</v>
      </c>
      <c r="N58" s="463" t="n">
        <v>4</v>
      </c>
      <c r="O58" s="29">
        <f>((J58+F58+(LOG(G58)*4/3))*0.15)</f>
        <v>0.545424250943932964</v>
      </c>
      <c r="P58" s="29">
        <f>((M58+F58+(LOG(G58)*4/3))*0.552)+((K58+F58+(LOG(G58)*4/3))*0.576)+((L58+F58+(LOG(G58)*4/3))*0.195)</f>
        <v>14.5036418933255007</v>
      </c>
      <c r="Q58" s="29">
        <f>((M58+F58+(LOG(G58)*4/3))*0.607)+((L58+F58+(LOG(G58)*4/3))*0.248)</f>
        <v>12.7359182303805003</v>
      </c>
      <c r="R58" s="466">
        <f>((M58+F58+(LOG(G58)*4/3))*0.223)+((K58+F58+(LOG(G58)*4/3))*0)+((L58+F58+(LOG(G58)*4/3))*0)</f>
        <v>3.70986405306998979</v>
      </c>
      <c r="S58" s="29">
        <f>((J58+F58+(LOG(G58)*4/3))*0.406)</f>
        <v>1.47628163922158002</v>
      </c>
      <c r="T58" s="29">
        <f>IF(D58="TEC",((K58+F58+(LOG(G58)*4/3))*0.15)+((L58+F58+(LOG(G58)*4/3))*0.324)+((M58+F58+(LOG(G58)*4/3))*0.127),((K58+F58+(LOG(G58)*4/3))*0.144)+((L58+F58+(LOG(G58)*4/3))*0.25)+((M58+F58+(LOG(G58)*4/3))*0.127))</f>
        <v>5.58344023161194958</v>
      </c>
      <c r="U58" s="29">
        <f>IF(D58="TEC",((L58+F58+(LOG(G58)*4/3))*0.543)+((M58+F58+(LOG(G58)*4/3))*0.583),((L58+F58+(LOG(G58)*4/3))*0.543)+((M58+F58+(LOG(G58)*4/3))*0.583))</f>
        <v>15.4743180437525005</v>
      </c>
      <c r="V58" s="466">
        <f>T58</f>
        <v>5.58344023161194958</v>
      </c>
      <c r="W58" s="29">
        <f>((J58+F58+(LOG(G58)*4/3))*0.25)</f>
        <v>0.909040418239887948</v>
      </c>
      <c r="X58" s="29">
        <f>((M58+F58+(LOG(G58)*4/3))*0.26)+((K58+F58+(LOG(G58)*4/3))*0.221)+((L58+F58+(LOG(G58)*4/3))*0.142)</f>
        <v>7.08132872225382037</v>
      </c>
      <c r="Y58" s="29">
        <f>((M58+F58+(LOG(G58)*4/3))*1)+((L58+F58+(LOG(G58)*4/3))*0.369)</f>
        <v>20.5609053302816989</v>
      </c>
      <c r="Z58" s="466">
        <f>X58</f>
        <v>7.08132872225382037</v>
      </c>
      <c r="AA58" t="n">
        <v>7750</v>
      </c>
      <c r="AB58" s="288" t="n">
        <v>30.1999999999999993</v>
      </c>
      <c r="AE58" s="471"/>
      <c r="AF58" s="27">
        <f>AA58+(AB58*16*(36-B58-((112-C58)/112)))-AC58</f>
        <v>13725.2857142856992</v>
      </c>
      <c r="AG58" s="27">
        <f>AA58+(AB58*16*(34-B58-((112-C58)/112)))-AD58</f>
        <v>12758.8857142856996</v>
      </c>
      <c r="AH58" s="474">
        <f>AA58+(AB58*16*(32-B58-((112-C58)/112)))-AE58</f>
        <v>11792.4857142856999</v>
      </c>
      <c r="AI58" s="27">
        <f>(AF58-AC58)/(36-B58+((112-C58)/112))</f>
        <v>1006.70072036673002</v>
      </c>
      <c r="AJ58" s="27">
        <f>(AF58-AD58)/(34-B58+((112-C58)/112))</f>
        <v>1179.76362240982007</v>
      </c>
      <c r="AK58" s="474">
        <f>(AF58-AE58)/(32-B58+((112-C58)/112))</f>
        <v>1424.68211306765011</v>
      </c>
    </row>
    <row r="59" spans="1:37">
      <c r="A59" s="456" t="s">
        <v>948</v>
      </c>
      <c r="B59" s="280" t="n">
        <v>20</v>
      </c>
      <c r="C59" s="27" t="n">
        <v>86</v>
      </c>
      <c r="D59" s="44" t="s">
        <v>175</v>
      </c>
      <c r="E59" s="451" t="n">
        <v>5</v>
      </c>
      <c r="F59" s="459">
        <f>Plantilla!N15</f>
        <v>1</v>
      </c>
      <c r="G59" s="460" t="n">
        <v>3</v>
      </c>
      <c r="H59" s="38" t="n">
        <v>0</v>
      </c>
      <c r="I59" s="38" t="n">
        <v>2</v>
      </c>
      <c r="J59" s="38" t="n">
        <v>7</v>
      </c>
      <c r="K59" s="38" t="n">
        <v>5</v>
      </c>
      <c r="L59" s="38" t="n">
        <v>6</v>
      </c>
      <c r="M59" s="38" t="n">
        <v>13</v>
      </c>
      <c r="N59" s="463" t="n">
        <v>0</v>
      </c>
      <c r="O59" s="29">
        <f>((J59+F59+(LOG(G59)*4/3))*0.15)</f>
        <v>1.29542425094393</v>
      </c>
      <c r="P59" s="29">
        <f>((M59+F59+(LOG(G59)*4/3))*0.552)+((K59+F59+(LOG(G59)*4/3))*0.576)+((L59+F59+(LOG(G59)*4/3))*0.195)</f>
        <v>13.3906418933254994</v>
      </c>
      <c r="Q59" s="29">
        <f>((M59+F59+(LOG(G59)*4/3))*0.607)+((L59+F59+(LOG(G59)*4/3))*0.248)</f>
        <v>10.7779182303805001</v>
      </c>
      <c r="R59" s="466">
        <f>((M59+F59+(LOG(G59)*4/3))*0.223)+((K59+F59+(LOG(G59)*4/3))*0)+((L59+F59+(LOG(G59)*4/3))*0)</f>
        <v>3.26386405306999006</v>
      </c>
      <c r="S59" s="29">
        <f>((J59+F59+(LOG(G59)*4/3))*0.406)</f>
        <v>3.50628163922158009</v>
      </c>
      <c r="T59" s="29">
        <f>IF(D59="TEC",((K59+F59+(LOG(G59)*4/3))*0.15)+((L59+F59+(LOG(G59)*4/3))*0.324)+((M59+F59+(LOG(G59)*4/3))*0.127),((K59+F59+(LOG(G59)*4/3))*0.144)+((L59+F59+(LOG(G59)*4/3))*0.25)+((M59+F59+(LOG(G59)*4/3))*0.127))</f>
        <v>4.72344023161194038</v>
      </c>
      <c r="U59" s="29">
        <f>IF(D59="TEC",((L59+F59+(LOG(G59)*4/3))*0.543)+((M59+F59+(LOG(G59)*4/3))*0.583),((L59+F59+(LOG(G59)*4/3))*0.543)+((M59+F59+(LOG(G59)*4/3))*0.583))</f>
        <v>12.6793180437525006</v>
      </c>
      <c r="V59" s="466">
        <f>T59</f>
        <v>4.72344023161194038</v>
      </c>
      <c r="W59" s="29">
        <f>((J59+F59+(LOG(G59)*4/3))*0.25)</f>
        <v>2.1590404182398899</v>
      </c>
      <c r="X59" s="29">
        <f>((M59+F59+(LOG(G59)*4/3))*0.26)+((K59+F59+(LOG(G59)*4/3))*0.221)+((L59+F59+(LOG(G59)*4/3))*0.142)</f>
        <v>6.35632872225381984</v>
      </c>
      <c r="Y59" s="29">
        <f>((M59+F59+(LOG(G59)*4/3))*1)+((L59+F59+(LOG(G59)*4/3))*0.369)</f>
        <v>17.4539053302816995</v>
      </c>
      <c r="Z59" s="466">
        <f>X59</f>
        <v>6.35632872225381984</v>
      </c>
      <c r="AA59" t="n">
        <v>9500</v>
      </c>
      <c r="AB59" s="288" t="n">
        <v>14</v>
      </c>
      <c r="AE59" s="471"/>
      <c r="AF59" s="27">
        <f>AA59+(AB59*16*(36-B59-((112-C59)/112)))-AC59</f>
        <v>13032</v>
      </c>
      <c r="AG59" s="27">
        <f>AA59+(AB59*16*(34-B59-((112-C59)/112)))-AD59</f>
        <v>12584</v>
      </c>
      <c r="AH59" s="474">
        <f>AA59+(AB59*16*(32-B59-((112-C59)/112)))-AE59</f>
        <v>12136</v>
      </c>
      <c r="AI59" s="27">
        <f>(AF59-AC59)/(36-B59+((112-C59)/112))</f>
        <v>802.851485148513007</v>
      </c>
      <c r="AJ59" s="27">
        <f>(AF59-AD59)/(34-B59+((112-C59)/112))</f>
        <v>915.673776662482055</v>
      </c>
      <c r="AK59" s="474">
        <f>(AF59-AE59)/(32-B59+((112-C59)/112))</f>
        <v>1065.38978102189003</v>
      </c>
    </row>
    <row r="60" spans="1:37">
      <c r="A60" s="456" t="s">
        <v>949</v>
      </c>
      <c r="B60" s="280" t="n">
        <v>22</v>
      </c>
      <c r="C60" s="27" t="n">
        <v>103</v>
      </c>
      <c r="D60" s="44" t="s">
        <v>278</v>
      </c>
      <c r="E60" s="451" t="n">
        <v>6</v>
      </c>
      <c r="F60" s="459" t="n">
        <v>1</v>
      </c>
      <c r="G60" s="460" t="n">
        <v>4</v>
      </c>
      <c r="H60" s="38" t="n">
        <v>0</v>
      </c>
      <c r="I60" s="38" t="n">
        <v>2</v>
      </c>
      <c r="J60" s="38" t="n">
        <v>13</v>
      </c>
      <c r="K60" s="38" t="n">
        <v>2</v>
      </c>
      <c r="L60" s="38" t="n">
        <v>8</v>
      </c>
      <c r="M60" s="38" t="n">
        <v>11</v>
      </c>
      <c r="N60" s="463" t="n">
        <v>3</v>
      </c>
      <c r="O60" s="29">
        <f>((J60+F60+(LOG(G60)*4/3))*0.15)</f>
        <v>2.22041199826559987</v>
      </c>
      <c r="P60" s="29">
        <f>((M60+F60+(LOG(G60)*4/3))*0.552)+((K60+F60+(LOG(G60)*4/3))*0.576)+((L60+F60+(LOG(G60)*4/3))*0.195)</f>
        <v>11.1690338247026002</v>
      </c>
      <c r="Q60" s="29">
        <f>((M60+F60+(LOG(G60)*4/3))*0.607)+((L60+F60+(LOG(G60)*4/3))*0.248)</f>
        <v>10.2023483901138992</v>
      </c>
      <c r="R60" s="466">
        <f>((M60+F60+(LOG(G60)*4/3))*0.223)+((K60+F60+(LOG(G60)*4/3))*0)+((L60+F60+(LOG(G60)*4/3))*0)</f>
        <v>2.85501250408819018</v>
      </c>
      <c r="S60" s="29">
        <f>((J60+F60+(LOG(G60)*4/3))*0.406)</f>
        <v>6.00991514197222987</v>
      </c>
      <c r="T60" s="29">
        <f>IF(D60="TEC",((K60+F60+(LOG(G60)*4/3))*0.15)+((L60+F60+(LOG(G60)*4/3))*0.324)+((M60+F60+(LOG(G60)*4/3))*0.127),((K60+F60+(LOG(G60)*4/3))*0.144)+((L60+F60+(LOG(G60)*4/3))*0.25)+((M60+F60+(LOG(G60)*4/3))*0.127))</f>
        <v>5.37245073971747988</v>
      </c>
      <c r="U60" s="29">
        <f>IF(D60="TEC",((L60+F60+(LOG(G60)*4/3))*0.543)+((M60+F60+(LOG(G60)*4/3))*0.583),((L60+F60+(LOG(G60)*4/3))*0.543)+((M60+F60+(LOG(G60)*4/3))*0.583))</f>
        <v>12.7868927336471003</v>
      </c>
      <c r="V60" s="466">
        <f>T60</f>
        <v>5.37245073971747988</v>
      </c>
      <c r="W60" s="29">
        <f>((J60+F60+(LOG(G60)*4/3))*0.25)</f>
        <v>3.70068666377600008</v>
      </c>
      <c r="X60" s="29">
        <f>((M60+F60+(LOG(G60)*4/3))*0.26)+((K60+F60+(LOG(G60)*4/3))*0.221)+((L60+F60+(LOG(G60)*4/3))*0.142)</f>
        <v>5.56111116612976986</v>
      </c>
      <c r="Y60" s="29">
        <f>((M60+F60+(LOG(G60)*4/3))*1)+((L60+F60+(LOG(G60)*4/3))*0.369)</f>
        <v>16.419960170837399</v>
      </c>
      <c r="Z60" s="466">
        <f>X60</f>
        <v>5.56111116612976986</v>
      </c>
      <c r="AA60" t="n">
        <v>10000</v>
      </c>
      <c r="AB60" s="288" t="n">
        <v>16.1999999999999993</v>
      </c>
      <c r="AE60" s="471"/>
      <c r="AF60" s="27">
        <f>AA60+(AB60*16*(36-B60-((112-C60)/112)))-AC60</f>
        <v>13607.9714285713999</v>
      </c>
      <c r="AG60" s="27">
        <f>AA60+(AB60*16*(34-B60-((112-C60)/112)))-AD60</f>
        <v>13089.5714285714002</v>
      </c>
      <c r="AH60" s="474">
        <f>AA60+(AB60*16*(32-B60-((112-C60)/112)))-AE60</f>
        <v>12571.1714285714006</v>
      </c>
      <c r="AI60" s="27">
        <f>(AF60-AC60)/(36-B60+((112-C60)/112))</f>
        <v>966.45072923272096</v>
      </c>
      <c r="AJ60" s="27">
        <f>(AF60-AD60)/(34-B60+((112-C60)/112))</f>
        <v>1126.45439763489003</v>
      </c>
      <c r="AK60" s="474">
        <f>(AF60-AE60)/(32-B60+((112-C60)/112))</f>
        <v>1349.94933569531008</v>
      </c>
    </row>
    <row r="61" spans="1:37">
      <c r="A61" s="456" t="s">
        <v>950</v>
      </c>
      <c r="B61" s="280" t="n">
        <v>24</v>
      </c>
      <c r="C61" s="27" t="n">
        <v>16</v>
      </c>
      <c r="D61" s="44" t="s">
        <v>175</v>
      </c>
      <c r="E61" s="451" t="n">
        <v>2</v>
      </c>
      <c r="F61" s="459" t="n">
        <v>1</v>
      </c>
      <c r="G61" s="460" t="n">
        <v>3</v>
      </c>
      <c r="H61" s="38" t="n">
        <v>0</v>
      </c>
      <c r="I61" s="38" t="n">
        <v>2</v>
      </c>
      <c r="J61" s="38" t="n">
        <v>11</v>
      </c>
      <c r="K61" s="38" t="n">
        <v>4</v>
      </c>
      <c r="L61" s="38" t="n">
        <v>8</v>
      </c>
      <c r="M61" s="38" t="n">
        <v>14</v>
      </c>
      <c r="N61" s="463" t="n">
        <v>0</v>
      </c>
      <c r="O61" s="29">
        <f>((J61+F61+(LOG(G61)*4/3))*0.15)</f>
        <v>1.89542425094393998</v>
      </c>
      <c r="P61" s="29">
        <f>((M61+F61+(LOG(G61)*4/3))*0.552)+((K61+F61+(LOG(G61)*4/3))*0.576)+((L61+F61+(LOG(G61)*4/3))*0.195)</f>
        <v>13.7566418933255008</v>
      </c>
      <c r="Q61" s="29">
        <f>((M61+F61+(LOG(G61)*4/3))*0.607)+((L61+F61+(LOG(G61)*4/3))*0.248)</f>
        <v>11.8809182303804999</v>
      </c>
      <c r="R61" s="466">
        <f>((M61+F61+(LOG(G61)*4/3))*0.223)+((K61+F61+(LOG(G61)*4/3))*0)+((L61+F61+(LOG(G61)*4/3))*0)</f>
        <v>3.48686405306998992</v>
      </c>
      <c r="S61" s="29">
        <f>((J61+F61+(LOG(G61)*4/3))*0.406)</f>
        <v>5.13028163922160019</v>
      </c>
      <c r="T61" s="29">
        <f>IF(D61="TEC",((K61+F61+(LOG(G61)*4/3))*0.15)+((L61+F61+(LOG(G61)*4/3))*0.324)+((M61+F61+(LOG(G61)*4/3))*0.127),((K61+F61+(LOG(G61)*4/3))*0.144)+((L61+F61+(LOG(G61)*4/3))*0.25)+((M61+F61+(LOG(G61)*4/3))*0.127))</f>
        <v>5.20644023161194003</v>
      </c>
      <c r="U61" s="29">
        <f>IF(D61="TEC",((L61+F61+(LOG(G61)*4/3))*0.543)+((M61+F61+(LOG(G61)*4/3))*0.583),((L61+F61+(LOG(G61)*4/3))*0.543)+((M61+F61+(LOG(G61)*4/3))*0.583))</f>
        <v>14.3483180437524993</v>
      </c>
      <c r="V61" s="466">
        <f>T61</f>
        <v>5.20644023161194003</v>
      </c>
      <c r="W61" s="29">
        <f>((J61+F61+(LOG(G61)*4/3))*0.25)</f>
        <v>3.15904041823990012</v>
      </c>
      <c r="X61" s="29">
        <f>((M61+F61+(LOG(G61)*4/3))*0.26)+((K61+F61+(LOG(G61)*4/3))*0.221)+((L61+F61+(LOG(G61)*4/3))*0.142)</f>
        <v>6.67932872225382024</v>
      </c>
      <c r="Y61" s="29">
        <f>((M61+F61+(LOG(G61)*4/3))*1)+((L61+F61+(LOG(G61)*4/3))*0.369)</f>
        <v>19.1919053302816991</v>
      </c>
      <c r="Z61" s="466">
        <f>X61</f>
        <v>6.67932872225382024</v>
      </c>
      <c r="AA61" t="n">
        <v>10000</v>
      </c>
      <c r="AB61" s="288" t="n">
        <v>23.1999999999999993</v>
      </c>
      <c r="AE61" s="471"/>
      <c r="AF61" s="27">
        <f>AA61+(AB61*16*(36-B61-((112-C61)/112)))-AC61</f>
        <v>14136.2285714286008</v>
      </c>
      <c r="AG61" s="27">
        <f>AA61+(AB61*16*(34-B61-((112-C61)/112)))-AD61</f>
        <v>13393.8285714285994</v>
      </c>
      <c r="AH61" s="474">
        <f>AA61+(AB61*16*(32-B61-((112-C61)/112)))-AE61</f>
        <v>12651.4285714285998</v>
      </c>
      <c r="AI61" s="27">
        <f>(AF61-AC61)/(36-B61+((112-C61)/112))</f>
        <v>1099.48444444443999</v>
      </c>
      <c r="AJ61" s="27">
        <f>(AF61-AD61)/(34-B61+((112-C61)/112))</f>
        <v>1302.02105263158001</v>
      </c>
      <c r="AK61" s="474">
        <f>(AF61-AE61)/(32-B61+((112-C61)/112))</f>
        <v>1596.02580645161993</v>
      </c>
    </row>
    <row r="62" spans="1:37">
      <c r="A62" s="456" t="s">
        <v>951</v>
      </c>
      <c r="B62" s="280" t="n">
        <v>22</v>
      </c>
      <c r="C62" s="27" t="n">
        <v>58</v>
      </c>
      <c r="D62" s="44" t="s">
        <v>175</v>
      </c>
      <c r="E62" s="451" t="n">
        <v>3</v>
      </c>
      <c r="F62" s="459" t="n">
        <v>1</v>
      </c>
      <c r="G62" s="460" t="n">
        <v>3</v>
      </c>
      <c r="H62" s="38" t="n">
        <v>0</v>
      </c>
      <c r="I62" s="38" t="n">
        <v>2</v>
      </c>
      <c r="J62" s="38" t="n">
        <v>2</v>
      </c>
      <c r="K62" s="38" t="n">
        <v>7</v>
      </c>
      <c r="L62" s="38" t="n">
        <v>9</v>
      </c>
      <c r="M62" s="38" t="n">
        <v>14</v>
      </c>
      <c r="N62" s="463" t="n">
        <v>2</v>
      </c>
      <c r="O62" s="29">
        <f>((J62+F62+(LOG(G62)*4/3))*0.15)</f>
        <v>0.545424250943932964</v>
      </c>
      <c r="P62" s="29">
        <f>((M62+F62+(LOG(G62)*4/3))*0.552)+((K62+F62+(LOG(G62)*4/3))*0.576)+((L62+F62+(LOG(G62)*4/3))*0.195)</f>
        <v>15.6796418933255008</v>
      </c>
      <c r="Q62" s="29">
        <f>((M62+F62+(LOG(G62)*4/3))*0.607)+((L62+F62+(LOG(G62)*4/3))*0.248)</f>
        <v>12.1289182303804992</v>
      </c>
      <c r="R62" s="466">
        <f>((M62+F62+(LOG(G62)*4/3))*0.223)+((K62+F62+(LOG(G62)*4/3))*0)+((L62+F62+(LOG(G62)*4/3))*0)</f>
        <v>3.48686405306998992</v>
      </c>
      <c r="S62" s="29">
        <f>((J62+F62+(LOG(G62)*4/3))*0.406)</f>
        <v>1.47628163922158002</v>
      </c>
      <c r="T62" s="29">
        <f>IF(D62="TEC",((K62+F62+(LOG(G62)*4/3))*0.15)+((L62+F62+(LOG(G62)*4/3))*0.324)+((M62+F62+(LOG(G62)*4/3))*0.127),((K62+F62+(LOG(G62)*4/3))*0.144)+((L62+F62+(LOG(G62)*4/3))*0.25)+((M62+F62+(LOG(G62)*4/3))*0.127))</f>
        <v>5.88844023161195018</v>
      </c>
      <c r="U62" s="29">
        <f>IF(D62="TEC",((L62+F62+(LOG(G62)*4/3))*0.543)+((M62+F62+(LOG(G62)*4/3))*0.583),((L62+F62+(LOG(G62)*4/3))*0.543)+((M62+F62+(LOG(G62)*4/3))*0.583))</f>
        <v>14.8913180437525003</v>
      </c>
      <c r="V62" s="466">
        <f>T62</f>
        <v>5.88844023161195018</v>
      </c>
      <c r="W62" s="29">
        <f>((J62+F62+(LOG(G62)*4/3))*0.25)</f>
        <v>0.909040418239887948</v>
      </c>
      <c r="X62" s="29">
        <f>((M62+F62+(LOG(G62)*4/3))*0.26)+((K62+F62+(LOG(G62)*4/3))*0.221)+((L62+F62+(LOG(G62)*4/3))*0.142)</f>
        <v>7.48432872225381995</v>
      </c>
      <c r="Y62" s="29">
        <f>((M62+F62+(LOG(G62)*4/3))*1)+((L62+F62+(LOG(G62)*4/3))*0.369)</f>
        <v>19.5609053302816989</v>
      </c>
      <c r="Z62" s="466">
        <f>X62</f>
        <v>7.48432872225381995</v>
      </c>
      <c r="AA62" t="n">
        <v>9400</v>
      </c>
      <c r="AB62" s="288" t="n">
        <v>21.3999999999999986</v>
      </c>
      <c r="AE62" s="471"/>
      <c r="AF62" s="27">
        <f>AA62+(AB62*16*(36-B62-((112-C62)/112)))-AC62</f>
        <v>14028.5142857143001</v>
      </c>
      <c r="AG62" s="27">
        <f>AA62+(AB62*16*(34-B62-((112-C62)/112)))-AD62</f>
        <v>13343.7142857143008</v>
      </c>
      <c r="AH62" s="474">
        <f>AA62+(AB62*16*(32-B62-((112-C62)/112)))-AE62</f>
        <v>12658.9142857142997</v>
      </c>
      <c r="AI62" s="27">
        <f>(AF62-AC62)/(36-B62+((112-C62)/112))</f>
        <v>968.676695437728995</v>
      </c>
      <c r="AJ62" s="27">
        <f>(AF62-AD62)/(34-B62+((112-C62)/112))</f>
        <v>1123.88669527896991</v>
      </c>
      <c r="AK62" s="474">
        <f>(AF62-AE62)/(32-B62+((112-C62)/112))</f>
        <v>1338.32504258943004</v>
      </c>
    </row>
    <row r="63" spans="1:37">
      <c r="A63" s="456" t="s">
        <v>952</v>
      </c>
      <c r="B63" s="280" t="n">
        <v>22</v>
      </c>
      <c r="C63" s="27" t="n">
        <v>95</v>
      </c>
      <c r="D63" s="44" t="s">
        <v>185</v>
      </c>
      <c r="E63" s="451" t="n">
        <v>4</v>
      </c>
      <c r="F63" s="459" t="n">
        <v>1</v>
      </c>
      <c r="G63" s="460" t="n">
        <v>5</v>
      </c>
      <c r="H63" s="38" t="n">
        <v>0</v>
      </c>
      <c r="I63" s="38" t="n">
        <v>4</v>
      </c>
      <c r="J63" s="38" t="n">
        <v>10</v>
      </c>
      <c r="K63" s="38" t="n">
        <v>3</v>
      </c>
      <c r="L63" s="38" t="n">
        <v>9</v>
      </c>
      <c r="M63" s="38" t="n">
        <v>13</v>
      </c>
      <c r="N63" s="463" t="n">
        <v>3</v>
      </c>
      <c r="O63" s="29">
        <f>((J63+F63+(LOG(G63)*4/3))*0.15)</f>
        <v>1.78979400086720997</v>
      </c>
      <c r="P63" s="29">
        <f>((M63+F63+(LOG(G63)*4/3))*0.552)+((K63+F63+(LOG(G63)*4/3))*0.576)+((L63+F63+(LOG(G63)*4/3))*0.195)</f>
        <v>13.2149830876488004</v>
      </c>
      <c r="Q63" s="29">
        <f>((M63+F63+(LOG(G63)*4/3))*0.607)+((L63+F63+(LOG(G63)*4/3))*0.248)</f>
        <v>11.7748258049431005</v>
      </c>
      <c r="R63" s="466">
        <f>((M63+F63+(LOG(G63)*4/3))*0.223)+((K63+F63+(LOG(G63)*4/3))*0)+((L63+F63+(LOG(G63)*4/3))*0)</f>
        <v>3.32982708128924987</v>
      </c>
      <c r="S63" s="29">
        <f>((J63+F63+(LOG(G63)*4/3))*0.406)</f>
        <v>4.84437576234724965</v>
      </c>
      <c r="T63" s="29">
        <f>IF(D63="TEC",((K63+F63+(LOG(G63)*4/3))*0.15)+((L63+F63+(LOG(G63)*4/3))*0.324)+((M63+F63+(LOG(G63)*4/3))*0.127),((K63+F63+(LOG(G63)*4/3))*0.144)+((L63+F63+(LOG(G63)*4/3))*0.25)+((M63+F63+(LOG(G63)*4/3))*0.127))</f>
        <v>5.33955116301210975</v>
      </c>
      <c r="U63" s="29">
        <f>IF(D63="TEC",((L63+F63+(LOG(G63)*4/3))*0.543)+((M63+F63+(LOG(G63)*4/3))*0.583),((L63+F63+(LOG(G63)*4/3))*0.543)+((M63+F63+(LOG(G63)*4/3))*0.583))</f>
        <v>14.6413869665099003</v>
      </c>
      <c r="V63" s="466">
        <f>T63</f>
        <v>5.33955116301210975</v>
      </c>
      <c r="W63" s="29">
        <f>((J63+F63+(LOG(G63)*4/3))*0.25)</f>
        <v>2.98299000144535</v>
      </c>
      <c r="X63" s="29">
        <f>((M63+F63+(LOG(G63)*4/3))*0.26)+((K63+F63+(LOG(G63)*4/3))*0.221)+((L63+F63+(LOG(G63)*4/3))*0.142)</f>
        <v>6.52461108360180031</v>
      </c>
      <c r="Y63" s="29">
        <f>((M63+F63+(LOG(G63)*4/3))*1)+((L63+F63+(LOG(G63)*4/3))*0.369)</f>
        <v>18.9658532479147013</v>
      </c>
      <c r="Z63" s="466">
        <f>X63</f>
        <v>6.52461108360180031</v>
      </c>
      <c r="AA63" t="n">
        <v>10250</v>
      </c>
      <c r="AB63" s="288" t="n">
        <v>18.6000000000000014</v>
      </c>
      <c r="AE63" s="471"/>
      <c r="AF63" s="27">
        <f>AA63+(AB63*16*(36-B63-((112-C63)/112)))-AC63</f>
        <v>14371.2285714286008</v>
      </c>
      <c r="AG63" s="27">
        <f>AA63+(AB63*16*(34-B63-((112-C63)/112)))-AD63</f>
        <v>13776.0285714286001</v>
      </c>
      <c r="AH63" s="474">
        <f>AA63+(AB63*16*(32-B63-((112-C63)/112)))-AE63</f>
        <v>13180.8285714285994</v>
      </c>
      <c r="AI63" s="27">
        <f>(AF63-AC63)/(36-B63+((112-C63)/112))</f>
        <v>1015.50637223975002</v>
      </c>
      <c r="AJ63" s="27">
        <f>(AF63-AD63)/(34-B63+((112-C63)/112))</f>
        <v>1182.64335047759005</v>
      </c>
      <c r="AK63" s="474">
        <f>(AF63-AE63)/(32-B63+((112-C63)/112))</f>
        <v>1415.63553210203008</v>
      </c>
    </row>
    <row r="64" spans="1:37">
      <c r="A64" s="458" t="s">
        <v>953</v>
      </c>
      <c r="B64" s="452" t="n">
        <v>24</v>
      </c>
      <c r="C64" s="453" t="n">
        <v>68</v>
      </c>
      <c r="D64" s="454" t="s">
        <v>172</v>
      </c>
      <c r="E64" s="455" t="n">
        <v>0</v>
      </c>
      <c r="F64" s="461" t="n">
        <v>1</v>
      </c>
      <c r="G64" s="462" t="n">
        <v>5</v>
      </c>
      <c r="H64" s="464" t="n">
        <v>0</v>
      </c>
      <c r="I64" s="464" t="n">
        <v>6</v>
      </c>
      <c r="J64" s="464" t="n">
        <v>9</v>
      </c>
      <c r="K64" s="464" t="n">
        <v>11</v>
      </c>
      <c r="L64" s="464" t="n">
        <v>11</v>
      </c>
      <c r="M64" s="464" t="n">
        <v>13</v>
      </c>
      <c r="N64" s="465" t="n">
        <v>1</v>
      </c>
      <c r="O64" s="467">
        <f>((J64+F64+(LOG(G64)*4/3))*0.15)</f>
        <v>1.63979400086721006</v>
      </c>
      <c r="P64" s="467">
        <f>((M64+F64+(LOG(G64)*4/3))*0.552)+((K64+F64+(LOG(G64)*4/3))*0.576)+((L64+F64+(LOG(G64)*4/3))*0.195)</f>
        <v>18.2129830876488015</v>
      </c>
      <c r="Q64" s="467">
        <f>((M64+F64+(LOG(G64)*4/3))*0.607)+((L64+F64+(LOG(G64)*4/3))*0.248)</f>
        <v>12.2708258049430992</v>
      </c>
      <c r="R64" s="468">
        <f>((M64+F64+(LOG(G64)*4/3))*0.223)+((K64+F64+(LOG(G64)*4/3))*0)+((L64+F64+(LOG(G64)*4/3))*0)</f>
        <v>3.32982708128924987</v>
      </c>
      <c r="S64" s="467">
        <f>((J64+F64+(LOG(G64)*4/3))*0.406)</f>
        <v>4.43837576234724995</v>
      </c>
      <c r="T64" s="467">
        <f>IF(D64="TEC",((K64+F64+(LOG(G64)*4/3))*0.15)+((L64+F64+(LOG(G64)*4/3))*0.324)+((M64+F64+(LOG(G64)*4/3))*0.127),((K64+F64+(LOG(G64)*4/3))*0.144)+((L64+F64+(LOG(G64)*4/3))*0.25)+((M64+F64+(LOG(G64)*4/3))*0.127))</f>
        <v>6.99155116301210988</v>
      </c>
      <c r="U64" s="467">
        <f>IF(D64="TEC",((L64+F64+(LOG(G64)*4/3))*0.543)+((M64+F64+(LOG(G64)*4/3))*0.583),((L64+F64+(LOG(G64)*4/3))*0.543)+((M64+F64+(LOG(G64)*4/3))*0.583))</f>
        <v>15.7273869665099006</v>
      </c>
      <c r="V64" s="468">
        <f>T64</f>
        <v>6.99155116301210988</v>
      </c>
      <c r="W64" s="467">
        <f>((J64+F64+(LOG(G64)*4/3))*0.25)</f>
        <v>2.73299000144535009</v>
      </c>
      <c r="X64" s="467">
        <f>((M64+F64+(LOG(G64)*4/3))*0.26)+((K64+F64+(LOG(G64)*4/3))*0.221)+((L64+F64+(LOG(G64)*4/3))*0.142)</f>
        <v>8.57661108360180968</v>
      </c>
      <c r="Y64" s="467">
        <f>((M64+F64+(LOG(G64)*4/3))*1)+((L64+F64+(LOG(G64)*4/3))*0.369)</f>
        <v>19.7038532479147008</v>
      </c>
      <c r="Z64" s="468">
        <f>X64</f>
        <v>8.57661108360180968</v>
      </c>
      <c r="AA64" s="469" t="n">
        <v>11860</v>
      </c>
      <c r="AB64" s="470" t="n">
        <v>19.8999999999999986</v>
      </c>
      <c r="AC64" s="472"/>
      <c r="AD64" s="472"/>
      <c r="AE64" s="473"/>
      <c r="AF64" s="453">
        <f>AA64+(AB64*16*(36-B64-((112-C64)/112)))-AC64</f>
        <v>15555.7142857143008</v>
      </c>
      <c r="AG64" s="453">
        <f>AA64+(AB64*16*(34-B64-((112-C64)/112)))-AD64</f>
        <v>14918.9142857142997</v>
      </c>
      <c r="AH64" s="475">
        <f>AA64+(AB64*16*(32-B64-((112-C64)/112)))-AE64</f>
        <v>14282.1142857143004</v>
      </c>
      <c r="AI64" s="453">
        <f>(AF64-AC64)/(36-B64+((112-C64)/112))</f>
        <v>1255.21613832853996</v>
      </c>
      <c r="AJ64" s="453">
        <f>(AF64-AD64)/(34-B64+((112-C64)/112))</f>
        <v>1496.76975945017989</v>
      </c>
      <c r="AK64" s="475">
        <f>(AF64-AE64)/(32-B64+((112-C64)/112))</f>
        <v>1853.44680851064004</v>
      </c>
    </row>
  </sheetData>
  <conditionalFormatting sqref="O3:O64 S3:S64 W3:W6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3:P64 R3:R64 T3:T64 V3:V64 X3:X64 Z3:Z6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:Q64 U3:U64 Y3:Y6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3:AK64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{19EA491C-B297-E494-8B3E-5A270F32D175}</x14:id>
        </ext>
      </extLst>
    </cfRule>
  </conditionalFormatting>
  <conditionalFormatting sqref="G3:G64">
    <cfRule type="cellIs" dxfId="52" priority="5" operator="greaterThan">
      <formula>7</formula>
    </cfRule>
  </conditionalFormatting>
  <conditionalFormatting sqref="H3:N64">
    <cfRule type="colorScale" priority="6">
      <colorScale>
        <cfvo type="min"/>
        <cfvo type="max"/>
        <color rgb="FFFCFCFF"/>
        <color rgb="FFF8696B"/>
      </colorScale>
    </cfRule>
  </conditionalFormatting>
  <conditionalFormatting sqref="AF3:AH64">
    <cfRule type="dataBar" priority="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{256B4F60-CF46-D6C1-9133-D163F050084E}</x14:id>
        </ext>
      </extLst>
    </cfRule>
  </conditionalFormatting>
  <printOptions>
    <extLst>
      <ext uri="smNativeData">
        <pm:pageFlags xmlns:pm="smNativeData" id="1591683921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91683921" l="56" r="56" t="56" b="56" borderId="0" fillId="0" vertical="0"/>
        <pm:footer xmlns:pm="smNativeData" id="1591683921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9EA491C-B297-E494-8B3E-5A270F32D17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AI3:AK64</xm:sqref>
        </x14:conditionalFormatting>
        <x14:conditionalFormatting xmlns:xm="http://schemas.microsoft.com/office/excel/2006/main">
          <x14:cfRule type="dataBar" id="{256B4F60-CF46-D6C1-9133-D163F050084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AF3:AH64</xm:sqref>
        </x14:conditionalFormatting>
      </x14:conditionalFormattings>
    </ext>
    <ext uri="smNativeData">
      <pm:sheetPrefs xmlns:pm="smNativeData" day="1591683921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6.xml><?xml version="1.0" encoding="utf-8"?>
<worksheet xmlns="http://schemas.openxmlformats.org/spreadsheetml/2006/main" xmlns:r="http://schemas.openxmlformats.org/officeDocument/2006/relationships">
  <sheetPr>
    <tabColor rgb="60497A"/>
  </sheetPr>
  <dimension ref="A1:V10"/>
  <sheetViews>
    <sheetView view="normal" workbookViewId="0">
      <selection activeCell="G36" sqref="G36"/>
    </sheetView>
  </sheetViews>
  <sheetFormatPr baseColWidth="10" defaultColWidth="10.669643" defaultRowHeight="15.40"/>
  <cols>
    <col min="1" max="1" width="25.285714" customWidth="1"/>
    <col min="2" max="2" width="5.428571" customWidth="1"/>
    <col min="3" max="3" width="4.714286" customWidth="1"/>
    <col min="4" max="4" width="4.428571" customWidth="1"/>
    <col min="5" max="5" width="13.000000" customWidth="1"/>
    <col min="6" max="6" width="7.428571" customWidth="1"/>
    <col min="7" max="7" width="12.000000" customWidth="1"/>
    <col min="8" max="8" width="3.571429" customWidth="1"/>
    <col min="9" max="10" width="5.571429" customWidth="1"/>
    <col min="11" max="13" width="4.571429" customWidth="1"/>
    <col min="14" max="14" width="5.142857" customWidth="1"/>
    <col min="15" max="15" width="5.571429" customWidth="1"/>
    <col min="16" max="16" width="7.714286" customWidth="1"/>
    <col min="17" max="17" width="7.857143" customWidth="1"/>
    <col min="18" max="18" width="5.714286" customWidth="1"/>
    <col min="19" max="19" width="5.285714" customWidth="1"/>
    <col min="20" max="20" width="5.428571" customWidth="1"/>
    <col min="21" max="21" width="4.285714" customWidth="1"/>
  </cols>
  <sheetData>
    <row r="1" spans="1:16">
      <c r="A1" s="25"/>
      <c r="D1" s="44"/>
      <c r="P1" t="s">
        <v>846</v>
      </c>
    </row>
    <row r="2" spans="1:22">
      <c r="A2" s="33" t="s">
        <v>195</v>
      </c>
      <c r="B2" s="33" t="s">
        <v>858</v>
      </c>
      <c r="C2" s="33" t="s">
        <v>120</v>
      </c>
      <c r="D2" s="53" t="s">
        <v>477</v>
      </c>
      <c r="E2" s="33" t="s">
        <v>883</v>
      </c>
      <c r="F2" s="42" t="s">
        <v>128</v>
      </c>
      <c r="G2" s="41" t="s">
        <v>480</v>
      </c>
      <c r="H2" s="34" t="s">
        <v>747</v>
      </c>
      <c r="I2" s="34" t="s">
        <v>161</v>
      </c>
      <c r="J2" s="34" t="s">
        <v>203</v>
      </c>
      <c r="K2" s="34" t="s">
        <v>204</v>
      </c>
      <c r="L2" s="34" t="s">
        <v>501</v>
      </c>
      <c r="M2" s="34" t="s">
        <v>206</v>
      </c>
      <c r="N2" s="34" t="s">
        <v>207</v>
      </c>
      <c r="O2" s="34" t="s">
        <v>208</v>
      </c>
      <c r="P2" s="36" t="s">
        <v>865</v>
      </c>
      <c r="Q2" s="36" t="s">
        <v>866</v>
      </c>
      <c r="R2" s="34" t="s">
        <v>954</v>
      </c>
      <c r="S2" s="34" t="s">
        <v>955</v>
      </c>
      <c r="T2" s="34" t="s">
        <v>956</v>
      </c>
      <c r="U2" s="34" t="s">
        <v>957</v>
      </c>
      <c r="V2" s="34" t="s">
        <v>614</v>
      </c>
    </row>
    <row r="3" spans="1:22">
      <c r="A3" t="str">
        <f>Plantilla!D4</f>
        <v>Cosme Fonteboa</v>
      </c>
      <c r="B3" t="n">
        <v>22</v>
      </c>
      <c r="C3" s="27" t="n">
        <v>89</v>
      </c>
      <c r="D3" s="44"/>
      <c r="E3" s="47" t="n">
        <v>9700000</v>
      </c>
      <c r="F3" s="106">
        <f>Plantilla!N4</f>
        <v>1</v>
      </c>
      <c r="G3" s="346">
        <f>Plantilla!V4</f>
        <v>30780</v>
      </c>
      <c r="H3" s="31">
        <f>Plantilla!I4</f>
        <v>7.5</v>
      </c>
      <c r="I3" s="38">
        <f>Plantilla!X4</f>
        <v>15</v>
      </c>
      <c r="J3" s="38">
        <f>Plantilla!Y4</f>
        <v>12.1999999999999993</v>
      </c>
      <c r="K3" s="38">
        <f>Plantilla!Z4</f>
        <v>0</v>
      </c>
      <c r="L3" s="38">
        <f>Plantilla!AA4</f>
        <v>0</v>
      </c>
      <c r="M3" s="38">
        <f>Plantilla!AB4</f>
        <v>0</v>
      </c>
      <c r="N3" s="38">
        <f>Plantilla!AC4</f>
        <v>1</v>
      </c>
      <c r="O3" s="38">
        <f>Plantilla!AD4</f>
        <v>14</v>
      </c>
      <c r="P3" s="29">
        <f>((I3+F3+(LOG(H3)*4/3))*0.597)+((J3+F3+(LOG(H3)*4/3))*0.276)</f>
        <v>14.2137713105878998</v>
      </c>
      <c r="Q3" s="29">
        <f>((I3+F3+(LOG(H3)*4/3))*0.866)+((J3+F3+(LOG(H3)*4/3))*0.425)</f>
        <v>20.9722721213849006</v>
      </c>
      <c r="R3" t="n">
        <v>51.5</v>
      </c>
      <c r="S3" t="n">
        <v>45</v>
      </c>
      <c r="T3" t="n">
        <v>0</v>
      </c>
      <c r="U3" t="n">
        <v>-1</v>
      </c>
      <c r="V3" s="44">
        <f>U3+T3+S3+R3</f>
        <v>95.5</v>
      </c>
    </row>
    <row r="4" spans="1:22">
      <c r="A4" t="str">
        <f>Plantilla!D5</f>
        <v>Nicolae Hornet</v>
      </c>
      <c r="B4" t="n">
        <v>23</v>
      </c>
      <c r="C4" s="27" t="n">
        <v>2</v>
      </c>
      <c r="D4" s="44"/>
      <c r="E4" s="47"/>
      <c r="F4" s="106">
        <f>Plantilla!N5</f>
        <v>1</v>
      </c>
      <c r="G4" s="346">
        <f>Plantilla!V5</f>
        <v>1190</v>
      </c>
      <c r="H4" s="31">
        <f>Plantilla!I5</f>
        <v>1.39999999999999991</v>
      </c>
      <c r="I4" s="38">
        <f>Plantilla!X5</f>
        <v>6</v>
      </c>
      <c r="J4" s="38">
        <f>Plantilla!Y5</f>
        <v>5.40000000000000036</v>
      </c>
      <c r="K4" s="38">
        <f>Plantilla!Z5</f>
        <v>0</v>
      </c>
      <c r="L4" s="38">
        <f>Plantilla!AA5</f>
        <v>3</v>
      </c>
      <c r="M4" s="38">
        <f>Plantilla!AB5</f>
        <v>0</v>
      </c>
      <c r="N4" s="38">
        <f>Plantilla!AC5</f>
        <v>1</v>
      </c>
      <c r="O4" s="38">
        <f>Plantilla!AD5</f>
        <v>4</v>
      </c>
      <c r="P4" s="29">
        <f>((I4+F4+(LOG(H4)*4/3))*0.597)+((J4+F4+(LOG(H4)*4/3))*0.276)</f>
        <v>6.11549303352946971</v>
      </c>
      <c r="Q4" s="29">
        <f>((I4+F4+(LOG(H4)*4/3))*0.866)+((J4+F4+(LOG(H4)*4/3))*0.425)</f>
        <v>9.03353505874748031</v>
      </c>
      <c r="R4" t="n">
        <v>7.5</v>
      </c>
      <c r="S4" t="n">
        <v>9</v>
      </c>
      <c r="T4" t="n">
        <v>0</v>
      </c>
      <c r="U4" t="n">
        <v>-1</v>
      </c>
      <c r="V4" s="44">
        <f>U4+T4+S4+R4</f>
        <v>15.5</v>
      </c>
    </row>
    <row r="5" spans="1:22">
      <c r="A5" t="s">
        <v>958</v>
      </c>
      <c r="B5" t="n">
        <v>23</v>
      </c>
      <c r="C5" t="n">
        <v>96</v>
      </c>
      <c r="E5" s="47" t="n">
        <v>8000000</v>
      </c>
      <c r="F5" s="106">
        <f>$F$3</f>
        <v>1</v>
      </c>
      <c r="G5" s="346">
        <f>(31720+655)*1.032</f>
        <v>33411</v>
      </c>
      <c r="H5" s="31" t="n">
        <v>3.5</v>
      </c>
      <c r="I5" s="38" t="n">
        <v>16</v>
      </c>
      <c r="J5" s="38" t="n">
        <v>9</v>
      </c>
      <c r="K5" s="38" t="n">
        <v>0</v>
      </c>
      <c r="L5" s="38" t="n">
        <v>0</v>
      </c>
      <c r="M5" s="38" t="n">
        <v>0</v>
      </c>
      <c r="N5" s="38" t="n">
        <v>0</v>
      </c>
      <c r="O5" s="38" t="n">
        <v>11</v>
      </c>
      <c r="P5" s="29">
        <f>((I5+F5+(LOG(H5)*4/3))*0.597)+((J5+F5+(LOG(H5)*4/3))*0.276)</f>
        <v>13.5422952036237003</v>
      </c>
      <c r="Q5" s="29">
        <f>((I5+F5+(LOG(H5)*4/3))*0.866)+((J5+F5+(LOG(H5)*4/3))*0.425)</f>
        <v>19.9085224603416009</v>
      </c>
      <c r="R5" t="n">
        <v>61.5</v>
      </c>
      <c r="S5" t="n">
        <v>30</v>
      </c>
      <c r="T5" t="n">
        <v>0</v>
      </c>
      <c r="U5" t="n">
        <v>10</v>
      </c>
      <c r="V5" s="44">
        <f>U5+T5+S5+R5</f>
        <v>101.5</v>
      </c>
    </row>
    <row r="6" spans="1:22">
      <c r="A6" t="s">
        <v>959</v>
      </c>
      <c r="B6" t="n">
        <v>23</v>
      </c>
      <c r="C6" t="n">
        <v>53</v>
      </c>
      <c r="E6" s="47" t="n">
        <v>9282257</v>
      </c>
      <c r="F6" s="106">
        <f>$F$3</f>
        <v>1</v>
      </c>
      <c r="G6" s="346"/>
      <c r="H6" s="31" t="n">
        <v>4.70000000000000018</v>
      </c>
      <c r="I6" s="38" t="n">
        <v>16</v>
      </c>
      <c r="J6" s="38" t="n">
        <v>4</v>
      </c>
      <c r="K6" s="38" t="n">
        <v>0</v>
      </c>
      <c r="L6" s="38" t="n">
        <v>0</v>
      </c>
      <c r="M6" s="38" t="n">
        <v>0</v>
      </c>
      <c r="N6" s="38" t="n">
        <v>0</v>
      </c>
      <c r="O6" s="38" t="n">
        <v>13</v>
      </c>
      <c r="P6" s="29">
        <f>((I6+F6+(LOG(H6)*4/3))*0.597)+((J6+F6+(LOG(H6)*4/3))*0.276)</f>
        <v>12.3113219066370991</v>
      </c>
      <c r="Q6" s="29">
        <f>((I6+F6+(LOG(H6)*4/3))*0.866)+((J6+F6+(LOG(H6)*4/3))*0.425)</f>
        <v>18.0039044461266009</v>
      </c>
      <c r="R6" t="n">
        <v>61.5</v>
      </c>
      <c r="S6" t="n">
        <v>6</v>
      </c>
      <c r="T6" t="n">
        <v>0</v>
      </c>
      <c r="U6" t="n">
        <v>14</v>
      </c>
      <c r="V6" s="44">
        <f>U6+T6+S6+R6</f>
        <v>81.5</v>
      </c>
    </row>
    <row r="7" spans="1:22">
      <c r="A7" t="s">
        <v>960</v>
      </c>
      <c r="B7" t="n">
        <v>23</v>
      </c>
      <c r="C7" t="n">
        <v>18</v>
      </c>
      <c r="D7" t="s">
        <v>172</v>
      </c>
      <c r="E7" s="47" t="n">
        <v>9000000</v>
      </c>
      <c r="F7" s="106">
        <f>$F$3</f>
        <v>1</v>
      </c>
      <c r="G7" s="346">
        <f>(18290+2045+125+145)*1.012</f>
        <v>20852.2599999999984</v>
      </c>
      <c r="H7" s="31" t="n">
        <v>5.09999999999999964</v>
      </c>
      <c r="I7" s="38" t="n">
        <v>14</v>
      </c>
      <c r="J7" s="38" t="n">
        <v>11</v>
      </c>
      <c r="K7" s="38" t="n">
        <v>0</v>
      </c>
      <c r="L7" s="38" t="n">
        <v>5</v>
      </c>
      <c r="M7" s="38" t="n">
        <v>6</v>
      </c>
      <c r="N7" s="38" t="n">
        <v>0</v>
      </c>
      <c r="O7" s="38" t="n">
        <v>4</v>
      </c>
      <c r="P7" s="29">
        <f>((I7+F7+(LOG(H7)*4/3))*0.597)+((J7+F7+(LOG(H7)*4/3))*0.276)</f>
        <v>13.0906116849780005</v>
      </c>
      <c r="Q7" s="29">
        <f>((I7+F7+(LOG(H7)*4/3))*0.866)+((J7+F7+(LOG(H7)*4/3))*0.425)</f>
        <v>19.3079641297899016</v>
      </c>
      <c r="R7" t="n">
        <v>43.5</v>
      </c>
      <c r="S7" t="n">
        <v>46</v>
      </c>
      <c r="T7" t="n">
        <v>10</v>
      </c>
      <c r="U7" t="n">
        <v>2</v>
      </c>
      <c r="V7" s="44">
        <f>U7+T7+S7+R7</f>
        <v>101.5</v>
      </c>
    </row>
    <row r="8" spans="1:22">
      <c r="A8" t="s">
        <v>961</v>
      </c>
      <c r="B8" t="n">
        <v>23</v>
      </c>
      <c r="C8" t="n">
        <v>14</v>
      </c>
      <c r="E8" s="47" t="n">
        <v>10250000</v>
      </c>
      <c r="F8" s="106">
        <f>$F$3</f>
        <v>1</v>
      </c>
      <c r="G8" s="346"/>
      <c r="H8" s="31" t="n">
        <v>4.29999999999999982</v>
      </c>
      <c r="I8" s="38" t="n">
        <v>19</v>
      </c>
      <c r="J8" s="38" t="n">
        <v>5</v>
      </c>
      <c r="K8" s="38" t="n">
        <v>0</v>
      </c>
      <c r="L8" s="38" t="n">
        <v>0</v>
      </c>
      <c r="M8" s="38" t="n">
        <v>0</v>
      </c>
      <c r="N8" s="38" t="n">
        <v>0</v>
      </c>
      <c r="O8" s="38" t="n">
        <v>2</v>
      </c>
      <c r="P8" s="29">
        <f>((I8+F8+(LOG(H8)*4/3))*0.597)+((J8+F8+(LOG(H8)*4/3))*0.276)</f>
        <v>14.3333572822947009</v>
      </c>
      <c r="Q8" s="29">
        <f>((I8+F8+(LOG(H8)*4/3))*0.866)+((J8+F8+(LOG(H8)*4/3))*0.425)</f>
        <v>20.9604103682043998</v>
      </c>
      <c r="R8" t="n">
        <v>106</v>
      </c>
      <c r="S8" t="n">
        <v>10</v>
      </c>
      <c r="T8" t="n">
        <v>0</v>
      </c>
      <c r="U8" t="n">
        <v>0</v>
      </c>
      <c r="V8" s="44">
        <f>U8+T8+S8+R8</f>
        <v>116</v>
      </c>
    </row>
    <row r="9" spans="2:22">
      <c r="B9" t="n">
        <v>20</v>
      </c>
      <c r="C9" t="n">
        <v>25</v>
      </c>
      <c r="E9" s="47"/>
      <c r="F9" s="106">
        <f>$F$3</f>
        <v>1</v>
      </c>
      <c r="G9" s="346"/>
      <c r="H9" s="31" t="n">
        <v>1.30000000000000004</v>
      </c>
      <c r="I9" s="38" t="n">
        <v>7</v>
      </c>
      <c r="J9" s="38" t="n">
        <v>4</v>
      </c>
      <c r="K9" s="38" t="n">
        <v>0</v>
      </c>
      <c r="L9" s="38" t="n">
        <v>0</v>
      </c>
      <c r="M9" s="38" t="n">
        <v>0</v>
      </c>
      <c r="N9" s="38" t="n">
        <v>0</v>
      </c>
      <c r="O9" s="38" t="n">
        <v>12</v>
      </c>
      <c r="P9" s="29">
        <f>((I9+F9+(LOG(H9)*4/3))*0.597)+((J9+F9+(LOG(H9)*4/3))*0.276)</f>
        <v>6.28863006208515962</v>
      </c>
      <c r="Q9" s="29">
        <f>((I9+F9+(LOG(H9)*4/3))*0.866)+((J9+F9+(LOG(H9)*4/3))*0.425)</f>
        <v>9.24913449043750013</v>
      </c>
      <c r="R9" t="n">
        <v>7.5</v>
      </c>
      <c r="S9" t="n">
        <v>9</v>
      </c>
      <c r="T9" t="n">
        <v>0</v>
      </c>
      <c r="U9" t="n">
        <v>-1</v>
      </c>
      <c r="V9" s="44">
        <f>U9+T9+S9+R9</f>
        <v>15.5</v>
      </c>
    </row>
    <row r="10" spans="2:22">
      <c r="B10" t="n">
        <v>21</v>
      </c>
      <c r="C10" t="n">
        <v>82</v>
      </c>
      <c r="E10" s="47"/>
      <c r="F10" s="106">
        <f>$F$3</f>
        <v>1</v>
      </c>
      <c r="G10" s="346"/>
      <c r="H10" s="31" t="n">
        <v>2.60000000000000009</v>
      </c>
      <c r="I10" s="38" t="n">
        <v>8</v>
      </c>
      <c r="J10" s="38" t="n">
        <v>6</v>
      </c>
      <c r="K10" s="38" t="n">
        <v>2</v>
      </c>
      <c r="L10" s="38" t="n">
        <v>3</v>
      </c>
      <c r="M10" s="38" t="n">
        <v>5</v>
      </c>
      <c r="N10" s="38" t="n">
        <v>2</v>
      </c>
      <c r="O10" s="38" t="n">
        <v>12</v>
      </c>
      <c r="P10" s="29">
        <f>((I10+F10+(LOG(H10)*4/3))*0.597)+((J10+F10+(LOG(H10)*4/3))*0.276)</f>
        <v>7.78802897703802977</v>
      </c>
      <c r="Q10" s="29">
        <f>((I10+F10+(LOG(H10)*4/3))*0.866)+((J10+F10+(LOG(H10)*4/3))*0.425)</f>
        <v>11.4833074563071005</v>
      </c>
      <c r="R10" t="n">
        <v>7.5</v>
      </c>
      <c r="S10" t="n">
        <v>9</v>
      </c>
      <c r="T10" t="n">
        <v>0</v>
      </c>
      <c r="U10" t="n">
        <v>-1</v>
      </c>
      <c r="V10" s="44">
        <f>U10+T10+S10+R10</f>
        <v>15.5</v>
      </c>
    </row>
  </sheetData>
  <conditionalFormatting sqref="H3:H10">
    <cfRule type="cellIs" dxfId="53" priority="1" operator="greaterThan">
      <formula>7</formula>
    </cfRule>
  </conditionalFormatting>
  <conditionalFormatting sqref="P3:Q10">
    <cfRule type="cellIs" dxfId="54" priority="2" operator="greaterThan">
      <formula>12.5</formula>
    </cfRule>
  </conditionalFormatting>
  <conditionalFormatting sqref="I3:O10">
    <cfRule type="colorScale" priority="3">
      <colorScale>
        <cfvo type="min"/>
        <cfvo type="max"/>
        <color rgb="FFFCFCFF"/>
        <color rgb="FFF8696B"/>
      </colorScale>
    </cfRule>
  </conditionalFormatting>
  <printOptions>
    <extLst>
      <ext uri="smNativeData">
        <pm:pageFlags xmlns:pm="smNativeData" id="1591683921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 pageOrder="overThenDown"/>
  <headerFooter>
    <extLst>
      <ext uri="smNativeData">
        <pm:header xmlns:pm="smNativeData" id="1591683921" l="56" r="56" t="56" b="56" borderId="0" fillId="0" vertical="0"/>
        <pm:footer xmlns:pm="smNativeData" id="1591683921" l="56" r="56" t="56" b="56" borderId="0" fillId="0" vertical="2"/>
      </ext>
    </extLst>
  </headerFooter>
  <legacyDrawing r:id="rId2"/>
  <extLst>
    <ext uri="smNativeData">
      <pm:sheetPrefs xmlns:pm="smNativeData" day="1591683921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7.xml><?xml version="1.0" encoding="utf-8"?>
<worksheet xmlns="http://schemas.openxmlformats.org/spreadsheetml/2006/main" xmlns:r="http://schemas.openxmlformats.org/officeDocument/2006/relationships">
  <sheetPr>
    <tabColor rgb="60497A"/>
  </sheetPr>
  <dimension ref="A1:U13"/>
  <sheetViews>
    <sheetView view="normal" workbookViewId="0">
      <selection activeCell="T5" sqref="T5"/>
    </sheetView>
  </sheetViews>
  <sheetFormatPr baseColWidth="10" defaultColWidth="10.669643" defaultRowHeight="15.40"/>
  <cols>
    <col min="1" max="1" width="18.000000" customWidth="1"/>
    <col min="2" max="2" width="5.428571" customWidth="1"/>
    <col min="3" max="3" width="4.714286" customWidth="1"/>
    <col min="4" max="4" width="4.142857" customWidth="1"/>
    <col min="5" max="5" width="12.000000" customWidth="1"/>
    <col min="6" max="6" width="4.571429" customWidth="1"/>
    <col min="7" max="7" width="5.571429" customWidth="1"/>
    <col min="8" max="8" width="5.714286" customWidth="1"/>
    <col min="9" max="9" width="7.142857" customWidth="1"/>
    <col min="10" max="10" width="7.428571" customWidth="1"/>
    <col min="11" max="11" width="3.571429" customWidth="1"/>
    <col min="12" max="14" width="5.571429" customWidth="1"/>
    <col min="15" max="15" width="4.571429" customWidth="1"/>
    <col min="16" max="16" width="5.571429" customWidth="1"/>
    <col min="17" max="17" width="5.142857" customWidth="1"/>
    <col min="18" max="18" width="5.571429" customWidth="1"/>
    <col min="19" max="19" width="7.714286" customWidth="1"/>
    <col min="20" max="20" width="7.857143" customWidth="1"/>
  </cols>
  <sheetData>
    <row r="1" spans="1:19">
      <c r="A1" s="25"/>
      <c r="D1" s="44"/>
      <c r="S1" t="s">
        <v>846</v>
      </c>
    </row>
    <row r="2" spans="1:20">
      <c r="A2" s="33" t="s">
        <v>195</v>
      </c>
      <c r="B2" s="33" t="s">
        <v>858</v>
      </c>
      <c r="C2" s="33" t="s">
        <v>120</v>
      </c>
      <c r="D2" s="53" t="s">
        <v>477</v>
      </c>
      <c r="E2" s="33" t="s">
        <v>883</v>
      </c>
      <c r="F2" s="41" t="s">
        <v>860</v>
      </c>
      <c r="G2" s="41" t="s">
        <v>132</v>
      </c>
      <c r="H2" s="41" t="s">
        <v>133</v>
      </c>
      <c r="I2" s="41" t="s">
        <v>480</v>
      </c>
      <c r="J2" s="42" t="s">
        <v>128</v>
      </c>
      <c r="K2" s="34" t="s">
        <v>747</v>
      </c>
      <c r="L2" s="34" t="s">
        <v>161</v>
      </c>
      <c r="M2" s="34" t="s">
        <v>203</v>
      </c>
      <c r="N2" s="34" t="s">
        <v>204</v>
      </c>
      <c r="O2" s="34" t="s">
        <v>501</v>
      </c>
      <c r="P2" s="34" t="s">
        <v>206</v>
      </c>
      <c r="Q2" s="34" t="s">
        <v>207</v>
      </c>
      <c r="R2" s="34" t="s">
        <v>208</v>
      </c>
      <c r="S2" s="36" t="s">
        <v>865</v>
      </c>
      <c r="T2" s="36" t="s">
        <v>866</v>
      </c>
    </row>
    <row r="3" spans="1:20">
      <c r="A3" t="str">
        <f>Plantilla!D4</f>
        <v>Cosme Fonteboa</v>
      </c>
      <c r="B3" t="n">
        <v>22</v>
      </c>
      <c r="C3" s="27" t="n">
        <v>89</v>
      </c>
      <c r="D3" s="44"/>
      <c r="E3" s="47"/>
      <c r="F3" s="39">
        <f>Plantilla!Q4</f>
        <v>6</v>
      </c>
      <c r="G3" s="40">
        <f>(F3/7)^0.5</f>
        <v>0.925820099772552041</v>
      </c>
      <c r="H3" s="40">
        <f>IF(F3=7,1,((F3+0.99)/7)^0.5)</f>
        <v>0.999285459001294996</v>
      </c>
      <c r="I3" s="40"/>
      <c r="J3" s="106">
        <f>Plantilla!N4</f>
        <v>1</v>
      </c>
      <c r="K3" s="31">
        <f>Plantilla!I4</f>
        <v>7.5</v>
      </c>
      <c r="L3" s="38">
        <f>Plantilla!X4</f>
        <v>15</v>
      </c>
      <c r="M3" s="38">
        <f>Plantilla!Y4</f>
        <v>12.1999999999999993</v>
      </c>
      <c r="N3" s="38">
        <f>Plantilla!Z4</f>
        <v>0</v>
      </c>
      <c r="O3" s="38">
        <f>Plantilla!AA4</f>
        <v>0</v>
      </c>
      <c r="P3" s="38">
        <f>Plantilla!AB4</f>
        <v>0</v>
      </c>
      <c r="Q3" s="38">
        <f>Plantilla!AC4</f>
        <v>1</v>
      </c>
      <c r="R3" s="38">
        <f>Plantilla!AD4</f>
        <v>14</v>
      </c>
      <c r="S3" s="29">
        <f>((L3+J3+(LOG(K3)*4/3))*0.597)+((M3+J3+(LOG(K3)*4/3))*0.276)</f>
        <v>14.2137713105878998</v>
      </c>
      <c r="T3" s="29">
        <f>((L3+J3+(LOG(K3)*4/3))*0.866)+((M3+J3+(LOG(K3)*4/3))*0.425)</f>
        <v>20.9722721213849006</v>
      </c>
    </row>
    <row r="4" spans="1:20">
      <c r="A4" t="str">
        <f>Plantilla!D5</f>
        <v>Nicolae Hornet</v>
      </c>
      <c r="B4" t="n">
        <v>23</v>
      </c>
      <c r="C4" s="27" t="n">
        <v>2</v>
      </c>
      <c r="D4" s="44"/>
      <c r="E4" s="47"/>
      <c r="F4" s="39">
        <f>Plantilla!Q5</f>
        <v>7</v>
      </c>
      <c r="G4" s="40">
        <f>(F4/7)^0.5</f>
        <v>1</v>
      </c>
      <c r="H4" s="40">
        <f>IF(F4=7,1,((F4+0.99)/7)^0.5)</f>
        <v>1</v>
      </c>
      <c r="I4" s="40"/>
      <c r="J4" s="106">
        <f>Plantilla!N5</f>
        <v>1</v>
      </c>
      <c r="K4" s="31">
        <f>Plantilla!I5</f>
        <v>1.39999999999999991</v>
      </c>
      <c r="L4" s="38">
        <f>Plantilla!X5</f>
        <v>6</v>
      </c>
      <c r="M4" s="38">
        <f>Plantilla!Y5</f>
        <v>5.40000000000000036</v>
      </c>
      <c r="N4" s="38">
        <f>Plantilla!Z5</f>
        <v>0</v>
      </c>
      <c r="O4" s="38">
        <f>Plantilla!AA5</f>
        <v>3</v>
      </c>
      <c r="P4" s="38">
        <f>Plantilla!AB5</f>
        <v>0</v>
      </c>
      <c r="Q4" s="38">
        <f>Plantilla!AC5</f>
        <v>1</v>
      </c>
      <c r="R4" s="38">
        <f>Plantilla!AD5</f>
        <v>4</v>
      </c>
      <c r="S4" s="29">
        <f>((L4+J4+(LOG(K4)*4/3))*0.597)+((M4+J4+(LOG(K4)*4/3))*0.276)</f>
        <v>6.11549303352946971</v>
      </c>
      <c r="T4" s="29">
        <f>((L4+J4+(LOG(K4)*4/3))*0.866)+((M4+J4+(LOG(K4)*4/3))*0.425)</f>
        <v>9.03353505874748031</v>
      </c>
    </row>
    <row r="5" spans="1:20">
      <c r="A5" t="s">
        <v>962</v>
      </c>
      <c r="B5" t="n">
        <v>19</v>
      </c>
      <c r="C5" t="n">
        <v>34</v>
      </c>
      <c r="E5" s="47" t="n">
        <v>1100000</v>
      </c>
      <c r="I5" t="n">
        <v>2150</v>
      </c>
      <c r="J5" s="106" t="n">
        <v>1</v>
      </c>
      <c r="K5" s="31" t="n">
        <v>1.30000000000000004</v>
      </c>
      <c r="L5" s="38" t="n">
        <v>8</v>
      </c>
      <c r="M5" s="38" t="n">
        <v>2</v>
      </c>
      <c r="N5" s="38" t="n">
        <v>0</v>
      </c>
      <c r="O5" s="38" t="n">
        <v>0</v>
      </c>
      <c r="P5" s="38" t="n">
        <v>0</v>
      </c>
      <c r="Q5" s="38" t="n">
        <v>0</v>
      </c>
      <c r="R5" s="38" t="n">
        <v>14</v>
      </c>
      <c r="S5" s="29">
        <f>((L5+J5+(LOG(K5)*4/3))*0.597)+((M5+J5+(LOG(K5)*4/3))*0.276)</f>
        <v>6.33363006208516044</v>
      </c>
      <c r="T5" s="29">
        <f>((L5+J5+(LOG(K5)*4/3))*0.866)+((M5+J5+(LOG(K5)*4/3))*0.425)</f>
        <v>9.26513449043750015</v>
      </c>
    </row>
    <row r="6" spans="1:20">
      <c r="A6" t="s">
        <v>963</v>
      </c>
      <c r="B6" t="n">
        <v>19</v>
      </c>
      <c r="C6" t="n">
        <v>33</v>
      </c>
      <c r="E6" s="47" t="n">
        <v>1050000</v>
      </c>
      <c r="I6" t="n">
        <v>2390</v>
      </c>
      <c r="J6" s="106" t="n">
        <v>1</v>
      </c>
      <c r="K6" s="31" t="n">
        <v>1.19999999999999996</v>
      </c>
      <c r="L6" s="38" t="n">
        <v>8</v>
      </c>
      <c r="M6" s="38" t="n">
        <v>1</v>
      </c>
      <c r="N6" s="38" t="n">
        <v>0</v>
      </c>
      <c r="O6" s="38" t="n">
        <v>0</v>
      </c>
      <c r="P6" s="38" t="n">
        <v>0</v>
      </c>
      <c r="Q6" s="38" t="n">
        <v>0</v>
      </c>
      <c r="R6" s="38" t="n">
        <v>12</v>
      </c>
      <c r="S6" s="29">
        <f>((L6+J6+(LOG(K6)*4/3))*0.597)+((M6+J6+(LOG(K6)*4/3))*0.276)</f>
        <v>6.01716697039944037</v>
      </c>
      <c r="T6" s="29">
        <f>((L6+J6+(LOG(K6)*4/3))*0.866)+((M6+J6+(LOG(K6)*4/3))*0.425)</f>
        <v>8.78029731819665038</v>
      </c>
    </row>
    <row r="7" spans="1:20">
      <c r="A7" t="s">
        <v>964</v>
      </c>
      <c r="B7" t="n">
        <v>19</v>
      </c>
      <c r="C7" t="n">
        <v>78</v>
      </c>
      <c r="E7" s="47" t="n">
        <v>1849000</v>
      </c>
      <c r="I7" t="n">
        <v>3670</v>
      </c>
      <c r="J7" s="106" t="n">
        <v>1</v>
      </c>
      <c r="K7" s="31" t="n">
        <v>1</v>
      </c>
      <c r="L7" s="38" t="n">
        <v>9.34999999999999964</v>
      </c>
      <c r="M7" s="38" t="n">
        <v>3</v>
      </c>
      <c r="N7" s="38" t="n">
        <v>0</v>
      </c>
      <c r="O7" s="38" t="n">
        <v>0</v>
      </c>
      <c r="P7" s="38" t="n">
        <v>0</v>
      </c>
      <c r="Q7" s="38" t="n">
        <v>0</v>
      </c>
      <c r="R7" s="38" t="n">
        <v>13</v>
      </c>
      <c r="S7" s="29">
        <f>((L7+J7+(LOG(K7)*4/3))*0.597)+((M7+J7+(LOG(K7)*4/3))*0.276)</f>
        <v>7.28294999999999959</v>
      </c>
      <c r="T7" s="29">
        <f>((L7+J7+(LOG(K7)*4/3))*0.866)+((M7+J7+(LOG(K7)*4/3))*0.425)</f>
        <v>10.6631</v>
      </c>
    </row>
    <row r="8" spans="1:20">
      <c r="A8" t="s">
        <v>965</v>
      </c>
      <c r="B8" t="n">
        <v>20</v>
      </c>
      <c r="C8" t="n">
        <v>52</v>
      </c>
      <c r="E8" s="47" t="n">
        <v>1198000</v>
      </c>
      <c r="I8" t="n">
        <v>2330</v>
      </c>
      <c r="J8" s="106" t="n">
        <v>1</v>
      </c>
      <c r="K8" s="31" t="n">
        <v>1.19999999999999996</v>
      </c>
      <c r="L8" s="38" t="n">
        <v>8</v>
      </c>
      <c r="M8" s="38" t="n">
        <v>2</v>
      </c>
      <c r="N8" s="38" t="n">
        <v>0</v>
      </c>
      <c r="O8" s="38" t="n">
        <v>0</v>
      </c>
      <c r="P8" s="38" t="n">
        <v>0</v>
      </c>
      <c r="Q8" s="38" t="n">
        <v>0</v>
      </c>
      <c r="R8" s="38" t="n">
        <v>14</v>
      </c>
      <c r="S8" s="29">
        <f>((L8+J8+(LOG(K8)*4/3))*0.597)+((M8+J8+(LOG(K8)*4/3))*0.276)</f>
        <v>6.29316697039944017</v>
      </c>
      <c r="T8" s="29">
        <f>((L8+J8+(LOG(K8)*4/3))*0.866)+((M8+J8+(LOG(K8)*4/3))*0.425)</f>
        <v>9.20529731819664931</v>
      </c>
    </row>
    <row r="9" spans="1:20">
      <c r="A9" t="s">
        <v>966</v>
      </c>
      <c r="B9" t="n">
        <v>20</v>
      </c>
      <c r="C9" t="n">
        <v>25</v>
      </c>
      <c r="E9" s="47" t="n">
        <v>750000</v>
      </c>
      <c r="I9" t="n">
        <v>1730</v>
      </c>
      <c r="J9" s="106" t="n">
        <v>1</v>
      </c>
      <c r="K9" s="31" t="n">
        <v>1.30000000000000004</v>
      </c>
      <c r="L9" s="38" t="n">
        <v>7</v>
      </c>
      <c r="M9" s="38" t="n">
        <v>4</v>
      </c>
      <c r="N9" s="38" t="n">
        <v>0</v>
      </c>
      <c r="O9" s="38" t="n">
        <v>0</v>
      </c>
      <c r="P9" s="38" t="n">
        <v>0</v>
      </c>
      <c r="Q9" s="38" t="n">
        <v>0</v>
      </c>
      <c r="R9" s="38" t="n">
        <v>12</v>
      </c>
      <c r="S9" s="29">
        <f>((L9+J9+(LOG(K9)*4/3))*0.597)+((M9+J9+(LOG(K9)*4/3))*0.276)</f>
        <v>6.28863006208515962</v>
      </c>
      <c r="T9" s="29">
        <f>((L9+J9+(LOG(K9)*4/3))*0.866)+((M9+J9+(LOG(K9)*4/3))*0.425)</f>
        <v>9.24913449043750013</v>
      </c>
    </row>
    <row r="10" spans="1:21">
      <c r="A10" t="s">
        <v>967</v>
      </c>
      <c r="B10" t="n">
        <v>21</v>
      </c>
      <c r="C10" t="n">
        <v>82</v>
      </c>
      <c r="D10" t="s">
        <v>968</v>
      </c>
      <c r="E10" s="47" t="n">
        <v>900000</v>
      </c>
      <c r="I10" t="n">
        <v>650</v>
      </c>
      <c r="J10" s="106" t="n">
        <v>1</v>
      </c>
      <c r="K10" s="31" t="n">
        <v>2.60000000000000009</v>
      </c>
      <c r="L10" s="38" t="n">
        <v>8</v>
      </c>
      <c r="M10" s="38" t="n">
        <v>6</v>
      </c>
      <c r="N10" s="38" t="n">
        <v>2</v>
      </c>
      <c r="O10" s="38" t="n">
        <v>3</v>
      </c>
      <c r="P10" s="38" t="n">
        <v>5</v>
      </c>
      <c r="Q10" s="38" t="n">
        <v>2</v>
      </c>
      <c r="R10" s="38" t="n">
        <v>12</v>
      </c>
      <c r="S10" s="29">
        <f>((L10+J10+(LOG(K10)*4/3))*0.597)+((M10+J10+(LOG(K10)*4/3))*0.276)</f>
        <v>7.78802897703802977</v>
      </c>
      <c r="T10" s="29">
        <f>((L10+J10+(LOG(K10)*4/3))*0.866)+((M10+J10+(LOG(K10)*4/3))*0.425)</f>
        <v>11.4833074563071005</v>
      </c>
      <c r="U10">
        <f>(1610+165+135)*1.033*1.2</f>
        <v>2367.63599999999997</v>
      </c>
    </row>
    <row r="11" spans="5:20">
      <c r="E11" s="47"/>
      <c r="J11" s="106"/>
      <c r="K11" s="31"/>
      <c r="L11" s="38"/>
      <c r="M11" s="38"/>
      <c r="N11" s="38"/>
      <c r="O11" s="38"/>
      <c r="P11" s="38"/>
      <c r="Q11" s="38"/>
      <c r="R11" s="38"/>
      <c r="S11" s="29"/>
      <c r="T11" s="29"/>
    </row>
    <row r="12" spans="5:20">
      <c r="E12" s="47"/>
      <c r="J12" s="106"/>
      <c r="K12" s="31"/>
      <c r="L12" s="38"/>
      <c r="M12" s="38"/>
      <c r="N12" s="38"/>
      <c r="O12" s="38"/>
      <c r="P12" s="38"/>
      <c r="Q12" s="38"/>
      <c r="R12" s="38"/>
      <c r="S12" s="29"/>
      <c r="T12" s="29"/>
    </row>
    <row r="13" spans="5:20">
      <c r="E13" s="47"/>
      <c r="J13" s="106"/>
      <c r="K13" s="31"/>
      <c r="L13" s="38"/>
      <c r="M13" s="38"/>
      <c r="N13" s="38"/>
      <c r="O13" s="38"/>
      <c r="P13" s="38"/>
      <c r="Q13" s="38"/>
      <c r="R13" s="38"/>
      <c r="S13" s="29"/>
      <c r="T13" s="29"/>
    </row>
  </sheetData>
  <conditionalFormatting sqref="K3:K13">
    <cfRule type="cellIs" dxfId="55" priority="1" operator="greaterThan">
      <formula>7</formula>
    </cfRule>
  </conditionalFormatting>
  <conditionalFormatting sqref="S3:T13">
    <cfRule type="cellIs" dxfId="56" priority="2" operator="greaterThan">
      <formula>12.5</formula>
    </cfRule>
  </conditionalFormatting>
  <conditionalFormatting sqref="L3:R13">
    <cfRule type="colorScale" priority="3">
      <colorScale>
        <cfvo type="min"/>
        <cfvo type="max"/>
        <color rgb="FFFCFCFF"/>
        <color rgb="FFF8696B"/>
      </colorScale>
    </cfRule>
  </conditionalFormatting>
  <printOptions>
    <extLst>
      <ext uri="smNativeData">
        <pm:pageFlags xmlns:pm="smNativeData" id="1591683921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 pageOrder="overThenDown"/>
  <headerFooter>
    <extLst>
      <ext uri="smNativeData">
        <pm:header xmlns:pm="smNativeData" id="1591683921" l="56" r="56" t="56" b="56" borderId="0" fillId="0" vertical="0"/>
        <pm:footer xmlns:pm="smNativeData" id="1591683921" l="56" r="56" t="56" b="56" borderId="0" fillId="0" vertical="2"/>
      </ext>
    </extLst>
  </headerFooter>
  <legacyDrawing r:id="rId2"/>
  <extLst>
    <ext uri="smNativeData">
      <pm:sheetPrefs xmlns:pm="smNativeData" day="1591683921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uny11</cp:lastModifiedBy>
  <cp:revision>0</cp:revision>
  <dcterms:created xsi:type="dcterms:W3CDTF">2006-09-16T00:00:00Z</dcterms:created>
  <dcterms:modified xsi:type="dcterms:W3CDTF">2020-06-09T06:25:21Z</dcterms:modified>
</cp:coreProperties>
</file>