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activeTab="4"/>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PLANTILLA!$A$4:$AL$26</definedName>
    <definedName name="_xlnm._FilterDatabase" localSheetId="0" hidden="1">RecienPromocionados!$A$4:$D$22</definedName>
  </definedNames>
  <calcPr calcId="152511"/>
</workbook>
</file>

<file path=xl/calcChain.xml><?xml version="1.0" encoding="utf-8"?>
<calcChain xmlns="http://schemas.openxmlformats.org/spreadsheetml/2006/main">
  <c r="Q17" i="76" l="1"/>
  <c r="P17" i="76"/>
  <c r="Q20" i="76"/>
  <c r="P20" i="76"/>
  <c r="Q18" i="76"/>
  <c r="P18" i="76"/>
  <c r="V4" i="76"/>
  <c r="W4" i="76"/>
  <c r="X4" i="76"/>
  <c r="Y4" i="76"/>
  <c r="Z4" i="76"/>
  <c r="V5" i="76"/>
  <c r="W5" i="76"/>
  <c r="X5" i="76"/>
  <c r="Y5" i="76"/>
  <c r="Z5" i="76"/>
  <c r="V6" i="76"/>
  <c r="W6" i="76"/>
  <c r="X6" i="76"/>
  <c r="Y6" i="76"/>
  <c r="Z6" i="76"/>
  <c r="V7" i="76"/>
  <c r="W7" i="76"/>
  <c r="X7" i="76"/>
  <c r="Y7" i="76"/>
  <c r="Z7" i="76"/>
  <c r="V8" i="76"/>
  <c r="W8" i="76"/>
  <c r="X8" i="76"/>
  <c r="Y8" i="76"/>
  <c r="Z8" i="76"/>
  <c r="V9" i="76"/>
  <c r="W9" i="76"/>
  <c r="X9" i="76"/>
  <c r="Y9" i="76"/>
  <c r="Z9" i="76"/>
  <c r="V10" i="76"/>
  <c r="W10" i="76"/>
  <c r="X10" i="76"/>
  <c r="Y10" i="76"/>
  <c r="Z10" i="76"/>
  <c r="V11" i="76"/>
  <c r="W11" i="76"/>
  <c r="X11" i="76"/>
  <c r="Y11" i="76"/>
  <c r="Z11" i="76"/>
  <c r="V12" i="76"/>
  <c r="W12" i="76"/>
  <c r="X12" i="76"/>
  <c r="Y12" i="76"/>
  <c r="Z12" i="76"/>
  <c r="V13" i="76"/>
  <c r="W13" i="76"/>
  <c r="X13" i="76"/>
  <c r="Y13" i="76"/>
  <c r="Z13" i="76"/>
  <c r="X3" i="76"/>
  <c r="Y3" i="76"/>
  <c r="Z3" i="76"/>
  <c r="W3" i="76"/>
  <c r="V3" i="76"/>
  <c r="R13" i="76" l="1"/>
  <c r="S13" i="76"/>
  <c r="O13" i="76"/>
  <c r="R3" i="76"/>
  <c r="Q3" i="76"/>
  <c r="S3" i="76"/>
  <c r="Q4" i="76"/>
  <c r="R4" i="76"/>
  <c r="S4" i="76"/>
  <c r="Q5" i="76"/>
  <c r="R5" i="76"/>
  <c r="S5" i="76"/>
  <c r="Q6" i="76"/>
  <c r="R6" i="76"/>
  <c r="S6" i="76"/>
  <c r="Q7" i="76"/>
  <c r="R7" i="76"/>
  <c r="S7" i="76"/>
  <c r="Q8" i="76"/>
  <c r="R8" i="76"/>
  <c r="S8" i="76"/>
  <c r="Q9" i="76"/>
  <c r="R9" i="76"/>
  <c r="S9" i="76"/>
  <c r="R10" i="76"/>
  <c r="S10" i="76"/>
  <c r="Q11" i="76"/>
  <c r="R11" i="76"/>
  <c r="S11" i="76"/>
  <c r="Q12" i="76"/>
  <c r="R12" i="76"/>
  <c r="S12" i="76"/>
  <c r="P12" i="76"/>
  <c r="P11" i="76"/>
  <c r="P9" i="76"/>
  <c r="P8" i="76"/>
  <c r="P7" i="76"/>
  <c r="P6" i="76"/>
  <c r="P5" i="76"/>
  <c r="P4" i="76"/>
  <c r="P3" i="76"/>
  <c r="O12" i="76"/>
  <c r="O11" i="76"/>
  <c r="O10" i="76"/>
  <c r="O9" i="76"/>
  <c r="O8" i="76"/>
  <c r="O7" i="76"/>
  <c r="O6" i="76"/>
  <c r="O5" i="76"/>
  <c r="O4" i="76"/>
  <c r="O3" i="76"/>
  <c r="A19" i="76"/>
  <c r="B19" i="76"/>
  <c r="C19" i="76"/>
  <c r="D19" i="76"/>
  <c r="E19" i="76" s="1"/>
  <c r="G19" i="76"/>
  <c r="H19" i="76"/>
  <c r="A18" i="76"/>
  <c r="B18" i="76"/>
  <c r="C18" i="76"/>
  <c r="D18" i="76"/>
  <c r="E18" i="76"/>
  <c r="F18" i="76" s="1"/>
  <c r="G18" i="76"/>
  <c r="H18" i="76"/>
  <c r="I18" i="76"/>
  <c r="I19" i="76" l="1"/>
  <c r="F19" i="76"/>
  <c r="J19" i="76"/>
  <c r="J18" i="76"/>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R19" i="113" s="1"/>
  <c r="J19" i="113"/>
  <c r="K19" i="113"/>
  <c r="L19" i="113"/>
  <c r="M19" i="113"/>
  <c r="BF19" i="113" s="1"/>
  <c r="N19" i="113"/>
  <c r="O19" i="113"/>
  <c r="P19" i="113"/>
  <c r="Q19" i="113"/>
  <c r="AN19" i="113" s="1"/>
  <c r="AW19" i="113"/>
  <c r="BR19" i="113"/>
  <c r="AA12" i="111" l="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O21" i="32"/>
  <c r="AD21" i="32"/>
  <c r="AE21" i="32"/>
  <c r="AF21" i="32"/>
  <c r="AG21" i="32"/>
  <c r="AH21" i="32"/>
  <c r="AI21" i="32"/>
  <c r="AJ21" i="32"/>
  <c r="AK21" i="32"/>
  <c r="AL21" i="32"/>
  <c r="U21" i="32"/>
  <c r="T21" i="32"/>
  <c r="S21" i="32"/>
  <c r="P21" i="32"/>
  <c r="Q21" i="32"/>
  <c r="N21" i="32"/>
  <c r="J21" i="32"/>
  <c r="K21" i="32"/>
  <c r="L21" i="32"/>
  <c r="AQ21" i="32"/>
  <c r="AR21" i="32" s="1"/>
  <c r="L13" i="111"/>
  <c r="L12" i="110"/>
  <c r="L15" i="107"/>
  <c r="L19" i="108"/>
  <c r="L15" i="111"/>
  <c r="L15" i="110"/>
  <c r="L17" i="107"/>
  <c r="L10" i="108"/>
  <c r="L17" i="111"/>
  <c r="L13" i="110"/>
  <c r="L18" i="107"/>
  <c r="L18" i="108"/>
  <c r="L19" i="111"/>
  <c r="L18" i="110"/>
  <c r="L16" i="107"/>
  <c r="L4" i="108"/>
  <c r="W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W15" i="32"/>
  <c r="Y14" i="111"/>
  <c r="L14" i="111"/>
  <c r="L5" i="110"/>
  <c r="L5" i="107"/>
  <c r="Z12" i="108"/>
  <c r="L12" i="108"/>
  <c r="L10" i="111"/>
  <c r="L8" i="110"/>
  <c r="L9" i="107"/>
  <c r="L16" i="108"/>
  <c r="L5" i="111"/>
  <c r="Y10" i="32"/>
  <c r="Z19" i="110"/>
  <c r="L19" i="110"/>
  <c r="L13" i="107"/>
  <c r="L7" i="111"/>
  <c r="Z17" i="110"/>
  <c r="Y17" i="110"/>
  <c r="L17" i="110"/>
  <c r="L14" i="107"/>
  <c r="L11" i="108"/>
  <c r="W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F20" i="111"/>
  <c r="G20" i="111"/>
  <c r="H20" i="111"/>
  <c r="I20" i="111"/>
  <c r="J20" i="111"/>
  <c r="K20" i="111"/>
  <c r="E15" i="111"/>
  <c r="F15" i="111"/>
  <c r="G15" i="111"/>
  <c r="H15" i="111"/>
  <c r="I15" i="111"/>
  <c r="J15" i="111"/>
  <c r="K15" i="111"/>
  <c r="E4" i="111"/>
  <c r="F4" i="111"/>
  <c r="G4" i="111"/>
  <c r="H4" i="111"/>
  <c r="I4" i="111"/>
  <c r="J4" i="111"/>
  <c r="K4" i="111"/>
  <c r="E7" i="111"/>
  <c r="F7" i="111"/>
  <c r="G7" i="111"/>
  <c r="H7" i="111"/>
  <c r="I7" i="111"/>
  <c r="J7" i="111"/>
  <c r="K7" i="111"/>
  <c r="E5" i="111"/>
  <c r="F5" i="111"/>
  <c r="G5" i="111"/>
  <c r="H5" i="111"/>
  <c r="I5" i="111"/>
  <c r="J5" i="111"/>
  <c r="K5" i="111"/>
  <c r="E21" i="111"/>
  <c r="F21" i="111"/>
  <c r="G21" i="111"/>
  <c r="H21" i="111"/>
  <c r="I21" i="111"/>
  <c r="J21" i="111"/>
  <c r="K21" i="111"/>
  <c r="E8" i="111"/>
  <c r="F8" i="111"/>
  <c r="G8" i="111"/>
  <c r="H8" i="111"/>
  <c r="I8" i="111"/>
  <c r="J8" i="111"/>
  <c r="K8" i="111"/>
  <c r="E9" i="111"/>
  <c r="F9" i="111"/>
  <c r="G9" i="111"/>
  <c r="H9" i="111"/>
  <c r="I9" i="111"/>
  <c r="J9" i="111"/>
  <c r="K9" i="111"/>
  <c r="E6" i="111"/>
  <c r="F6" i="111"/>
  <c r="G6" i="111"/>
  <c r="H6" i="111"/>
  <c r="I6" i="111"/>
  <c r="J6" i="111"/>
  <c r="K6" i="111"/>
  <c r="E11" i="111"/>
  <c r="F11" i="111"/>
  <c r="G11" i="111"/>
  <c r="H11" i="111"/>
  <c r="I11" i="111"/>
  <c r="J11" i="111"/>
  <c r="K11" i="111"/>
  <c r="E10" i="111"/>
  <c r="F10" i="111"/>
  <c r="G10" i="111"/>
  <c r="H10" i="111"/>
  <c r="I10" i="111"/>
  <c r="J10" i="111"/>
  <c r="K10" i="111"/>
  <c r="E19" i="111"/>
  <c r="F19" i="111"/>
  <c r="G19" i="111"/>
  <c r="H19" i="111"/>
  <c r="I19" i="111"/>
  <c r="J19" i="111"/>
  <c r="K19" i="111"/>
  <c r="E14" i="111"/>
  <c r="F14" i="111"/>
  <c r="G14" i="111"/>
  <c r="H14" i="111"/>
  <c r="I14" i="111"/>
  <c r="J14" i="111"/>
  <c r="K14" i="111"/>
  <c r="E22" i="111"/>
  <c r="F22" i="111"/>
  <c r="G22" i="111"/>
  <c r="H22" i="111"/>
  <c r="I22" i="111"/>
  <c r="J22" i="111"/>
  <c r="K22" i="111"/>
  <c r="E23" i="111"/>
  <c r="F23" i="111"/>
  <c r="G23" i="111"/>
  <c r="H23" i="111"/>
  <c r="I23" i="111"/>
  <c r="J23" i="111"/>
  <c r="K23" i="111"/>
  <c r="E16" i="111"/>
  <c r="F16" i="111"/>
  <c r="G16" i="111"/>
  <c r="H16" i="111"/>
  <c r="I16" i="111"/>
  <c r="J16" i="111"/>
  <c r="K16" i="111"/>
  <c r="E13" i="111"/>
  <c r="F13" i="111"/>
  <c r="G13" i="111"/>
  <c r="H13" i="111"/>
  <c r="I13" i="111"/>
  <c r="J13" i="111"/>
  <c r="K13" i="111"/>
  <c r="E17" i="111"/>
  <c r="F17" i="111"/>
  <c r="G17" i="111"/>
  <c r="H17" i="111"/>
  <c r="I17" i="111"/>
  <c r="J17" i="111"/>
  <c r="K17" i="111"/>
  <c r="F18" i="111"/>
  <c r="G18" i="111"/>
  <c r="H18" i="111"/>
  <c r="I18" i="111"/>
  <c r="J18" i="111"/>
  <c r="K18" i="111"/>
  <c r="E18" i="111"/>
  <c r="C18" i="111"/>
  <c r="B18" i="111"/>
  <c r="A18" i="111"/>
  <c r="E3" i="111"/>
  <c r="D3" i="111"/>
  <c r="C3" i="111"/>
  <c r="B3" i="111"/>
  <c r="A20" i="110"/>
  <c r="B20" i="110"/>
  <c r="C20" i="110"/>
  <c r="E20" i="110"/>
  <c r="F20" i="110"/>
  <c r="G20" i="110"/>
  <c r="H20" i="110"/>
  <c r="I20" i="110"/>
  <c r="J20" i="110"/>
  <c r="K20" i="110"/>
  <c r="A15" i="110"/>
  <c r="B15" i="110"/>
  <c r="C15" i="110"/>
  <c r="E15" i="110"/>
  <c r="F15" i="110"/>
  <c r="G15" i="110"/>
  <c r="H15" i="110"/>
  <c r="I15" i="110"/>
  <c r="J15" i="110"/>
  <c r="K15" i="110"/>
  <c r="A16" i="110"/>
  <c r="B16" i="110"/>
  <c r="C16" i="110"/>
  <c r="E16" i="110"/>
  <c r="F16" i="110"/>
  <c r="G16" i="110"/>
  <c r="H16" i="110"/>
  <c r="I16" i="110"/>
  <c r="J16" i="110"/>
  <c r="K16" i="110"/>
  <c r="A17" i="110"/>
  <c r="B17" i="110"/>
  <c r="C17" i="110"/>
  <c r="E17" i="110"/>
  <c r="F17" i="110"/>
  <c r="G17" i="110"/>
  <c r="H17" i="110"/>
  <c r="I17" i="110"/>
  <c r="J17" i="110"/>
  <c r="K17" i="110"/>
  <c r="A19" i="110"/>
  <c r="B19" i="110"/>
  <c r="C19" i="110"/>
  <c r="E19" i="110"/>
  <c r="F19" i="110"/>
  <c r="G19" i="110"/>
  <c r="H19" i="110"/>
  <c r="I19" i="110"/>
  <c r="J19" i="110"/>
  <c r="K19" i="110"/>
  <c r="A21" i="110"/>
  <c r="B21" i="110"/>
  <c r="C21" i="110"/>
  <c r="E21" i="110"/>
  <c r="F21" i="110"/>
  <c r="G21" i="110"/>
  <c r="H21" i="110"/>
  <c r="I21" i="110"/>
  <c r="J21" i="110"/>
  <c r="K21" i="110"/>
  <c r="A11" i="110"/>
  <c r="B11" i="110"/>
  <c r="C11" i="110"/>
  <c r="E11" i="110"/>
  <c r="F11" i="110"/>
  <c r="G11" i="110"/>
  <c r="H11" i="110"/>
  <c r="I11" i="110"/>
  <c r="J11" i="110"/>
  <c r="K11" i="110"/>
  <c r="A9" i="110"/>
  <c r="B9" i="110"/>
  <c r="C9" i="110"/>
  <c r="E9" i="110"/>
  <c r="F9" i="110"/>
  <c r="G9" i="110"/>
  <c r="H9" i="110"/>
  <c r="I9" i="110"/>
  <c r="J9" i="110"/>
  <c r="K9" i="110"/>
  <c r="A10" i="110"/>
  <c r="B10" i="110"/>
  <c r="C10" i="110"/>
  <c r="E10" i="110"/>
  <c r="F10" i="110"/>
  <c r="G10" i="110"/>
  <c r="H10" i="110"/>
  <c r="I10" i="110"/>
  <c r="J10" i="110"/>
  <c r="K10" i="110"/>
  <c r="A6" i="110"/>
  <c r="B6" i="110"/>
  <c r="C6" i="110"/>
  <c r="E6" i="110"/>
  <c r="F6" i="110"/>
  <c r="G6" i="110"/>
  <c r="H6" i="110"/>
  <c r="I6" i="110"/>
  <c r="J6" i="110"/>
  <c r="K6" i="110"/>
  <c r="A8" i="110"/>
  <c r="B8" i="110"/>
  <c r="C8" i="110"/>
  <c r="E8" i="110"/>
  <c r="F8" i="110"/>
  <c r="G8" i="110"/>
  <c r="H8" i="110"/>
  <c r="I8" i="110"/>
  <c r="J8" i="110"/>
  <c r="K8" i="110"/>
  <c r="A18" i="110"/>
  <c r="B18" i="110"/>
  <c r="C18" i="110"/>
  <c r="E18" i="110"/>
  <c r="F18" i="110"/>
  <c r="G18" i="110"/>
  <c r="H18" i="110"/>
  <c r="I18" i="110"/>
  <c r="J18" i="110"/>
  <c r="K18" i="110"/>
  <c r="A5" i="110"/>
  <c r="B5" i="110"/>
  <c r="C5" i="110"/>
  <c r="E5" i="110"/>
  <c r="F5" i="110"/>
  <c r="G5" i="110"/>
  <c r="H5" i="110"/>
  <c r="I5" i="110"/>
  <c r="J5" i="110"/>
  <c r="K5" i="110"/>
  <c r="A22" i="110"/>
  <c r="B22" i="110"/>
  <c r="C22" i="110"/>
  <c r="E22" i="110"/>
  <c r="F22" i="110"/>
  <c r="G22" i="110"/>
  <c r="H22" i="110"/>
  <c r="I22" i="110"/>
  <c r="J22" i="110"/>
  <c r="K22" i="110"/>
  <c r="A23" i="110"/>
  <c r="B23" i="110"/>
  <c r="C23" i="110"/>
  <c r="E23" i="110"/>
  <c r="F23" i="110"/>
  <c r="G23" i="110"/>
  <c r="H23" i="110"/>
  <c r="I23" i="110"/>
  <c r="J23" i="110"/>
  <c r="K23" i="110"/>
  <c r="A4" i="110"/>
  <c r="B4" i="110"/>
  <c r="C4" i="110"/>
  <c r="E4" i="110"/>
  <c r="F4" i="110"/>
  <c r="G4" i="110"/>
  <c r="H4" i="110"/>
  <c r="I4" i="110"/>
  <c r="J4" i="110"/>
  <c r="K4" i="110"/>
  <c r="A12" i="110"/>
  <c r="B12" i="110"/>
  <c r="C12" i="110"/>
  <c r="E12" i="110"/>
  <c r="F12" i="110"/>
  <c r="G12" i="110"/>
  <c r="H12" i="110"/>
  <c r="I12" i="110"/>
  <c r="J12" i="110"/>
  <c r="K12" i="110"/>
  <c r="A13" i="110"/>
  <c r="B13" i="110"/>
  <c r="C13" i="110"/>
  <c r="E13" i="110"/>
  <c r="F13" i="110"/>
  <c r="G13" i="110"/>
  <c r="H13" i="110"/>
  <c r="I13" i="110"/>
  <c r="J13" i="110"/>
  <c r="K13" i="110"/>
  <c r="F14" i="110"/>
  <c r="G14" i="110"/>
  <c r="H14" i="110"/>
  <c r="I14" i="110"/>
  <c r="J14" i="110"/>
  <c r="K14" i="110"/>
  <c r="E14" i="110"/>
  <c r="C14" i="110"/>
  <c r="B14" i="110"/>
  <c r="A14" i="110"/>
  <c r="E3" i="110"/>
  <c r="D3" i="110"/>
  <c r="C3" i="110"/>
  <c r="B3" i="110"/>
  <c r="E20" i="107"/>
  <c r="F20" i="107"/>
  <c r="G20" i="107"/>
  <c r="H20" i="107"/>
  <c r="I20" i="107"/>
  <c r="J20" i="107"/>
  <c r="K20" i="107"/>
  <c r="E17" i="107"/>
  <c r="F17" i="107"/>
  <c r="G17" i="107"/>
  <c r="H17" i="107"/>
  <c r="I17" i="107"/>
  <c r="J17" i="107"/>
  <c r="K17" i="107"/>
  <c r="E12" i="107"/>
  <c r="F12" i="107"/>
  <c r="G12" i="107"/>
  <c r="H12" i="107"/>
  <c r="I12" i="107"/>
  <c r="J12" i="107"/>
  <c r="K12" i="107"/>
  <c r="E14" i="107"/>
  <c r="F14" i="107"/>
  <c r="G14" i="107"/>
  <c r="H14" i="107"/>
  <c r="I14" i="107"/>
  <c r="J14" i="107"/>
  <c r="K14" i="107"/>
  <c r="E13" i="107"/>
  <c r="F13" i="107"/>
  <c r="G13" i="107"/>
  <c r="H13" i="107"/>
  <c r="I13" i="107"/>
  <c r="J13" i="107"/>
  <c r="K13" i="107"/>
  <c r="E21" i="107"/>
  <c r="F21" i="107"/>
  <c r="G21" i="107"/>
  <c r="H21" i="107"/>
  <c r="I21" i="107"/>
  <c r="J21" i="107"/>
  <c r="K21" i="107"/>
  <c r="E11" i="107"/>
  <c r="F11" i="107"/>
  <c r="G11" i="107"/>
  <c r="H11" i="107"/>
  <c r="I11" i="107"/>
  <c r="J11" i="107"/>
  <c r="K11" i="107"/>
  <c r="E8" i="107"/>
  <c r="F8" i="107"/>
  <c r="G8" i="107"/>
  <c r="H8" i="107"/>
  <c r="I8" i="107"/>
  <c r="J8" i="107"/>
  <c r="K8" i="107"/>
  <c r="E10" i="107"/>
  <c r="F10" i="107"/>
  <c r="G10" i="107"/>
  <c r="H10" i="107"/>
  <c r="I10" i="107"/>
  <c r="J10" i="107"/>
  <c r="K10" i="107"/>
  <c r="E4" i="107"/>
  <c r="F4" i="107"/>
  <c r="G4" i="107"/>
  <c r="H4" i="107"/>
  <c r="I4" i="107"/>
  <c r="J4" i="107"/>
  <c r="K4" i="107"/>
  <c r="E9" i="107"/>
  <c r="F9" i="107"/>
  <c r="G9" i="107"/>
  <c r="H9" i="107"/>
  <c r="I9" i="107"/>
  <c r="J9" i="107"/>
  <c r="K9" i="107"/>
  <c r="E16" i="107"/>
  <c r="F16" i="107"/>
  <c r="G16" i="107"/>
  <c r="H16" i="107"/>
  <c r="I16" i="107"/>
  <c r="J16" i="107"/>
  <c r="K16" i="107"/>
  <c r="E5" i="107"/>
  <c r="F5" i="107"/>
  <c r="G5" i="107"/>
  <c r="H5" i="107"/>
  <c r="I5" i="107"/>
  <c r="J5" i="107"/>
  <c r="K5" i="107"/>
  <c r="E22" i="107"/>
  <c r="F22" i="107"/>
  <c r="G22" i="107"/>
  <c r="H22" i="107"/>
  <c r="I22" i="107"/>
  <c r="J22" i="107"/>
  <c r="K22" i="107"/>
  <c r="E23" i="107"/>
  <c r="F23" i="107"/>
  <c r="G23" i="107"/>
  <c r="H23" i="107"/>
  <c r="I23" i="107"/>
  <c r="J23" i="107"/>
  <c r="K23" i="107"/>
  <c r="E6" i="107"/>
  <c r="F6" i="107"/>
  <c r="G6" i="107"/>
  <c r="H6" i="107"/>
  <c r="I6" i="107"/>
  <c r="J6" i="107"/>
  <c r="K6" i="107"/>
  <c r="E15" i="107"/>
  <c r="F15" i="107"/>
  <c r="G15" i="107"/>
  <c r="H15" i="107"/>
  <c r="I15" i="107"/>
  <c r="J15" i="107"/>
  <c r="K15" i="107"/>
  <c r="E18" i="107"/>
  <c r="F18" i="107"/>
  <c r="G18" i="107"/>
  <c r="H18" i="107"/>
  <c r="I18" i="107"/>
  <c r="J18" i="107"/>
  <c r="K18" i="107"/>
  <c r="F19" i="107"/>
  <c r="G19" i="107"/>
  <c r="H19" i="107"/>
  <c r="I19" i="107"/>
  <c r="J19" i="107"/>
  <c r="K19" i="107"/>
  <c r="E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Z23" i="32" l="1"/>
  <c r="Z22" i="32"/>
  <c r="Z19" i="32"/>
  <c r="Z15" i="32"/>
  <c r="Z18" i="32"/>
  <c r="Z16" i="32"/>
  <c r="Z13" i="32"/>
  <c r="Z12" i="32"/>
  <c r="Z17" i="32"/>
  <c r="Z7" i="32"/>
  <c r="Z9" i="32"/>
  <c r="Z5" i="32"/>
  <c r="Z10" i="32" l="1"/>
  <c r="Z20" i="32" l="1"/>
  <c r="Z14" i="32"/>
  <c r="X23" i="32" l="1"/>
  <c r="X22" i="32"/>
  <c r="X15" i="32"/>
  <c r="X18" i="32"/>
  <c r="X16" i="32"/>
  <c r="X13" i="32"/>
  <c r="X14" i="32"/>
  <c r="X12" i="32"/>
  <c r="X17" i="32"/>
  <c r="X8" i="32"/>
  <c r="X7" i="32"/>
  <c r="X10" i="32"/>
  <c r="X9" i="32"/>
  <c r="X5" i="32"/>
  <c r="X20" i="32" l="1"/>
  <c r="X24" i="32"/>
  <c r="X19" i="32"/>
  <c r="X11" i="32"/>
  <c r="AB23" i="32" l="1"/>
  <c r="AB24" i="32"/>
  <c r="AB22"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2" i="32"/>
  <c r="AH23" i="32"/>
  <c r="AH24"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2" i="32"/>
  <c r="AQ23" i="32"/>
  <c r="AQ24" i="32"/>
  <c r="AQ5" i="32"/>
  <c r="G22" i="49" l="1"/>
  <c r="AR24" i="32"/>
  <c r="AR6" i="32"/>
  <c r="AR7" i="32"/>
  <c r="AR8" i="32"/>
  <c r="AR9" i="32"/>
  <c r="AR10" i="32"/>
  <c r="AR11" i="32"/>
  <c r="AR12" i="32"/>
  <c r="AR13" i="32"/>
  <c r="AR14" i="32"/>
  <c r="AR15" i="32"/>
  <c r="AR16" i="32"/>
  <c r="AR17" i="32"/>
  <c r="AR18" i="32"/>
  <c r="AR19" i="32"/>
  <c r="AR20" i="32"/>
  <c r="AR22" i="32"/>
  <c r="AR23" i="32"/>
  <c r="AR5" i="32"/>
  <c r="A18" i="85" l="1"/>
  <c r="Z24" i="32"/>
  <c r="Z8" i="32"/>
  <c r="O13" i="85" l="1"/>
  <c r="A4" i="76" l="1"/>
  <c r="B4" i="76"/>
  <c r="C4" i="76"/>
  <c r="G4" i="76" s="1"/>
  <c r="D4" i="76"/>
  <c r="E4" i="76" s="1"/>
  <c r="F4" i="76" s="1"/>
  <c r="A5" i="76"/>
  <c r="B5" i="76"/>
  <c r="C5" i="76"/>
  <c r="G5" i="76" s="1"/>
  <c r="H5" i="76" s="1"/>
  <c r="D5" i="76"/>
  <c r="E5" i="76" s="1"/>
  <c r="A6" i="76"/>
  <c r="B6" i="76"/>
  <c r="C6" i="76"/>
  <c r="G6" i="76" s="1"/>
  <c r="H6" i="76" s="1"/>
  <c r="D6" i="76"/>
  <c r="E6" i="76" s="1"/>
  <c r="F6" i="76" s="1"/>
  <c r="A7" i="76"/>
  <c r="B7" i="76"/>
  <c r="C7" i="76"/>
  <c r="D7" i="76"/>
  <c r="E7" i="76" s="1"/>
  <c r="G7" i="76"/>
  <c r="H7" i="76" s="1"/>
  <c r="A8" i="76"/>
  <c r="B8" i="76"/>
  <c r="C8" i="76"/>
  <c r="G8" i="76" s="1"/>
  <c r="D8" i="76"/>
  <c r="E8" i="76" s="1"/>
  <c r="F8" i="76" s="1"/>
  <c r="A9" i="76"/>
  <c r="B9" i="76"/>
  <c r="C9" i="76"/>
  <c r="G9" i="76" s="1"/>
  <c r="H9" i="76" s="1"/>
  <c r="D9" i="76"/>
  <c r="E9" i="76" s="1"/>
  <c r="A10" i="76"/>
  <c r="B10" i="76"/>
  <c r="C10" i="76"/>
  <c r="G10" i="76" s="1"/>
  <c r="H10" i="76" s="1"/>
  <c r="D10" i="76"/>
  <c r="E10" i="76" s="1"/>
  <c r="F10" i="76" s="1"/>
  <c r="A11" i="76"/>
  <c r="B11" i="76"/>
  <c r="C11" i="76"/>
  <c r="G11" i="76" s="1"/>
  <c r="H11" i="76" s="1"/>
  <c r="D11" i="76"/>
  <c r="E11" i="76" s="1"/>
  <c r="A12" i="76"/>
  <c r="B12" i="76"/>
  <c r="C12" i="76"/>
  <c r="G12" i="76" s="1"/>
  <c r="H12" i="76" s="1"/>
  <c r="D12" i="76"/>
  <c r="E12" i="76" s="1"/>
  <c r="F12" i="76" s="1"/>
  <c r="A13" i="76"/>
  <c r="B13" i="76"/>
  <c r="C13" i="76"/>
  <c r="G13" i="76" s="1"/>
  <c r="H13" i="76" s="1"/>
  <c r="D13" i="76"/>
  <c r="E13" i="76" s="1"/>
  <c r="F13" i="76" s="1"/>
  <c r="A14" i="76"/>
  <c r="B14" i="76"/>
  <c r="C14" i="76"/>
  <c r="G14" i="76" s="1"/>
  <c r="D14" i="76"/>
  <c r="E14" i="76" s="1"/>
  <c r="A15" i="76"/>
  <c r="B15" i="76"/>
  <c r="C15" i="76"/>
  <c r="G15" i="76" s="1"/>
  <c r="H15" i="76" s="1"/>
  <c r="D15" i="76"/>
  <c r="E15" i="76" s="1"/>
  <c r="A16" i="76"/>
  <c r="B16" i="76"/>
  <c r="C16" i="76"/>
  <c r="G16" i="76" s="1"/>
  <c r="D16" i="76"/>
  <c r="E16" i="76" s="1"/>
  <c r="F16" i="76" s="1"/>
  <c r="A17" i="76"/>
  <c r="B17" i="76"/>
  <c r="C17" i="76"/>
  <c r="G17" i="76" s="1"/>
  <c r="H17" i="76" s="1"/>
  <c r="D17" i="76"/>
  <c r="E17" i="76" s="1"/>
  <c r="A20" i="76"/>
  <c r="B20" i="76"/>
  <c r="C20" i="76"/>
  <c r="G20" i="76" s="1"/>
  <c r="H20" i="76" s="1"/>
  <c r="D20" i="76"/>
  <c r="E20" i="76" s="1"/>
  <c r="A21" i="76"/>
  <c r="B21" i="76"/>
  <c r="C21" i="76"/>
  <c r="G21" i="76" s="1"/>
  <c r="D21" i="76"/>
  <c r="E21" i="76" s="1"/>
  <c r="F21" i="76" s="1"/>
  <c r="A22" i="76"/>
  <c r="B22" i="76"/>
  <c r="C22" i="76"/>
  <c r="G22" i="76" s="1"/>
  <c r="H22" i="76" s="1"/>
  <c r="D22" i="76"/>
  <c r="E22" i="76" s="1"/>
  <c r="D3" i="76"/>
  <c r="C3" i="76"/>
  <c r="G3" i="76" s="1"/>
  <c r="B3" i="76"/>
  <c r="A3" i="76"/>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M3" i="102" s="1"/>
  <c r="D3" i="102"/>
  <c r="N3" i="102" s="1"/>
  <c r="F3" i="102"/>
  <c r="A8" i="102"/>
  <c r="C8" i="102"/>
  <c r="M8" i="102" s="1"/>
  <c r="D8" i="102"/>
  <c r="N8" i="102" s="1"/>
  <c r="F8" i="102"/>
  <c r="A7" i="102"/>
  <c r="C7" i="102"/>
  <c r="M7" i="102" s="1"/>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s="1"/>
  <c r="A2" i="83"/>
  <c r="A5" i="83"/>
  <c r="A7" i="83"/>
  <c r="A12" i="83"/>
  <c r="H5" i="83" s="1"/>
  <c r="M5" i="83" s="1"/>
  <c r="A16" i="83"/>
  <c r="A4" i="83"/>
  <c r="M4" i="83" s="1"/>
  <c r="A9" i="83"/>
  <c r="A13" i="83"/>
  <c r="A14" i="83"/>
  <c r="A3" i="83"/>
  <c r="A6" i="83"/>
  <c r="H6" i="83" s="1"/>
  <c r="A17" i="83"/>
  <c r="A18" i="83"/>
  <c r="A19" i="83"/>
  <c r="B19" i="83"/>
  <c r="C19" i="83"/>
  <c r="A10" i="83"/>
  <c r="A11" i="83"/>
  <c r="A8" i="83"/>
  <c r="A20" i="83"/>
  <c r="W14" i="32"/>
  <c r="W13" i="32"/>
  <c r="W9" i="32"/>
  <c r="F20" i="76" l="1"/>
  <c r="Q13" i="76" s="1"/>
  <c r="P13" i="76"/>
  <c r="F14" i="76"/>
  <c r="Q10" i="76" s="1"/>
  <c r="P10" i="76"/>
  <c r="I8" i="76"/>
  <c r="H8" i="76"/>
  <c r="M3" i="83"/>
  <c r="H3" i="83"/>
  <c r="I15" i="76"/>
  <c r="I11" i="76"/>
  <c r="I9" i="76"/>
  <c r="D19" i="83"/>
  <c r="F15" i="76"/>
  <c r="I20" i="76"/>
  <c r="J20" i="76"/>
  <c r="F11" i="76"/>
  <c r="J11" i="76" s="1"/>
  <c r="J12" i="76"/>
  <c r="I5" i="76"/>
  <c r="F5" i="76"/>
  <c r="J5" i="76" s="1"/>
  <c r="J8" i="76"/>
  <c r="I7" i="76"/>
  <c r="F7" i="76"/>
  <c r="J7" i="76" s="1"/>
  <c r="I22" i="76"/>
  <c r="F22" i="76"/>
  <c r="J22" i="76" s="1"/>
  <c r="I17" i="76"/>
  <c r="F17" i="76"/>
  <c r="J17" i="76" s="1"/>
  <c r="I13" i="76"/>
  <c r="J13" i="76"/>
  <c r="I12" i="76"/>
  <c r="F9" i="76"/>
  <c r="J9" i="76" s="1"/>
  <c r="J15" i="76"/>
  <c r="I21" i="76"/>
  <c r="H21" i="76"/>
  <c r="J21" i="76" s="1"/>
  <c r="I16" i="76"/>
  <c r="H16" i="76"/>
  <c r="J16" i="76" s="1"/>
  <c r="I4" i="76"/>
  <c r="H4" i="76"/>
  <c r="J4" i="76" s="1"/>
  <c r="J10" i="76"/>
  <c r="J6" i="76"/>
  <c r="I14" i="76"/>
  <c r="H14" i="76"/>
  <c r="J14" i="76" s="1"/>
  <c r="I10" i="76"/>
  <c r="I6" i="76"/>
  <c r="H4" i="83"/>
  <c r="T25" i="32" l="1"/>
  <c r="T26" i="32" s="1"/>
  <c r="R25" i="32"/>
  <c r="AB19" i="32"/>
  <c r="AB11" i="32"/>
  <c r="AA9" i="32"/>
  <c r="U15" i="49" l="1"/>
  <c r="R31" i="49"/>
  <c r="V4" i="49" l="1"/>
  <c r="V8" i="49"/>
  <c r="V12" i="49"/>
  <c r="V16" i="49"/>
  <c r="V24" i="49"/>
  <c r="V10" i="49"/>
  <c r="V20" i="49"/>
  <c r="V15" i="49"/>
  <c r="V5" i="49"/>
  <c r="V9" i="49"/>
  <c r="V13" i="49"/>
  <c r="V19" i="49"/>
  <c r="V3" i="49"/>
  <c r="V6" i="49"/>
  <c r="V14" i="49"/>
  <c r="V7" i="49"/>
  <c r="V11" i="49"/>
  <c r="V21" i="49"/>
  <c r="X6" i="32"/>
  <c r="Z11" i="32" l="1"/>
  <c r="Z6" i="32"/>
  <c r="W20" i="32" l="1"/>
  <c r="W22" i="32"/>
  <c r="W19" i="32"/>
  <c r="W18" i="32"/>
  <c r="W16" i="32"/>
  <c r="W11" i="32"/>
  <c r="W7" i="32"/>
  <c r="W10" i="32"/>
  <c r="W6" i="32"/>
  <c r="Y22" i="32" l="1"/>
  <c r="Y9" i="32"/>
  <c r="V5" i="32"/>
  <c r="N13" i="85" l="1"/>
  <c r="V2" i="85"/>
  <c r="AA24" i="32" l="1"/>
  <c r="AA22" i="32"/>
  <c r="AA15" i="32"/>
  <c r="AA18" i="32"/>
  <c r="AA16" i="32"/>
  <c r="AA13" i="32"/>
  <c r="AA14" i="32"/>
  <c r="AA12" i="32"/>
  <c r="AA8" i="32"/>
  <c r="AA7" i="32"/>
  <c r="AA10" i="32"/>
  <c r="AA5" i="32"/>
  <c r="Y24" i="32" l="1"/>
  <c r="Y15" i="32"/>
  <c r="Y18" i="32"/>
  <c r="Y13" i="32"/>
  <c r="Y14" i="32"/>
  <c r="Y11" i="32"/>
  <c r="Y17" i="32"/>
  <c r="Y7"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2" i="32"/>
  <c r="J23" i="32"/>
  <c r="J24" i="32"/>
  <c r="J5" i="32"/>
  <c r="AF23" i="32" l="1"/>
  <c r="AG23" i="32"/>
  <c r="AG24" i="32"/>
  <c r="AF24" i="32"/>
  <c r="AF22" i="32"/>
  <c r="AG22"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B12" i="83"/>
  <c r="B11" i="102"/>
  <c r="L11" i="102" s="1"/>
  <c r="AG9" i="32"/>
  <c r="AF9" i="32"/>
  <c r="AF5" i="32"/>
  <c r="AG5" i="32"/>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3" i="83" l="1"/>
  <c r="D12" i="83"/>
  <c r="I5" i="83" s="1"/>
  <c r="N5" i="83" s="1"/>
  <c r="D18" i="83"/>
  <c r="D14" i="83"/>
  <c r="D9" i="83"/>
  <c r="D7" i="83"/>
  <c r="D10" i="83"/>
  <c r="D13" i="83"/>
  <c r="D11" i="83"/>
  <c r="D17" i="83"/>
  <c r="D4" i="83"/>
  <c r="D16" i="83"/>
  <c r="D6" i="83"/>
  <c r="I6" i="83" s="1"/>
  <c r="D2" i="83"/>
  <c r="S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C25" i="32"/>
  <c r="AB20" i="32"/>
  <c r="AB6" i="32"/>
  <c r="Z10" i="110" l="1"/>
  <c r="Y10" i="110"/>
  <c r="Z9" i="107"/>
  <c r="Y9" i="107"/>
  <c r="Z10" i="108"/>
  <c r="Y10" i="108"/>
  <c r="AA10" i="108"/>
  <c r="AA20" i="32"/>
  <c r="AA19" i="32"/>
  <c r="AA11" i="32"/>
  <c r="AA9" i="107" l="1"/>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S6" i="32" l="1"/>
  <c r="S7" i="32"/>
  <c r="S8" i="32"/>
  <c r="S9" i="32"/>
  <c r="S10" i="32"/>
  <c r="S11" i="32"/>
  <c r="S12" i="32"/>
  <c r="S13" i="32"/>
  <c r="S14" i="32"/>
  <c r="S15" i="32"/>
  <c r="S16" i="32"/>
  <c r="S17" i="32"/>
  <c r="S18" i="32"/>
  <c r="S19" i="32"/>
  <c r="S22" i="32"/>
  <c r="S23" i="32"/>
  <c r="S24" i="32"/>
  <c r="S5" i="32"/>
  <c r="O23" i="49" l="1"/>
  <c r="O1" i="32"/>
  <c r="O4" i="49" l="1"/>
  <c r="O20" i="49"/>
  <c r="O25" i="49"/>
  <c r="O22" i="49"/>
  <c r="O10" i="49"/>
  <c r="O3" i="49"/>
  <c r="O17" i="49"/>
  <c r="O6" i="49"/>
  <c r="O16" i="49"/>
  <c r="O18" i="49"/>
  <c r="O11" i="49"/>
  <c r="O8" i="49"/>
  <c r="O5" i="49"/>
  <c r="O14" i="49"/>
  <c r="O7" i="49"/>
  <c r="O13" i="49"/>
  <c r="O12" i="49"/>
  <c r="O21" i="49"/>
  <c r="O19" i="49"/>
  <c r="O15" i="49"/>
  <c r="O9" i="49"/>
  <c r="AE15" i="32" l="1"/>
  <c r="AD15" i="32"/>
  <c r="L13" i="113"/>
  <c r="AD17" i="32"/>
  <c r="AE17" i="32"/>
  <c r="L15" i="113"/>
  <c r="AE13" i="32"/>
  <c r="AD13" i="32"/>
  <c r="L11" i="113"/>
  <c r="AD19" i="32"/>
  <c r="AE19" i="32"/>
  <c r="L17" i="113"/>
  <c r="AE14" i="32"/>
  <c r="AD14" i="32"/>
  <c r="L12" i="113"/>
  <c r="AD9" i="32"/>
  <c r="AE9" i="32"/>
  <c r="L6" i="113"/>
  <c r="AD11" i="32"/>
  <c r="AE11" i="32"/>
  <c r="L8" i="113"/>
  <c r="AE16" i="32"/>
  <c r="AD16" i="32"/>
  <c r="L14" i="113"/>
  <c r="AD22" i="32"/>
  <c r="AE22" i="32"/>
  <c r="L20" i="113"/>
  <c r="AD8" i="32"/>
  <c r="AE8" i="32"/>
  <c r="L5" i="113"/>
  <c r="AD5" i="32"/>
  <c r="AE5" i="32"/>
  <c r="L3" i="113"/>
  <c r="AE10" i="32"/>
  <c r="AD10" i="32"/>
  <c r="L7" i="113"/>
  <c r="AE12" i="32"/>
  <c r="AD12" i="32"/>
  <c r="L10" i="113"/>
  <c r="AD18" i="32"/>
  <c r="AE18" i="32"/>
  <c r="L16" i="113"/>
  <c r="AE24" i="32"/>
  <c r="AD24" i="32"/>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S11" i="103"/>
  <c r="CI18" i="113" l="1"/>
  <c r="AF18" i="113"/>
  <c r="AI18" i="113"/>
  <c r="BJ18" i="113"/>
  <c r="BT18" i="113"/>
  <c r="AY18" i="113"/>
  <c r="AB18" i="113"/>
  <c r="BY18" i="113"/>
  <c r="CB18" i="113"/>
  <c r="BO18" i="113"/>
  <c r="AR18" i="113"/>
  <c r="BE18" i="113"/>
  <c r="O12" i="104"/>
  <c r="P12" i="104"/>
  <c r="R6" i="103"/>
  <c r="K3" i="32" l="1"/>
  <c r="L3" i="32"/>
  <c r="AE6" i="32" l="1"/>
  <c r="AD6" i="32"/>
  <c r="L4" i="113"/>
  <c r="AD23" i="32"/>
  <c r="AE23" i="32"/>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S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4"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2" i="32"/>
  <c r="AO23" i="32"/>
  <c r="AO24"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T2" i="32" l="1"/>
  <c r="L15" i="100"/>
  <c r="M15" i="100" s="1"/>
  <c r="N15" i="100" s="1"/>
  <c r="O15" i="100" s="1"/>
  <c r="P15" i="100" s="1"/>
  <c r="Q15" i="100" s="1"/>
  <c r="R15" i="100" s="1"/>
  <c r="S15" i="100" s="1"/>
  <c r="W29" i="86" l="1"/>
  <c r="X30" i="86" s="1"/>
  <c r="H7" i="100" l="1"/>
  <c r="H6" i="100"/>
  <c r="P14" i="100"/>
  <c r="U5" i="32" l="1"/>
  <c r="AL5" i="32"/>
  <c r="AK5" i="32"/>
  <c r="F18" i="102"/>
  <c r="Q5" i="32"/>
  <c r="P5" i="32"/>
  <c r="N5" i="32"/>
  <c r="L5" i="32"/>
  <c r="K5" i="32"/>
  <c r="B18" i="102" l="1"/>
  <c r="AI5" i="32"/>
  <c r="G18" i="102" s="1"/>
  <c r="AJ5" i="32"/>
  <c r="H18" i="102" s="1"/>
  <c r="E18" i="102"/>
  <c r="M12" i="102" l="1"/>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2" i="32"/>
  <c r="AL22" i="32"/>
  <c r="AK23" i="32"/>
  <c r="AL23" i="32"/>
  <c r="AK24" i="32"/>
  <c r="AL24"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P6" i="32" l="1"/>
  <c r="E15" i="83" s="1"/>
  <c r="Q6" i="32"/>
  <c r="P8" i="32"/>
  <c r="E5" i="83" s="1"/>
  <c r="Q8" i="32"/>
  <c r="P9" i="32"/>
  <c r="E7" i="83" s="1"/>
  <c r="Q9" i="32"/>
  <c r="P10" i="32"/>
  <c r="E12" i="83" s="1"/>
  <c r="J5" i="83" s="1"/>
  <c r="O5" i="83" s="1"/>
  <c r="Q10" i="32"/>
  <c r="P11" i="32"/>
  <c r="E16" i="83" s="1"/>
  <c r="Q11" i="32"/>
  <c r="P12" i="32"/>
  <c r="E4" i="83" s="1"/>
  <c r="J4" i="83" s="1"/>
  <c r="Q12" i="32"/>
  <c r="P13" i="32"/>
  <c r="E9" i="83" s="1"/>
  <c r="F9" i="83" s="1"/>
  <c r="Q13" i="32"/>
  <c r="P14" i="32"/>
  <c r="E13" i="83" s="1"/>
  <c r="Q14" i="32"/>
  <c r="P15" i="32"/>
  <c r="E14" i="83" s="1"/>
  <c r="F14" i="83" s="1"/>
  <c r="Q15" i="32"/>
  <c r="P16" i="32"/>
  <c r="E3" i="83" s="1"/>
  <c r="Q16" i="32"/>
  <c r="P17" i="32"/>
  <c r="E6" i="83" s="1"/>
  <c r="J6" i="83" s="1"/>
  <c r="Q17" i="32"/>
  <c r="P18" i="32"/>
  <c r="E17" i="83" s="1"/>
  <c r="F17" i="83" s="1"/>
  <c r="Q18" i="32"/>
  <c r="P19" i="32"/>
  <c r="E18" i="83" s="1"/>
  <c r="Q19" i="32"/>
  <c r="P20" i="32"/>
  <c r="E19" i="83" s="1"/>
  <c r="F19" i="83" s="1"/>
  <c r="Q20" i="32"/>
  <c r="P22" i="32"/>
  <c r="E10" i="83" s="1"/>
  <c r="Q22" i="32"/>
  <c r="P23" i="32"/>
  <c r="E11" i="83" s="1"/>
  <c r="Q23" i="32"/>
  <c r="P24" i="32"/>
  <c r="E8" i="83" s="1"/>
  <c r="F8" i="83" s="1"/>
  <c r="Q24" i="32"/>
  <c r="Q7" i="32"/>
  <c r="P7" i="32"/>
  <c r="E2" i="83" s="1"/>
  <c r="F2" i="83" l="1"/>
  <c r="K2" i="83" s="1"/>
  <c r="J2" i="83"/>
  <c r="J3" i="83"/>
  <c r="O3" i="83"/>
  <c r="F7" i="83"/>
  <c r="F18" i="83"/>
  <c r="F5" i="83"/>
  <c r="F11" i="83"/>
  <c r="F10" i="83"/>
  <c r="F13" i="83"/>
  <c r="F12" i="83"/>
  <c r="K5" i="83" s="1"/>
  <c r="P5" i="83" s="1"/>
  <c r="F15" i="83"/>
  <c r="F16" i="83"/>
  <c r="F3" i="83"/>
  <c r="F4" i="83"/>
  <c r="K4" i="83" s="1"/>
  <c r="O4" i="83"/>
  <c r="F6" i="83"/>
  <c r="K6" i="83" s="1"/>
  <c r="Q2" i="32"/>
  <c r="P2" i="32"/>
  <c r="AJ22" i="32"/>
  <c r="H2" i="102" s="1"/>
  <c r="AI22" i="32"/>
  <c r="G2" i="102" s="1"/>
  <c r="AJ18" i="32"/>
  <c r="H5" i="102" s="1"/>
  <c r="AI18" i="32"/>
  <c r="G5" i="102" s="1"/>
  <c r="AJ14" i="32"/>
  <c r="H7" i="102" s="1"/>
  <c r="AI14" i="32"/>
  <c r="G7" i="102" s="1"/>
  <c r="AJ20" i="32"/>
  <c r="AJ17" i="32"/>
  <c r="H15" i="102" s="1"/>
  <c r="AI17" i="32"/>
  <c r="G15" i="102" s="1"/>
  <c r="AJ13" i="32"/>
  <c r="H8" i="102" s="1"/>
  <c r="AI13" i="32"/>
  <c r="G8" i="102" s="1"/>
  <c r="AJ10" i="32"/>
  <c r="H11" i="102" s="1"/>
  <c r="AI10" i="32"/>
  <c r="G11" i="102" s="1"/>
  <c r="AJ6" i="32"/>
  <c r="AI6" i="32"/>
  <c r="G12" i="102" s="1"/>
  <c r="AJ24" i="32"/>
  <c r="H6" i="102" s="1"/>
  <c r="AI24" i="32"/>
  <c r="G6" i="102" s="1"/>
  <c r="AJ16" i="32"/>
  <c r="H10" i="102" s="1"/>
  <c r="AI16" i="32"/>
  <c r="G10" i="102" s="1"/>
  <c r="AJ12" i="32"/>
  <c r="H3" i="102" s="1"/>
  <c r="AI12" i="32"/>
  <c r="G3" i="102" s="1"/>
  <c r="AJ9" i="32"/>
  <c r="H13" i="102" s="1"/>
  <c r="AI9" i="32"/>
  <c r="G13" i="102" s="1"/>
  <c r="AJ23" i="32"/>
  <c r="H4" i="102" s="1"/>
  <c r="AI23" i="32"/>
  <c r="G4" i="102" s="1"/>
  <c r="AJ19" i="32"/>
  <c r="H17" i="102" s="1"/>
  <c r="AI19" i="32"/>
  <c r="G17" i="102" s="1"/>
  <c r="AI15" i="32"/>
  <c r="G9" i="102" s="1"/>
  <c r="AJ15" i="32"/>
  <c r="H9" i="102" s="1"/>
  <c r="AJ11" i="32"/>
  <c r="H16" i="102" s="1"/>
  <c r="AI11" i="32"/>
  <c r="G16" i="102" s="1"/>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0"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1" i="49"/>
  <c r="U20" i="49"/>
  <c r="U14" i="49"/>
  <c r="U13" i="49"/>
  <c r="U12" i="49"/>
  <c r="U6" i="49"/>
  <c r="U8" i="49"/>
  <c r="U5" i="49"/>
  <c r="U3" i="49"/>
  <c r="K40" i="78"/>
  <c r="N8" i="79"/>
  <c r="P8" i="79"/>
  <c r="O8" i="79"/>
  <c r="P7" i="79"/>
  <c r="C13" i="79" s="1"/>
  <c r="O7" i="79"/>
  <c r="F12" i="79" s="1"/>
  <c r="N6" i="79"/>
  <c r="O6" i="79" s="1"/>
  <c r="P6" i="79"/>
  <c r="E19" i="78"/>
  <c r="C19" i="78" s="1"/>
  <c r="F20" i="79" s="1"/>
  <c r="F21" i="78"/>
  <c r="F6" i="78"/>
  <c r="F26" i="78" s="1"/>
  <c r="G6" i="78"/>
  <c r="J40" i="78"/>
  <c r="U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W16" i="76" l="1"/>
  <c r="W17" i="76" s="1"/>
  <c r="W19" i="76"/>
  <c r="W20" i="76" s="1"/>
  <c r="Q19" i="76"/>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16" i="76"/>
  <c r="P14" i="76"/>
  <c r="W21" i="76" l="1"/>
  <c r="X16" i="76"/>
  <c r="X17" i="76" s="1"/>
  <c r="X19" i="76"/>
  <c r="X20" i="76" s="1"/>
  <c r="Q14" i="76"/>
  <c r="O28" i="81"/>
  <c r="P26" i="81"/>
  <c r="P13" i="81"/>
  <c r="O24" i="81"/>
  <c r="P5" i="81" s="1"/>
  <c r="O30" i="81"/>
  <c r="O31" i="81" s="1"/>
  <c r="P27" i="81"/>
  <c r="O26" i="78"/>
  <c r="O13" i="78"/>
  <c r="K15" i="78"/>
  <c r="G30" i="78"/>
  <c r="G31" i="78" s="1"/>
  <c r="G23" i="78"/>
  <c r="P21" i="76"/>
  <c r="Q16" i="76"/>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2"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1"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D7" i="110" l="1"/>
  <c r="D12" i="111"/>
  <c r="D9" i="108"/>
  <c r="D7" i="107"/>
  <c r="C21" i="32"/>
  <c r="D19" i="113"/>
  <c r="F13" i="32"/>
  <c r="F11" i="32"/>
  <c r="F23" i="32"/>
  <c r="F15" i="32"/>
  <c r="F14" i="32"/>
  <c r="F18" i="32"/>
  <c r="F17" i="32"/>
  <c r="F8" i="32"/>
  <c r="F22" i="32"/>
  <c r="F16" i="32"/>
  <c r="F20" i="32"/>
  <c r="F12" i="32"/>
  <c r="F19" i="32"/>
  <c r="F24" i="32"/>
  <c r="F10" i="32"/>
  <c r="F7" i="32"/>
  <c r="D15" i="111" s="1"/>
  <c r="F6" i="32"/>
  <c r="F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6" i="110" l="1"/>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O28" i="86"/>
  <c r="BO16"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<sst xmlns="http://schemas.openxmlformats.org/spreadsheetml/2006/main" count="4545" uniqueCount="1042">
  <si>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</si>
  <si>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</si>
  <si>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</si>
  <si>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</si>
  <si>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</si>
  <si>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</si>
  <si>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</si>
  <si>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</si>
  <si>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</si>
  <si>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</si>
  <si>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</si>
  <si>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</si>
  <si>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</si>
  <si>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</si>
  <si>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</si>
  <si>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</si>
  <si>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</si>
  <si>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</si>
  <si>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</si>
  <si>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</si>
  <si>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</si>
  <si>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</si>
  <si>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</si>
  <si>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</si>
  <si>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</si>
  <si>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</si>
  <si>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</si>
  <si>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</si>
  <si>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</si>
  <si>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</si>
  <si>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</si>
  <si>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</si>
  <si>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</si>
  <si>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</si>
  <si>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</si>
  <si>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</si>
  <si>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</si>
  <si>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</si>
  <si>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</si>
  <si>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</si>
  <si>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</si>
  <si>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</si>
  <si>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</si>
  <si>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</si>
  <si>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</si>
  <si>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</si>
  <si>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</si>
  <si>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</si>
  <si>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</si>
  <si>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</si>
  <si>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</si>
  <si>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</si>
  <si>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</si>
  <si>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</si>
  <si>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</si>
  <si>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</si>
  <si>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</si>
  <si>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</si>
  <si>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</si>
  <si>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</si>
  <si>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</si>
  <si>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</si>
  <si>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</si>
  <si>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</si>
  <si>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</si>
  <si>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</si>
  <si>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</si>
  <si>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</si>
  <si>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</si>
  <si>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</si>
  <si>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</si>
  <si>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</si>
  <si>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</si>
  <si>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</si>
  <si>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</si>
  <si>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</si>
  <si>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</si>
  <si>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</si>
  <si>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</si>
  <si>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</si>
  <si>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</si>
  <si>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</si>
  <si>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</si>
  <si>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</si>
  <si>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</si>
  <si>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</si>
  <si>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</si>
  <si>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</si>
  <si>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</si>
  <si>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</si>
  <si>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</si>
  <si>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</si>
  <si>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</si>
  <si>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</si>
  <si>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</si>
  <si>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</si>
  <si>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</si>
  <si>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</si>
  <si>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</si>
  <si>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</si>
  <si>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</si>
  <si>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</si>
  <si>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</si>
  <si>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</si>
  <si>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</si>
  <si>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</si>
  <si>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</si>
  <si>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</si>
  <si>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</si>
  <si>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</si>
  <si>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</si>
  <si>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</si>
  <si>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</si>
  <si>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</si>
  <si>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</si>
  <si>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</si>
  <si>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</si>
  <si>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</si>
  <si>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</si>
  <si>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</si>
  <si>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</si>
  <si>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</si>
  <si>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</si>
  <si>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</si>
  <si>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</si>
  <si>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</si>
  <si>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</si>
  <si>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</si>
  <si>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</si>
  <si>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</si>
  <si>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</si>
  <si>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</si>
  <si>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</si>
  <si>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</si>
  <si>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</si>
  <si>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</si>
  <si>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</si>
  <si>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</si>
  <si>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</si>
  <si>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</si>
  <si>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</si>
  <si>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</si>
  <si>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</si>
  <si>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</si>
  <si>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</si>
  <si>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</si>
  <si>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</si>
  <si>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</si>
  <si>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</si>
  <si>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</si>
  <si>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</si>
  <si>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</si>
  <si>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</si>
  <si>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</si>
  <si>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</si>
  <si>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</si>
  <si>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</si>
  <si>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</si>
  <si>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</si>
  <si>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</si>
  <si>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</si>
  <si>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</si>
  <si>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</si>
  <si>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</si>
  <si>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</si>
  <si>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</si>
  <si>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</si>
  <si>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</si>
  <si>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</si>
  <si>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</si>
  <si>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</si>
  <si>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</si>
  <si>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</si>
  <si>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</si>
  <si>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</si>
  <si>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</si>
  <si>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</si>
  <si>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</si>
  <si>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</si>
  <si>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</si>
  <si>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</si>
  <si>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</si>
  <si>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</si>
  <si>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</si>
  <si>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</si>
  <si>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</si>
  <si>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</si>
  <si>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</si>
  <si>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</si>
  <si>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</si>
  <si>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</si>
  <si>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</si>
  <si>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</si>
  <si>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</si>
  <si>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</si>
  <si>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</si>
  <si>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</si>
  <si>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</si>
  <si>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</si>
  <si>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</si>
  <si>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</si>
  <si>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</si>
  <si>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</si>
  <si>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</si>
  <si>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</si>
  <si>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</si>
  <si>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</si>
  <si>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</si>
  <si>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</si>
  <si>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</si>
  <si>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</si>
  <si>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</si>
  <si>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</si>
  <si>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</si>
  <si>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</si>
  <si>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</si>
  <si>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</si>
  <si>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</si>
  <si>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</si>
  <si>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</si>
  <si>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</si>
  <si>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</si>
  <si>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</si>
  <si>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</si>
  <si>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</si>
  <si>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</si>
  <si>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</si>
  <si>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</si>
  <si>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</si>
  <si>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</si>
  <si>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</si>
  <si>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</si>
  <si>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</si>
  <si>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</si>
  <si>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</si>
  <si>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</si>
  <si>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</si>
  <si>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</si>
  <si>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</si>
  <si>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</si>
  <si>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</si>
  <si>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</si>
  <si>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</si>
  <si>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</si>
  <si>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</si>
  <si>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</si>
  <si>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</si>
  <si>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</si>
  <si>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</si>
  <si>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</si>
  <si>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</si>
  <si>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</si>
  <si>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</si>
  <si>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</si>
  <si>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</si>
  <si>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</si>
  <si>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</si>
  <si>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</si>
  <si>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</si>
  <si>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</si>
  <si>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</si>
  <si>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</si>
  <si>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</si>
  <si>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</si>
  <si>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</si>
  <si>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</si>
  <si>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</si>
  <si>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</si>
  <si>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</si>
  <si>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</si>
  <si>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</si>
  <si>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</si>
  <si>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</si>
  <si>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</si>
  <si>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</si>
  <si>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</si>
  <si>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</si>
  <si>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</si>
  <si>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</si>
  <si>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</si>
  <si>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</si>
  <si>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</si>
  <si>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</si>
  <si>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</si>
  <si>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</si>
  <si>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</si>
  <si>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</si>
  <si>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</si>
  <si>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</si>
  <si>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</si>
  <si>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</si>
  <si>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</si>
  <si>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</si>
  <si>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</si>
  <si>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</si>
  <si>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</si>
  <si>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</si>
  <si>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</si>
  <si>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</si>
  <si>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</si>
  <si>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</si>
  <si>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</si>
  <si>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</si>
  <si>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</si>
  <si>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</si>
  <si>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</si>
  <si>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</si>
  <si>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</si>
  <si>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</si>
  <si>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</si>
  <si>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</si>
  <si>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</si>
  <si>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</si>
  <si>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</si>
  <si>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</si>
  <si>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</si>
  <si>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</si>
  <si>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</si>
  <si>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</si>
  <si>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</si>
  <si>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</si>
  <si>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</si>
  <si>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</si>
  <si>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</si>
  <si>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</si>
  <si>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</si>
  <si>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</si>
  <si>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</si>
  <si>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</si>
  <si>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</si>
  <si>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</si>
  <si>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</si>
  <si>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</si>
  <si>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</si>
  <si>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</si>
  <si>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</si>
  <si>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</si>
  <si>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</si>
  <si>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</si>
  <si>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</si>
  <si>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</si>
  <si>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</si>
  <si>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</si>
  <si>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</si>
  <si>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</si>
  <si>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</si>
  <si>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</si>
  <si>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</si>
  <si>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</si>
  <si>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</si>
  <si>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</si>
  <si>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</si>
  <si>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</si>
  <si>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</si>
  <si>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</si>
  <si>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</si>
  <si>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</si>
  <si>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</si>
  <si>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</si>
  <si>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</si>
  <si>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</si>
  <si>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</si>
  <si>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</si>
  <si>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</si>
  <si>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</si>
  <si>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</si>
  <si>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</si>
  <si>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</si>
  <si>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</si>
  <si>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</si>
  <si>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</si>
  <si>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</si>
  <si>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</si>
  <si>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</si>
  <si>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</si>
  <si>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</si>
  <si>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</si>
  <si>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</si>
  <si>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</si>
  <si>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</si>
  <si>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</si>
  <si>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</si>
  <si>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</si>
  <si>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</si>
  <si>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</si>
  <si>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</si>
  <si>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</si>
  <si>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</si>
  <si>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</si>
  <si>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</si>
  <si>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</si>
  <si>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</si>
  <si>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</si>
  <si>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</si>
  <si>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</si>
  <si>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</si>
  <si>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</si>
  <si>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</si>
  <si>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</si>
  <si>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</si>
  <si>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</si>
  <si>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</si>
  <si>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</si>
  <si>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</si>
  <si>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</si>
  <si>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</si>
  <si>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</si>
  <si>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</si>
  <si>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</si>
  <si>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</si>
  <si>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</si>
  <si>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</si>
  <si>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</si>
  <si>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</si>
  <si>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</si>
  <si>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</si>
  <si>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</si>
  <si>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</si>
  <si>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</si>
  <si>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</si>
  <si>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</si>
  <si>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</si>
  <si>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</si>
  <si>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</si>
  <si>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</si>
  <si>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</si>
  <si>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</si>
  <si>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</si>
  <si>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</si>
  <si>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</si>
  <si>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</si>
  <si>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</si>
  <si>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</si>
  <si>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</si>
  <si>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</si>
  <si>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</si>
  <si>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</si>
  <si>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</si>
  <si>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</si>
  <si>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</si>
  <si>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</si>
  <si>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</si>
  <si>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</si>
  <si>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</si>
  <si>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</si>
  <si>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</si>
  <si>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</si>
  <si>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</si>
  <si>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</si>
  <si>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</si>
  <si>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</si>
  <si>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</si>
  <si>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</si>
  <si>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</si>
  <si>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</si>
  <si>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</si>
  <si>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</si>
  <si>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</si>
  <si>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</si>
  <si>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</si>
  <si>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</si>
  <si>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</si>
  <si>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</si>
  <si>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</si>
  <si>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</si>
  <si>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</si>
  <si>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</si>
  <si>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</si>
  <si>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</si>
  <si>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</si>
  <si>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</si>
  <si>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</si>
  <si>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</si>
  <si>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</si>
  <si>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</si>
  <si>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</si>
  <si>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</si>
  <si>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</si>
  <si>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</si>
  <si>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</si>
  <si>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</si>
  <si>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</si>
  <si>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</si>
  <si>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</si>
  <si>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</si>
  <si>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</si>
  <si>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</si>
  <si>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</si>
  <si>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</si>
  <si>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</si>
  <si>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</si>
  <si>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</si>
  <si>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</si>
  <si>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</si>
  <si>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</si>
  <si>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</si>
  <si>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</si>
  <si>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</si>
  <si>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</si>
  <si>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</si>
  <si>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</si>
  <si>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</si>
  <si>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</si>
  <si>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</si>
  <si>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</si>
  <si>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</si>
  <si>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</si>
  <si>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</si>
  <si>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</si>
  <si>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</si>
  <si>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</si>
  <si>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</si>
  <si>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</si>
  <si>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</si>
  <si>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</si>
  <si>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</si>
  <si>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</si>
  <si>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</si>
  <si>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</si>
  <si>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</si>
  <si>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</si>
  <si>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</si>
  <si>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</si>
  <si>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</si>
  <si>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</si>
  <si>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</si>
  <si>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</si>
  <si>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</si>
  <si>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</si>
  <si>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</si>
  <si>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</si>
  <si>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</si>
  <si>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</si>
  <si>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</si>
  <si>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</si>
  <si>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</si>
  <si>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</si>
  <si>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</si>
  <si>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</si>
  <si>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</si>
  <si>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</si>
  <si>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</si>
  <si>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</si>
  <si>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</si>
  <si>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</si>
  <si>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</si>
  <si>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</si>
  <si>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</si>
  <si>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</si>
  <si>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</si>
  <si>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</si>
  <si>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</si>
  <si>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</si>
  <si>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</si>
  <si>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</si>
  <si>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</si>
  <si>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</si>
  <si>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</si>
  <si>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</si>
  <si>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</si>
  <si>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</si>
  <si>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</si>
  <si>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</si>
  <si>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</si>
  <si>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</si>
  <si>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</si>
  <si>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</si>
  <si>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</si>
  <si>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</si>
  <si>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</si>
  <si>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</si>
  <si>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</si>
  <si>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</si>
  <si>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</si>
  <si>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</si>
  <si>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</si>
  <si>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</si>
  <si>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</si>
  <si>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</si>
  <si>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</si>
  <si>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</si>
  <si>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</si>
  <si>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</si>
  <si>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</si>
  <si>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</si>
  <si>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</si>
  <si>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</si>
  <si>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</si>
  <si>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</si>
  <si>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</si>
  <si>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</si>
  <si>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</si>
  <si>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</si>
  <si>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</si>
  <si>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</si>
  <si>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</si>
  <si>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</si>
  <si>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</si>
  <si>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</si>
  <si>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</si>
  <si>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</si>
  <si>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</si>
  <si>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</si>
  <si>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</si>
  <si>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</si>
  <si>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</si>
  <si>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</si>
  <si>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</si>
  <si>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</si>
  <si>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</si>
  <si>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</si>
  <si>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</si>
  <si>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</si>
  <si>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</si>
  <si>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</si>
  <si>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</si>
  <si>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</si>
  <si>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</si>
  <si>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</si>
  <si>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</si>
  <si>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</si>
  <si>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</si>
  <si>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</si>
  <si>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</si>
  <si>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</si>
  <si>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</si>
  <si>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</si>
  <si>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</si>
  <si>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</si>
  <si>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</si>
  <si>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</si>
  <si>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</si>
  <si>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</si>
  <si>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</si>
  <si>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</si>
  <si>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</si>
  <si>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</si>
  <si>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</si>
  <si>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</si>
  <si>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</si>
  <si>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</si>
  <si>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</si>
  <si>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</si>
  <si>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</si>
  <si>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</si>
  <si>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</si>
  <si>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</si>
  <si>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</si>
  <si>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</si>
  <si>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</si>
  <si>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</si>
  <si>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</si>
  <si>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</si>
  <si>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</si>
  <si>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</si>
  <si>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</si>
  <si>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</si>
  <si>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</si>
  <si>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</si>
  <si>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</si>
  <si>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</si>
  <si>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</si>
  <si>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</si>
  <si>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</si>
  <si>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</si>
  <si>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</si>
  <si>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</si>
  <si>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</si>
  <si>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</si>
  <si>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</si>
  <si>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</si>
  <si>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</si>
  <si>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</si>
  <si>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</si>
  <si>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</si>
  <si>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</si>
  <si>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</si>
  <si>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</si>
  <si>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</si>
  <si>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</si>
  <si>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</si>
  <si>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</si>
  <si>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</si>
  <si>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</si>
  <si>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</si>
  <si>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</si>
  <si>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</si>
  <si>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</si>
  <si>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</si>
  <si>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</si>
  <si>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</si>
  <si>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</si>
  <si>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</si>
  <si>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</si>
  <si>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</si>
  <si>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</si>
  <si>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</si>
  <si>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</si>
  <si>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</si>
  <si>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</si>
  <si>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</si>
  <si>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</si>
  <si>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</si>
  <si>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</si>
  <si>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</si>
  <si>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</si>
  <si>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</si>
  <si>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</si>
  <si>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</si>
  <si>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</si>
  <si>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</si>
  <si>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</si>
  <si>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</si>
  <si>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</si>
  <si>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</si>
  <si>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</si>
  <si>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</si>
  <si>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</si>
  <si>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</si>
  <si>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</si>
  <si>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</si>
  <si>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</si>
  <si>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</si>
  <si>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</si>
  <si>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</si>
  <si>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</si>
  <si>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</si>
  <si>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</si>
  <si>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</si>
  <si>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</si>
  <si>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</si>
  <si>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</si>
  <si>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</si>
  <si>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</si>
  <si>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</si>
  <si>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</si>
  <si>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</si>
  <si>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</si>
  <si>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</si>
  <si>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</si>
  <si>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</si>
  <si>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</si>
  <si>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</si>
  <si>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</si>
  <si>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</si>
  <si>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</si>
  <si>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</si>
  <si>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</si>
  <si>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</si>
  <si>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</si>
  <si>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</si>
  <si>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</si>
  <si>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</si>
  <si>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</si>
  <si>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</si>
  <si>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</si>
  <si>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</si>
  <si>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</si>
  <si>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</si>
  <si>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</si>
  <si>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</si>
  <si>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</si>
  <si>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</si>
  <si>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</si>
  <si>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</si>
  <si>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</si>
  <si>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</si>
  <si>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</si>
  <si>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</si>
  <si>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</si>
  <si>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</si>
  <si>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</si>
  <si>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</si>
  <si>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</si>
  <si>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</si>
  <si>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</si>
  <si>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</si>
  <si>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</si>
  <si>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</si>
  <si>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</si>
  <si>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</si>
  <si>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</si>
  <si>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</si>
  <si>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</si>
  <si>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</si>
  <si>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</si>
  <si>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</si>
  <si>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</si>
  <si>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</si>
  <si>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</si>
  <si>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</si>
  <si>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</si>
  <si>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</si>
  <si>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</si>
  <si>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</si>
  <si>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</si>
  <si>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</si>
  <si>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</si>
  <si>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</si>
  <si>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</si>
  <si>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</si>
  <si>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</si>
  <si>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</si>
  <si>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</si>
  <si>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</si>
  <si>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</si>
  <si>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</si>
  <si>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</si>
  <si>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</si>
  <si>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</si>
  <si>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</si>
  <si>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</si>
  <si>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</si>
  <si>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</si>
  <si>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</si>
  <si>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</si>
  <si>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</si>
  <si>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</si>
  <si>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</si>
  <si>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</si>
  <si>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</si>
  <si>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</si>
  <si>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</si>
  <si>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</si>
  <si>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</si>
  <si>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</si>
  <si>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</si>
  <si>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</si>
  <si>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</si>
  <si>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</si>
  <si>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</si>
  <si>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</si>
  <si>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</si>
  <si>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</si>
  <si>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</si>
  <si>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</si>
  <si>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</si>
  <si>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</si>
  <si>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</si>
  <si>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</si>
  <si>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</si>
  <si>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</si>
  <si>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</si>
  <si>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</si>
  <si>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</si>
  <si>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</si>
  <si>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</si>
  <si>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</si>
  <si>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</si>
  <si>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</si>
  <si>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</si>
  <si>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</si>
  <si>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</si>
  <si>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</si>
  <si>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</si>
  <si>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</si>
  <si>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</si>
  <si>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</si>
  <si>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</si>
  <si>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</si>
  <si>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</si>
  <si>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</si>
  <si>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</si>
  <si>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</si>
  <si>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</si>
  <si>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</si>
  <si>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</si>
  <si>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</si>
  <si>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</si>
  <si>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</si>
  <si>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</si>
  <si>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</si>
  <si>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</si>
  <si>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</si>
  <si>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</si>
  <si>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</si>
  <si>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</si>
  <si>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</si>
  <si>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</si>
  <si>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</si>
  <si>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</si>
  <si>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</si>
  <si>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</si>
  <si>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</si>
  <si>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</si>
  <si>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</si>
  <si>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</si>
  <si>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</si>
  <si>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</si>
  <si>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</si>
  <si>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</si>
  <si>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</si>
  <si>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</si>
  <si>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</si>
  <si>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</si>
  <si>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</si>
  <si>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</si>
  <si>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</si>
  <si>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</si>
  <si>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</si>
  <si>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</si>
  <si>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</si>
  <si>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</si>
  <si>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</si>
  <si>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</si>
  <si>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</si>
  <si>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</si>
  <si>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</si>
  <si>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</si>
  <si>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</si>
  <si>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</si>
  <si>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</si>
  <si>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</si>
  <si>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</si>
  <si>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</si>
  <si>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</si>
  <si>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</si>
  <si>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</si>
  <si>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</si>
  <si>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</si>
  <si>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</si>
  <si>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</si>
  <si>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</si>
  <si>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</si>
  <si>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</si>
  <si>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</si>
  <si>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</si>
  <si>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</si>
  <si>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</si>
  <si>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</si>
  <si>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</si>
  <si>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</si>
  <si>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</si>
  <si>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</si>
  <si>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</si>
  <si>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</si>
  <si>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</si>
  <si>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</si>
  <si>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</si>
  <si>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</si>
  <si>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</si>
  <si>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</si>
  <si>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</si>
  <si>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</si>
  <si>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</si>
  <si>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</si>
  <si>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</si>
  <si>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</si>
  <si>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</si>
  <si>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</si>
  <si>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</si>
  <si>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</si>
  <si>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</si>
  <si>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</si>
  <si>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</si>
  <si>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</si>
  <si>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</si>
  <si>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</si>
  <si>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</si>
  <si>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</si>
  <si>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</si>
  <si>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</si>
  <si>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</si>
  <si>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</si>
  <si>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</si>
  <si>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</si>
  <si>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</si>
  <si>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</si>
  <si>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</si>
  <si>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</si>
  <si>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</si>
  <si>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</si>
  <si>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</si>
  <si>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</si>
  <si>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</si>
  <si>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</si>
  <si>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</si>
  <si>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</si>
  <si>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</si>
  <si>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</si>
  <si>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</si>
  <si>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</si>
  <si>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</si>
  <si>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</si>
  <si>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</si>
  <si>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</si>
  <si>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</si>
  <si>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</si>
  <si>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</si>
  <si>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</si>
  <si>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</si>
  <si>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</si>
  <si>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</si>
  <si>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</si>
  <si>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</si>
  <si>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</si>
  <si>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</si>
  <si>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</si>
  <si>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</si>
  <si>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</si>
  <si>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</si>
  <si>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</si>
  <si>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</si>
  <si>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</si>
  <si>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</si>
  <si>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</si>
  <si>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</si>
  <si>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</si>
  <si>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</si>
  <si>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</si>
  <si>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</si>
  <si>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</si>
  <si>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</si>
  <si>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</si>
  <si>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</si>
  <si>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</si>
  <si>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</si>
  <si>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</si>
  <si>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</si>
  <si>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</si>
  <si>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</si>
  <si>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</si>
  <si>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</si>
  <si>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</si>
  <si>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</si>
  <si>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</si>
  <si>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</si>
  <si>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</si>
  <si>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</si>
  <si>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</si>
  <si>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</si>
  <si>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</si>
  <si>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</si>
  <si>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</si>
  <si>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</si>
  <si>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513hts</t>
  </si>
  <si>
    <t>Obiwan-Agricola</t>
  </si>
  <si>
    <t>#</t>
  </si>
  <si>
    <t>G. Kerschl</t>
  </si>
  <si>
    <t>G/P</t>
  </si>
  <si>
    <t>Xpe/16,5</t>
  </si>
  <si>
    <t>(xpc * lid^2) ^ (2/3)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</si>
</sst>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1">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xf numFmtId="2" fontId="2" fillId="3" borderId="0" xfId="0" applyNumberFormat="1" applyFont="1" applyFill="1"/>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28322680"/>
        <c:axId val="228323072"/>
      </c:barChart>
      <c:catAx>
        <c:axId val="228322680"/>
        <c:scaling>
          <c:orientation val="minMax"/>
        </c:scaling>
        <c:delete val="0"/>
        <c:axPos val="b"/>
        <c:numFmt formatCode="General" sourceLinked="1"/>
        <c:majorTickMark val="out"/>
        <c:minorTickMark val="none"/>
        <c:tickLblPos val="nextTo"/>
        <c:crossAx val="228323072"/>
        <c:crosses val="autoZero"/>
        <c:auto val="1"/>
        <c:lblAlgn val="ctr"/>
        <c:lblOffset val="100"/>
        <c:noMultiLvlLbl val="0"/>
      </c:catAx>
      <c:valAx>
        <c:axId val="228323072"/>
        <c:scaling>
          <c:orientation val="minMax"/>
        </c:scaling>
        <c:delete val="0"/>
        <c:axPos val="l"/>
        <c:majorGridlines/>
        <c:numFmt formatCode="_-* #,##0\ [$€-C0A]_-;\-* #,##0\ [$€-C0A]_-;_-* &quot;-&quot;??\ [$€-C0A]_-;_-@_-" sourceLinked="1"/>
        <c:majorTickMark val="out"/>
        <c:minorTickMark val="none"/>
        <c:tickLblPos val="nextTo"/>
        <c:crossAx val="228322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4805240"/>
        <c:axId val="134798184"/>
      </c:barChart>
      <c:catAx>
        <c:axId val="134805240"/>
        <c:scaling>
          <c:orientation val="minMax"/>
        </c:scaling>
        <c:delete val="0"/>
        <c:axPos val="b"/>
        <c:numFmt formatCode="General" sourceLinked="1"/>
        <c:majorTickMark val="out"/>
        <c:minorTickMark val="none"/>
        <c:tickLblPos val="nextTo"/>
        <c:crossAx val="134798184"/>
        <c:crosses val="autoZero"/>
        <c:auto val="1"/>
        <c:lblAlgn val="ctr"/>
        <c:lblOffset val="100"/>
        <c:noMultiLvlLbl val="0"/>
      </c:catAx>
      <c:valAx>
        <c:axId val="134798184"/>
        <c:scaling>
          <c:orientation val="minMax"/>
        </c:scaling>
        <c:delete val="0"/>
        <c:axPos val="l"/>
        <c:majorGridlines/>
        <c:numFmt formatCode="_-* #,##0\ [$€-C0A]_-;\-* #,##0\ [$€-C0A]_-;_-* &quot;-&quot;??\ [$€-C0A]_-;_-@_-" sourceLinked="1"/>
        <c:majorTickMark val="out"/>
        <c:minorTickMark val="none"/>
        <c:tickLblPos val="nextTo"/>
        <c:crossAx val="134805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34801712"/>
        <c:axId val="134802496"/>
      </c:barChart>
      <c:catAx>
        <c:axId val="134801712"/>
        <c:scaling>
          <c:orientation val="minMax"/>
        </c:scaling>
        <c:delete val="0"/>
        <c:axPos val="b"/>
        <c:numFmt formatCode="General" sourceLinked="1"/>
        <c:majorTickMark val="out"/>
        <c:minorTickMark val="none"/>
        <c:tickLblPos val="nextTo"/>
        <c:crossAx val="134802496"/>
        <c:crosses val="autoZero"/>
        <c:auto val="1"/>
        <c:lblAlgn val="ctr"/>
        <c:lblOffset val="100"/>
        <c:noMultiLvlLbl val="0"/>
      </c:catAx>
      <c:valAx>
        <c:axId val="134802496"/>
        <c:scaling>
          <c:orientation val="minMax"/>
        </c:scaling>
        <c:delete val="0"/>
        <c:axPos val="l"/>
        <c:majorGridlines/>
        <c:numFmt formatCode="_-* #,##0\ [$€-C0A]_-;\-* #,##0\ [$€-C0A]_-;_-* &quot;-&quot;??\ [$€-C0A]_-;_-@_-" sourceLinked="1"/>
        <c:majorTickMark val="out"/>
        <c:minorTickMark val="none"/>
        <c:tickLblPos val="nextTo"/>
        <c:crossAx val="1348017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4799360"/>
        <c:axId val="134799752"/>
      </c:barChart>
      <c:catAx>
        <c:axId val="134799360"/>
        <c:scaling>
          <c:orientation val="minMax"/>
        </c:scaling>
        <c:delete val="0"/>
        <c:axPos val="b"/>
        <c:numFmt formatCode="General" sourceLinked="1"/>
        <c:majorTickMark val="out"/>
        <c:minorTickMark val="none"/>
        <c:tickLblPos val="nextTo"/>
        <c:crossAx val="134799752"/>
        <c:crosses val="autoZero"/>
        <c:auto val="1"/>
        <c:lblAlgn val="ctr"/>
        <c:lblOffset val="100"/>
        <c:noMultiLvlLbl val="0"/>
      </c:catAx>
      <c:valAx>
        <c:axId val="134799752"/>
        <c:scaling>
          <c:orientation val="minMax"/>
        </c:scaling>
        <c:delete val="0"/>
        <c:axPos val="l"/>
        <c:majorGridlines/>
        <c:numFmt formatCode="_-* #,##0\ [$€-C0A]_-;\-* #,##0\ [$€-C0A]_-;_-* &quot;-&quot;??\ [$€-C0A]_-;_-@_-" sourceLinked="1"/>
        <c:majorTickMark val="out"/>
        <c:minorTickMark val="none"/>
        <c:tickLblPos val="nextTo"/>
        <c:crossAx val="134799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28326208"/>
        <c:axId val="228321504"/>
      </c:barChart>
      <c:catAx>
        <c:axId val="228326208"/>
        <c:scaling>
          <c:orientation val="minMax"/>
        </c:scaling>
        <c:delete val="0"/>
        <c:axPos val="b"/>
        <c:numFmt formatCode="General" sourceLinked="1"/>
        <c:majorTickMark val="out"/>
        <c:minorTickMark val="none"/>
        <c:tickLblPos val="nextTo"/>
        <c:crossAx val="228321504"/>
        <c:crosses val="autoZero"/>
        <c:auto val="1"/>
        <c:lblAlgn val="ctr"/>
        <c:lblOffset val="100"/>
        <c:noMultiLvlLbl val="0"/>
      </c:catAx>
      <c:valAx>
        <c:axId val="228321504"/>
        <c:scaling>
          <c:orientation val="minMax"/>
        </c:scaling>
        <c:delete val="0"/>
        <c:axPos val="l"/>
        <c:majorGridlines/>
        <c:numFmt formatCode="_-* #,##0\ [$€-C0A]_-;\-* #,##0\ [$€-C0A]_-;_-* &quot;-&quot;??\ [$€-C0A]_-;_-@_-" sourceLinked="1"/>
        <c:majorTickMark val="out"/>
        <c:minorTickMark val="none"/>
        <c:tickLblPos val="nextTo"/>
        <c:crossAx val="228326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28323464"/>
        <c:axId val="136128472"/>
      </c:barChart>
      <c:catAx>
        <c:axId val="228323464"/>
        <c:scaling>
          <c:orientation val="minMax"/>
        </c:scaling>
        <c:delete val="0"/>
        <c:axPos val="b"/>
        <c:numFmt formatCode="General" sourceLinked="1"/>
        <c:majorTickMark val="out"/>
        <c:minorTickMark val="none"/>
        <c:tickLblPos val="nextTo"/>
        <c:crossAx val="136128472"/>
        <c:crosses val="autoZero"/>
        <c:auto val="1"/>
        <c:lblAlgn val="ctr"/>
        <c:lblOffset val="100"/>
        <c:noMultiLvlLbl val="0"/>
      </c:catAx>
      <c:valAx>
        <c:axId val="136128472"/>
        <c:scaling>
          <c:orientation val="minMax"/>
        </c:scaling>
        <c:delete val="0"/>
        <c:axPos val="l"/>
        <c:majorGridlines/>
        <c:numFmt formatCode="_-* #,##0\ [$€-C0A]_-;\-* #,##0\ [$€-C0A]_-;_-* &quot;-&quot;??\ [$€-C0A]_-;_-@_-" sourceLinked="1"/>
        <c:majorTickMark val="out"/>
        <c:minorTickMark val="none"/>
        <c:tickLblPos val="nextTo"/>
        <c:crossAx val="2283234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36132392"/>
        <c:axId val="136129648"/>
      </c:barChart>
      <c:catAx>
        <c:axId val="136132392"/>
        <c:scaling>
          <c:orientation val="minMax"/>
        </c:scaling>
        <c:delete val="0"/>
        <c:axPos val="b"/>
        <c:numFmt formatCode="General" sourceLinked="1"/>
        <c:majorTickMark val="out"/>
        <c:minorTickMark val="none"/>
        <c:tickLblPos val="nextTo"/>
        <c:crossAx val="136129648"/>
        <c:crosses val="autoZero"/>
        <c:auto val="1"/>
        <c:lblAlgn val="ctr"/>
        <c:lblOffset val="100"/>
        <c:noMultiLvlLbl val="0"/>
      </c:catAx>
      <c:valAx>
        <c:axId val="136129648"/>
        <c:scaling>
          <c:orientation val="minMax"/>
        </c:scaling>
        <c:delete val="0"/>
        <c:axPos val="l"/>
        <c:majorGridlines/>
        <c:numFmt formatCode="_-* #,##0\ [$€-C0A]_-;\-* #,##0\ [$€-C0A]_-;_-* &quot;-&quot;??\ [$€-C0A]_-;_-@_-" sourceLinked="1"/>
        <c:majorTickMark val="out"/>
        <c:minorTickMark val="none"/>
        <c:tickLblPos val="nextTo"/>
        <c:crossAx val="136132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6130040"/>
        <c:axId val="136124944"/>
      </c:barChart>
      <c:catAx>
        <c:axId val="136130040"/>
        <c:scaling>
          <c:orientation val="minMax"/>
        </c:scaling>
        <c:delete val="0"/>
        <c:axPos val="b"/>
        <c:numFmt formatCode="General" sourceLinked="1"/>
        <c:majorTickMark val="out"/>
        <c:minorTickMark val="none"/>
        <c:tickLblPos val="nextTo"/>
        <c:crossAx val="136124944"/>
        <c:crosses val="autoZero"/>
        <c:auto val="1"/>
        <c:lblAlgn val="ctr"/>
        <c:lblOffset val="100"/>
        <c:noMultiLvlLbl val="0"/>
      </c:catAx>
      <c:valAx>
        <c:axId val="136124944"/>
        <c:scaling>
          <c:orientation val="minMax"/>
        </c:scaling>
        <c:delete val="0"/>
        <c:axPos val="l"/>
        <c:majorGridlines/>
        <c:numFmt formatCode="_-* #,##0\ [$€-C0A]_-;\-* #,##0\ [$€-C0A]_-;_-* &quot;-&quot;??\ [$€-C0A]_-;_-@_-" sourceLinked="1"/>
        <c:majorTickMark val="out"/>
        <c:minorTickMark val="none"/>
        <c:tickLblPos val="nextTo"/>
        <c:crossAx val="136130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6131608"/>
        <c:axId val="136126120"/>
      </c:barChart>
      <c:catAx>
        <c:axId val="136131608"/>
        <c:scaling>
          <c:orientation val="minMax"/>
        </c:scaling>
        <c:delete val="0"/>
        <c:axPos val="b"/>
        <c:numFmt formatCode="General" sourceLinked="1"/>
        <c:majorTickMark val="out"/>
        <c:minorTickMark val="none"/>
        <c:tickLblPos val="nextTo"/>
        <c:crossAx val="136126120"/>
        <c:crosses val="autoZero"/>
        <c:auto val="1"/>
        <c:lblAlgn val="ctr"/>
        <c:lblOffset val="100"/>
        <c:noMultiLvlLbl val="0"/>
      </c:catAx>
      <c:valAx>
        <c:axId val="136126120"/>
        <c:scaling>
          <c:orientation val="minMax"/>
        </c:scaling>
        <c:delete val="0"/>
        <c:axPos val="l"/>
        <c:majorGridlines/>
        <c:numFmt formatCode="_-* #,##0\ [$€-C0A]_-;\-* #,##0\ [$€-C0A]_-;_-* &quot;-&quot;??\ [$€-C0A]_-;_-@_-" sourceLinked="1"/>
        <c:majorTickMark val="out"/>
        <c:minorTickMark val="none"/>
        <c:tickLblPos val="nextTo"/>
        <c:crossAx val="136131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6125336"/>
        <c:axId val="136126512"/>
      </c:barChart>
      <c:catAx>
        <c:axId val="136125336"/>
        <c:scaling>
          <c:orientation val="minMax"/>
        </c:scaling>
        <c:delete val="0"/>
        <c:axPos val="b"/>
        <c:numFmt formatCode="General" sourceLinked="1"/>
        <c:majorTickMark val="out"/>
        <c:minorTickMark val="none"/>
        <c:tickLblPos val="nextTo"/>
        <c:crossAx val="136126512"/>
        <c:crosses val="autoZero"/>
        <c:auto val="1"/>
        <c:lblAlgn val="ctr"/>
        <c:lblOffset val="100"/>
        <c:noMultiLvlLbl val="0"/>
      </c:catAx>
      <c:valAx>
        <c:axId val="136126512"/>
        <c:scaling>
          <c:orientation val="minMax"/>
        </c:scaling>
        <c:delete val="0"/>
        <c:axPos val="l"/>
        <c:majorGridlines/>
        <c:numFmt formatCode="_-* #,##0\ [$€-C0A]_-;\-* #,##0\ [$€-C0A]_-;_-* &quot;-&quot;??\ [$€-C0A]_-;_-@_-" sourceLinked="1"/>
        <c:majorTickMark val="out"/>
        <c:minorTickMark val="none"/>
        <c:tickLblPos val="nextTo"/>
        <c:crossAx val="1361253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36125728"/>
        <c:axId val="136127296"/>
      </c:barChart>
      <c:catAx>
        <c:axId val="136125728"/>
        <c:scaling>
          <c:orientation val="minMax"/>
        </c:scaling>
        <c:delete val="0"/>
        <c:axPos val="b"/>
        <c:numFmt formatCode="General" sourceLinked="1"/>
        <c:majorTickMark val="out"/>
        <c:minorTickMark val="none"/>
        <c:tickLblPos val="nextTo"/>
        <c:crossAx val="136127296"/>
        <c:crosses val="autoZero"/>
        <c:auto val="1"/>
        <c:lblAlgn val="ctr"/>
        <c:lblOffset val="100"/>
        <c:noMultiLvlLbl val="0"/>
      </c:catAx>
      <c:valAx>
        <c:axId val="136127296"/>
        <c:scaling>
          <c:orientation val="minMax"/>
        </c:scaling>
        <c:delete val="0"/>
        <c:axPos val="l"/>
        <c:majorGridlines/>
        <c:numFmt formatCode="_-* #,##0\ [$€-C0A]_-;\-* #,##0\ [$€-C0A]_-;_-* &quot;-&quot;??\ [$€-C0A]_-;_-@_-" sourceLinked="1"/>
        <c:majorTickMark val="out"/>
        <c:minorTickMark val="none"/>
        <c:tickLblPos val="nextTo"/>
        <c:crossAx val="1361257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28325032"/>
        <c:axId val="228324640"/>
      </c:barChart>
      <c:catAx>
        <c:axId val="228325032"/>
        <c:scaling>
          <c:orientation val="minMax"/>
        </c:scaling>
        <c:delete val="0"/>
        <c:axPos val="b"/>
        <c:numFmt formatCode="General" sourceLinked="1"/>
        <c:majorTickMark val="out"/>
        <c:minorTickMark val="none"/>
        <c:tickLblPos val="nextTo"/>
        <c:crossAx val="228324640"/>
        <c:crosses val="autoZero"/>
        <c:auto val="1"/>
        <c:lblAlgn val="ctr"/>
        <c:lblOffset val="100"/>
        <c:noMultiLvlLbl val="0"/>
      </c:catAx>
      <c:valAx>
        <c:axId val="228324640"/>
        <c:scaling>
          <c:orientation val="minMax"/>
        </c:scaling>
        <c:delete val="0"/>
        <c:axPos val="l"/>
        <c:majorGridlines/>
        <c:numFmt formatCode="_-* #,##0\ [$€-C0A]_-;\-* #,##0\ [$€-C0A]_-;_-* &quot;-&quot;??\ [$€-C0A]_-;_-@_-" sourceLinked="1"/>
        <c:majorTickMark val="out"/>
        <c:minorTickMark val="none"/>
        <c:tickLblPos val="nextTo"/>
        <c:crossAx val="228325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6128080"/>
        <c:axId val="136128864"/>
      </c:barChart>
      <c:catAx>
        <c:axId val="136128080"/>
        <c:scaling>
          <c:orientation val="minMax"/>
        </c:scaling>
        <c:delete val="0"/>
        <c:axPos val="b"/>
        <c:numFmt formatCode="General" sourceLinked="1"/>
        <c:majorTickMark val="out"/>
        <c:minorTickMark val="none"/>
        <c:tickLblPos val="nextTo"/>
        <c:crossAx val="136128864"/>
        <c:crosses val="autoZero"/>
        <c:auto val="1"/>
        <c:lblAlgn val="ctr"/>
        <c:lblOffset val="100"/>
        <c:noMultiLvlLbl val="0"/>
      </c:catAx>
      <c:valAx>
        <c:axId val="136128864"/>
        <c:scaling>
          <c:orientation val="minMax"/>
        </c:scaling>
        <c:delete val="0"/>
        <c:axPos val="l"/>
        <c:majorGridlines/>
        <c:numFmt formatCode="_-* #,##0\ [$€-C0A]_-;\-* #,##0\ [$€-C0A]_-;_-* &quot;-&quot;??\ [$€-C0A]_-;_-@_-" sourceLinked="1"/>
        <c:majorTickMark val="out"/>
        <c:minorTickMark val="none"/>
        <c:tickLblPos val="nextTo"/>
        <c:crossAx val="136128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38518400"/>
        <c:axId val="138515264"/>
      </c:barChart>
      <c:catAx>
        <c:axId val="138518400"/>
        <c:scaling>
          <c:orientation val="minMax"/>
        </c:scaling>
        <c:delete val="0"/>
        <c:axPos val="b"/>
        <c:numFmt formatCode="General" sourceLinked="1"/>
        <c:majorTickMark val="out"/>
        <c:minorTickMark val="none"/>
        <c:tickLblPos val="nextTo"/>
        <c:crossAx val="138515264"/>
        <c:crosses val="autoZero"/>
        <c:auto val="1"/>
        <c:lblAlgn val="ctr"/>
        <c:lblOffset val="100"/>
        <c:noMultiLvlLbl val="0"/>
      </c:catAx>
      <c:valAx>
        <c:axId val="138515264"/>
        <c:scaling>
          <c:orientation val="minMax"/>
        </c:scaling>
        <c:delete val="0"/>
        <c:axPos val="l"/>
        <c:majorGridlines/>
        <c:numFmt formatCode="_-* #,##0\ [$€-C0A]_-;\-* #,##0\ [$€-C0A]_-;_-* &quot;-&quot;??\ [$€-C0A]_-;_-@_-" sourceLinked="1"/>
        <c:majorTickMark val="out"/>
        <c:minorTickMark val="none"/>
        <c:tickLblPos val="nextTo"/>
        <c:crossAx val="138518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8515656"/>
        <c:axId val="138520360"/>
      </c:barChart>
      <c:catAx>
        <c:axId val="138515656"/>
        <c:scaling>
          <c:orientation val="minMax"/>
        </c:scaling>
        <c:delete val="0"/>
        <c:axPos val="b"/>
        <c:numFmt formatCode="General" sourceLinked="1"/>
        <c:majorTickMark val="out"/>
        <c:minorTickMark val="none"/>
        <c:tickLblPos val="nextTo"/>
        <c:crossAx val="138520360"/>
        <c:crosses val="autoZero"/>
        <c:auto val="1"/>
        <c:lblAlgn val="ctr"/>
        <c:lblOffset val="100"/>
        <c:noMultiLvlLbl val="0"/>
      </c:catAx>
      <c:valAx>
        <c:axId val="138520360"/>
        <c:scaling>
          <c:orientation val="minMax"/>
        </c:scaling>
        <c:delete val="0"/>
        <c:axPos val="l"/>
        <c:majorGridlines/>
        <c:numFmt formatCode="_-* #,##0\ [$€-C0A]_-;\-* #,##0\ [$€-C0A]_-;_-* &quot;-&quot;??\ [$€-C0A]_-;_-@_-" sourceLinked="1"/>
        <c:majorTickMark val="out"/>
        <c:minorTickMark val="none"/>
        <c:tickLblPos val="nextTo"/>
        <c:crossAx val="138515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38516440"/>
        <c:axId val="138516832"/>
      </c:lineChart>
      <c:catAx>
        <c:axId val="138516440"/>
        <c:scaling>
          <c:orientation val="minMax"/>
        </c:scaling>
        <c:delete val="0"/>
        <c:axPos val="b"/>
        <c:numFmt formatCode="General" sourceLinked="0"/>
        <c:majorTickMark val="out"/>
        <c:minorTickMark val="none"/>
        <c:tickLblPos val="nextTo"/>
        <c:crossAx val="138516832"/>
        <c:crosses val="autoZero"/>
        <c:auto val="1"/>
        <c:lblAlgn val="ctr"/>
        <c:lblOffset val="100"/>
        <c:noMultiLvlLbl val="0"/>
      </c:catAx>
      <c:valAx>
        <c:axId val="138516832"/>
        <c:scaling>
          <c:orientation val="minMax"/>
          <c:min val="0"/>
        </c:scaling>
        <c:delete val="0"/>
        <c:axPos val="l"/>
        <c:majorGridlines/>
        <c:numFmt formatCode="General" sourceLinked="1"/>
        <c:majorTickMark val="out"/>
        <c:minorTickMark val="none"/>
        <c:tickLblPos val="nextTo"/>
        <c:crossAx val="13851644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28325424"/>
        <c:axId val="228326600"/>
      </c:barChart>
      <c:catAx>
        <c:axId val="228325424"/>
        <c:scaling>
          <c:orientation val="minMax"/>
        </c:scaling>
        <c:delete val="0"/>
        <c:axPos val="b"/>
        <c:numFmt formatCode="General" sourceLinked="1"/>
        <c:majorTickMark val="out"/>
        <c:minorTickMark val="none"/>
        <c:tickLblPos val="nextTo"/>
        <c:crossAx val="228326600"/>
        <c:crosses val="autoZero"/>
        <c:auto val="1"/>
        <c:lblAlgn val="ctr"/>
        <c:lblOffset val="100"/>
        <c:noMultiLvlLbl val="0"/>
      </c:catAx>
      <c:valAx>
        <c:axId val="228326600"/>
        <c:scaling>
          <c:orientation val="minMax"/>
        </c:scaling>
        <c:delete val="0"/>
        <c:axPos val="l"/>
        <c:majorGridlines/>
        <c:numFmt formatCode="_-* #,##0\ [$€-C0A]_-;\-* #,##0\ [$€-C0A]_-;_-* &quot;-&quot;??\ [$€-C0A]_-;_-@_-" sourceLinked="1"/>
        <c:majorTickMark val="out"/>
        <c:minorTickMark val="none"/>
        <c:tickLblPos val="nextTo"/>
        <c:crossAx val="228325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28327776"/>
        <c:axId val="228326992"/>
      </c:barChart>
      <c:catAx>
        <c:axId val="228327776"/>
        <c:scaling>
          <c:orientation val="minMax"/>
        </c:scaling>
        <c:delete val="0"/>
        <c:axPos val="b"/>
        <c:numFmt formatCode="General" sourceLinked="1"/>
        <c:majorTickMark val="out"/>
        <c:minorTickMark val="none"/>
        <c:tickLblPos val="nextTo"/>
        <c:crossAx val="228326992"/>
        <c:crosses val="autoZero"/>
        <c:auto val="1"/>
        <c:lblAlgn val="ctr"/>
        <c:lblOffset val="100"/>
        <c:noMultiLvlLbl val="0"/>
      </c:catAx>
      <c:valAx>
        <c:axId val="228326992"/>
        <c:scaling>
          <c:orientation val="minMax"/>
        </c:scaling>
        <c:delete val="0"/>
        <c:axPos val="l"/>
        <c:majorGridlines/>
        <c:numFmt formatCode="_-* #,##0\ [$€-C0A]_-;\-* #,##0\ [$€-C0A]_-;_-* &quot;-&quot;??\ [$€-C0A]_-;_-@_-" sourceLinked="1"/>
        <c:majorTickMark val="out"/>
        <c:minorTickMark val="none"/>
        <c:tickLblPos val="nextTo"/>
        <c:crossAx val="228327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28328168"/>
        <c:axId val="228321112"/>
      </c:barChart>
      <c:catAx>
        <c:axId val="228328168"/>
        <c:scaling>
          <c:orientation val="minMax"/>
        </c:scaling>
        <c:delete val="0"/>
        <c:axPos val="b"/>
        <c:numFmt formatCode="General" sourceLinked="1"/>
        <c:majorTickMark val="out"/>
        <c:minorTickMark val="none"/>
        <c:tickLblPos val="nextTo"/>
        <c:crossAx val="228321112"/>
        <c:crosses val="autoZero"/>
        <c:auto val="1"/>
        <c:lblAlgn val="ctr"/>
        <c:lblOffset val="100"/>
        <c:noMultiLvlLbl val="0"/>
      </c:catAx>
      <c:valAx>
        <c:axId val="228321112"/>
        <c:scaling>
          <c:orientation val="minMax"/>
        </c:scaling>
        <c:delete val="0"/>
        <c:axPos val="l"/>
        <c:majorGridlines/>
        <c:numFmt formatCode="_-* #,##0\ [$€-C0A]_-;\-* #,##0\ [$€-C0A]_-;_-* &quot;-&quot;??\ [$€-C0A]_-;_-@_-" sourceLinked="1"/>
        <c:majorTickMark val="out"/>
        <c:minorTickMark val="none"/>
        <c:tickLblPos val="nextTo"/>
        <c:crossAx val="228328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4802888"/>
        <c:axId val="134797792"/>
      </c:barChart>
      <c:catAx>
        <c:axId val="134802888"/>
        <c:scaling>
          <c:orientation val="minMax"/>
        </c:scaling>
        <c:delete val="0"/>
        <c:axPos val="b"/>
        <c:numFmt formatCode="General" sourceLinked="1"/>
        <c:majorTickMark val="out"/>
        <c:minorTickMark val="none"/>
        <c:tickLblPos val="nextTo"/>
        <c:crossAx val="134797792"/>
        <c:crosses val="autoZero"/>
        <c:auto val="1"/>
        <c:lblAlgn val="ctr"/>
        <c:lblOffset val="100"/>
        <c:noMultiLvlLbl val="0"/>
      </c:catAx>
      <c:valAx>
        <c:axId val="134797792"/>
        <c:scaling>
          <c:orientation val="minMax"/>
        </c:scaling>
        <c:delete val="0"/>
        <c:axPos val="l"/>
        <c:majorGridlines/>
        <c:numFmt formatCode="_-* #,##0\ [$€-C0A]_-;\-* #,##0\ [$€-C0A]_-;_-* &quot;-&quot;??\ [$€-C0A]_-;_-@_-" sourceLinked="1"/>
        <c:majorTickMark val="out"/>
        <c:minorTickMark val="none"/>
        <c:tickLblPos val="nextTo"/>
        <c:crossAx val="134802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34804064"/>
        <c:axId val="134803672"/>
      </c:barChart>
      <c:catAx>
        <c:axId val="134804064"/>
        <c:scaling>
          <c:orientation val="minMax"/>
        </c:scaling>
        <c:delete val="0"/>
        <c:axPos val="b"/>
        <c:numFmt formatCode="General" sourceLinked="1"/>
        <c:majorTickMark val="out"/>
        <c:minorTickMark val="none"/>
        <c:tickLblPos val="nextTo"/>
        <c:crossAx val="134803672"/>
        <c:crosses val="autoZero"/>
        <c:auto val="1"/>
        <c:lblAlgn val="ctr"/>
        <c:lblOffset val="100"/>
        <c:noMultiLvlLbl val="0"/>
      </c:catAx>
      <c:valAx>
        <c:axId val="134803672"/>
        <c:scaling>
          <c:orientation val="minMax"/>
        </c:scaling>
        <c:delete val="0"/>
        <c:axPos val="l"/>
        <c:majorGridlines/>
        <c:numFmt formatCode="_-* #,##0\ [$€-C0A]_-;\-* #,##0\ [$€-C0A]_-;_-* &quot;-&quot;??\ [$€-C0A]_-;_-@_-" sourceLinked="1"/>
        <c:majorTickMark val="out"/>
        <c:minorTickMark val="none"/>
        <c:tickLblPos val="nextTo"/>
        <c:crossAx val="134804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34800144"/>
        <c:axId val="134803280"/>
      </c:barChart>
      <c:catAx>
        <c:axId val="134800144"/>
        <c:scaling>
          <c:orientation val="minMax"/>
        </c:scaling>
        <c:delete val="0"/>
        <c:axPos val="b"/>
        <c:numFmt formatCode="General" sourceLinked="1"/>
        <c:majorTickMark val="out"/>
        <c:minorTickMark val="none"/>
        <c:tickLblPos val="nextTo"/>
        <c:crossAx val="134803280"/>
        <c:crosses val="autoZero"/>
        <c:auto val="1"/>
        <c:lblAlgn val="ctr"/>
        <c:lblOffset val="100"/>
        <c:noMultiLvlLbl val="0"/>
      </c:catAx>
      <c:valAx>
        <c:axId val="134803280"/>
        <c:scaling>
          <c:orientation val="minMax"/>
        </c:scaling>
        <c:delete val="0"/>
        <c:axPos val="l"/>
        <c:majorGridlines/>
        <c:numFmt formatCode="_-* #,##0\ [$€-C0A]_-;\-* #,##0\ [$€-C0A]_-;_-* &quot;-&quot;??\ [$€-C0A]_-;_-@_-" sourceLinked="1"/>
        <c:majorTickMark val="out"/>
        <c:minorTickMark val="none"/>
        <c:tickLblPos val="nextTo"/>
        <c:crossAx val="134800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34800928"/>
        <c:axId val="134804456"/>
      </c:barChart>
      <c:catAx>
        <c:axId val="134800928"/>
        <c:scaling>
          <c:orientation val="minMax"/>
        </c:scaling>
        <c:delete val="0"/>
        <c:axPos val="b"/>
        <c:numFmt formatCode="General" sourceLinked="1"/>
        <c:majorTickMark val="out"/>
        <c:minorTickMark val="none"/>
        <c:tickLblPos val="nextTo"/>
        <c:crossAx val="134804456"/>
        <c:crosses val="autoZero"/>
        <c:auto val="1"/>
        <c:lblAlgn val="ctr"/>
        <c:lblOffset val="100"/>
        <c:noMultiLvlLbl val="0"/>
      </c:catAx>
      <c:valAx>
        <c:axId val="134804456"/>
        <c:scaling>
          <c:orientation val="minMax"/>
        </c:scaling>
        <c:delete val="0"/>
        <c:axPos val="l"/>
        <c:majorGridlines/>
        <c:numFmt formatCode="_-* #,##0\ [$€-C0A]_-;\-* #,##0\ [$€-C0A]_-;_-* &quot;-&quot;??\ [$€-C0A]_-;_-@_-" sourceLinked="1"/>
        <c:majorTickMark val="out"/>
        <c:minorTickMark val="none"/>
        <c:tickLblPos val="nextTo"/>
        <c:crossAx val="134800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43062</v>
      </c>
      <c r="D1" s="706">
        <v>41471</v>
      </c>
      <c r="E1" s="706"/>
      <c r="F1" s="706"/>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1662</v>
      </c>
      <c r="G5" s="626">
        <f ca="1">F5/112</f>
        <v>14.839285714285714</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1662</v>
      </c>
      <c r="G6" s="626">
        <f t="shared" ref="G6:G20" ca="1" si="1">F6/112</f>
        <v>14.839285714285714</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1543</v>
      </c>
      <c r="G7" s="626">
        <f t="shared" ca="1" si="1"/>
        <v>13.776785714285714</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1535</v>
      </c>
      <c r="G8" s="626">
        <f t="shared" ca="1" si="1"/>
        <v>13.705357142857142</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1523</v>
      </c>
      <c r="G9" s="626">
        <f t="shared" ca="1" si="1"/>
        <v>13.598214285714286</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1510</v>
      </c>
      <c r="G10" s="626">
        <f t="shared" ca="1" si="1"/>
        <v>13.482142857142858</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1479</v>
      </c>
      <c r="G11" s="626">
        <f t="shared" ca="1" si="1"/>
        <v>13.205357142857142</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1409</v>
      </c>
      <c r="G12" s="626">
        <f t="shared" ca="1" si="1"/>
        <v>12.580357142857142</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1398</v>
      </c>
      <c r="G13" s="626">
        <f t="shared" ca="1" si="1"/>
        <v>12.482142857142858</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1376</v>
      </c>
      <c r="G14" s="626">
        <f t="shared" ca="1" si="1"/>
        <v>12.285714285714286</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1340</v>
      </c>
      <c r="G15" s="626">
        <f t="shared" ca="1" si="1"/>
        <v>11.964285714285714</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1325</v>
      </c>
      <c r="G16" s="626">
        <f t="shared" ca="1" si="1"/>
        <v>11.830357142857142</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1315</v>
      </c>
      <c r="G17" s="626">
        <f t="shared" ca="1" si="1"/>
        <v>11.741071428571429</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1151</v>
      </c>
      <c r="G18" s="626">
        <f t="shared" ca="1" si="1"/>
        <v>10.276785714285714</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1089</v>
      </c>
      <c r="G19" s="626">
        <f t="shared" ca="1" si="1"/>
        <v>9.7232142857142865</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956</v>
      </c>
      <c r="G20" s="626">
        <f t="shared" ca="1" si="1"/>
        <v>8.5357142857142865</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96</v>
      </c>
      <c r="E3" s="666"/>
      <c r="F3" s="317">
        <v>42468</v>
      </c>
      <c r="G3" s="530">
        <v>1</v>
      </c>
      <c r="H3" s="531">
        <f>PLANTILLA!I5</f>
        <v>18</v>
      </c>
      <c r="I3" s="531"/>
      <c r="J3" s="163">
        <f>PLANTILLA!V5</f>
        <v>16.666666666666668</v>
      </c>
      <c r="K3" s="163">
        <f>PLANTILLA!W5</f>
        <v>11.832727272727276</v>
      </c>
      <c r="L3" s="163">
        <f>PLANTILLA!X5</f>
        <v>2.0199999999999996</v>
      </c>
      <c r="M3" s="163">
        <f>PLANTILLA!Y5</f>
        <v>2.1199999999999992</v>
      </c>
      <c r="N3" s="163">
        <f>PLANTILLA!Z5</f>
        <v>1.0400000000000003</v>
      </c>
      <c r="O3" s="163">
        <f>PLANTILLA!AA5</f>
        <v>0.14055555555555557</v>
      </c>
      <c r="P3" s="163">
        <f>PLANTILLA!AB5</f>
        <v>17.849999999999998</v>
      </c>
      <c r="Q3" s="163">
        <f>((2*(N3+1))+(K3+1))/8</f>
        <v>2.1140909090909092</v>
      </c>
      <c r="R3" s="163">
        <f>1.66*(O3+(LOG(H3)*4/3)+G3)+0.55*(P3+(LOG(H3)*4/3)+G3)-7.6</f>
        <v>8.3596918705932968</v>
      </c>
      <c r="S3" s="163">
        <f>(0.5*O3+ 0.3*P3)/10</f>
        <v>0.54252777777777772</v>
      </c>
      <c r="T3" s="163">
        <f>(0.4*K3+0.3*P3)/10</f>
        <v>1.008809090909091</v>
      </c>
      <c r="U3" s="163">
        <f t="shared" ref="U3:U22" ca="1" si="0">IF(TODAY()-F3&gt;335,(P3+1+(LOG(H3)*4/3)),(P3+((TODAY()-F3)^0.5)/(336^0.5)+(LOG(H3)*4/3)))</f>
        <v>20.523696673471072</v>
      </c>
      <c r="V3" s="159">
        <f t="shared" ref="V3:V22" si="1">((J3+G3+(LOG(H3)*4/3))*0.597)+((K3+G3+(LOG(H3)*4/3))*0.276)</f>
        <v>15.549969923212977</v>
      </c>
      <c r="W3" s="159">
        <f t="shared" ref="W3:W22" si="2">((J3+G3+(LOG(H3)*4/3))*0.866)+((K3+G3+(LOG(H3)*4/3))*0.425)</f>
        <v>22.913984829693582</v>
      </c>
      <c r="X3" s="159">
        <f>V3</f>
        <v>15.549969923212977</v>
      </c>
      <c r="Y3" s="159">
        <f t="shared" ref="Y3:Y22" si="3">((K3+G3+(LOG(H3)*4/3))*0.516)</f>
        <v>7.4853147562383491</v>
      </c>
      <c r="Z3" s="159">
        <f t="shared" ref="Z3:Z22" si="4">(K3+G3+(LOG(H3)*4/3))*1</f>
        <v>14.50642394619835</v>
      </c>
      <c r="AA3" s="159">
        <f>Y3/2</f>
        <v>3.7426573781191745</v>
      </c>
      <c r="AB3" s="159">
        <f t="shared" ref="AB3:AB22" si="5">(L3+G3+(LOG(H3)*4/3))*0.238</f>
        <v>1.1170998082861157</v>
      </c>
      <c r="AC3" s="159">
        <f t="shared" ref="AC3:AC22" si="6">((K3+G3+(LOG(H3)*4/3))*0.378)</f>
        <v>5.4834282516629766</v>
      </c>
      <c r="AD3" s="159">
        <f t="shared" ref="AD3:AD22" si="7">(K3+G3+(LOG(H3)*4/3))*0.723</f>
        <v>10.488144513101407</v>
      </c>
      <c r="AE3" s="159">
        <f>AC3/2</f>
        <v>2.7417141258314883</v>
      </c>
      <c r="AF3" s="159">
        <f t="shared" ref="AF3:AF22" si="8">(L3+G3+(LOG(H3)*4/3))*0.385</f>
        <v>1.8070732192863637</v>
      </c>
      <c r="AG3" s="387">
        <f t="shared" ref="AG3:AG22" si="9">((K3+G3+(LOG(H3)*4/3))*0.92)</f>
        <v>13.345910030502482</v>
      </c>
      <c r="AH3" s="159">
        <f t="shared" ref="AH3:AH22" si="10">(K3+G3+(LOG(H3)*4/3))*0.414</f>
        <v>6.0056595137261164</v>
      </c>
      <c r="AI3" s="159">
        <f t="shared" ref="AI3:AI22" si="11">((L3+G3+(LOG(H3)*4/3))*0.167)</f>
        <v>0.78384734446966953</v>
      </c>
      <c r="AJ3" s="387">
        <f t="shared" ref="AJ3:AJ22" si="12">(M3+G3+(LOG(H3)*4/3))*0.588</f>
        <v>2.8186936440009913</v>
      </c>
      <c r="AK3" s="159">
        <f t="shared" ref="AK3:AK22" si="13">((K3+G3+(LOG(H3)*4/3))*0.754)</f>
        <v>10.937843655433555</v>
      </c>
      <c r="AL3" s="159">
        <f t="shared" ref="AL3:AL22" si="14">((K3+G3+(LOG(H3)*4/3))*0.708)</f>
        <v>10.270548153908431</v>
      </c>
      <c r="AM3" s="159">
        <f t="shared" ref="AM3:AM22" si="15">((P3+G3+(LOG(H3)*4/3))*0.167)</f>
        <v>3.4274573444696692</v>
      </c>
      <c r="AN3" s="159">
        <f t="shared" ref="AN3:AN22" si="16">((Q3+G3+(LOG(H3)*4/3))*0.288)</f>
        <v>1.3788828237778514</v>
      </c>
      <c r="AO3" s="159">
        <f t="shared" ref="AO3:AO22" si="17">((K3+G3+(LOG(H3)*4/3))*0.27)</f>
        <v>3.9167344654735547</v>
      </c>
      <c r="AP3" s="159">
        <f t="shared" ref="AP3:AP22" si="18">((K3+G3+(LOG(H3)*4/3))*0.594)</f>
        <v>8.6168158240418187</v>
      </c>
      <c r="AQ3" s="159">
        <f>AO3/2</f>
        <v>1.9583672327367774</v>
      </c>
      <c r="AR3" s="159">
        <f t="shared" ref="AR3:AR22" si="19">((L3+G3+(LOG(H3)*4/3))*0.944)</f>
        <v>4.430849659756694</v>
      </c>
      <c r="AS3" s="159">
        <f t="shared" ref="AS3:AS22" si="20">((N3+G3+(LOG(H3)*4/3))*0.13)</f>
        <v>0.48278056755123977</v>
      </c>
      <c r="AT3" s="159">
        <f t="shared" ref="AT3:AT22" si="21">((O3+G3+(LOG(H3)*4/3))*0.173)+((N3+G3+(LOG(H3)*4/3))*0.12)</f>
        <v>0.93250923643813599</v>
      </c>
      <c r="AU3" s="159">
        <f>AS3/2</f>
        <v>0.24139028377561988</v>
      </c>
      <c r="AV3" s="159">
        <f t="shared" ref="AV3:AV22" si="22">((K3+G3+(LOG(H3)*4/3))*0.189)</f>
        <v>2.7417141258314883</v>
      </c>
      <c r="AW3" s="159">
        <f t="shared" ref="AW3:AW22" si="23">((K3+G3+(LOG(H3)*4/3))*0.4)</f>
        <v>5.8025695784793401</v>
      </c>
      <c r="AX3" s="159">
        <f>AV3/2</f>
        <v>1.3708570629157442</v>
      </c>
      <c r="AY3" s="159">
        <f t="shared" ref="AY3:AY22" si="24">((L3+G3+(LOG(H3)*4/3))*1)</f>
        <v>4.6936966734710746</v>
      </c>
      <c r="AZ3" s="159">
        <f t="shared" ref="AZ3:AZ22" si="25">((N3+G3+(LOG(H3)*4/3))*0.253)</f>
        <v>0.93956525838818195</v>
      </c>
      <c r="BA3" s="159">
        <f t="shared" ref="BA3:BA22" si="26">((O3+G3+(LOG(H3)*4/3))*0.21)+((N3+G3+(LOG(H3)*4/3))*0.341)</f>
        <v>1.8573635337492289</v>
      </c>
      <c r="BB3" s="159">
        <f>AZ3/2</f>
        <v>0.46978262919409097</v>
      </c>
      <c r="BC3" s="159">
        <f t="shared" ref="BC3:BC22" si="27">((K3+G3+(LOG(H3)*4/3))*0.291)</f>
        <v>4.2213693683437192</v>
      </c>
      <c r="BD3" s="159">
        <f t="shared" ref="BD3:BD22" si="28">((K3+G3+(LOG(H3)*4/3))*0.348)</f>
        <v>5.0482355332770252</v>
      </c>
      <c r="BE3" s="159">
        <f t="shared" ref="BE3:BE22" si="29">((L3+G3+(LOG(H3)*4/3))*0.881)</f>
        <v>4.1351467693280171</v>
      </c>
      <c r="BF3" s="159">
        <f t="shared" ref="BF3:BF22" si="30">((M3+G3+(LOG(H3)*4/3))*0.574)+((N3+G3+(LOG(H3)*4/3))*0.315)</f>
        <v>3.9213963427157852</v>
      </c>
      <c r="BG3" s="159">
        <f t="shared" ref="BG3:BG22" si="31">((N3+G3+(LOG(H3)*4/3))*0.241)</f>
        <v>0.89500089830652907</v>
      </c>
      <c r="BH3" s="159">
        <f t="shared" ref="BH3:BH22" si="32">((K3+G3+(LOG(H3)*4/3))*0.485)</f>
        <v>7.0356156139061996</v>
      </c>
      <c r="BI3" s="159">
        <f t="shared" ref="BI3:BI22" si="33">((K3+G3+(LOG(H3)*4/3))*0.264)</f>
        <v>3.8296959217963646</v>
      </c>
      <c r="BJ3" s="159">
        <f t="shared" ref="BJ3:BJ22" si="34">((L3+G3+(LOG(H3)*4/3))*0.381)</f>
        <v>1.7882984325924793</v>
      </c>
      <c r="BK3" s="159">
        <f t="shared" ref="BK3:BK22" si="35">((M3+G3+(LOG(H3)*4/3))*0.673)+((N3+G3+(LOG(H3)*4/3))*0.201)</f>
        <v>3.9726108926137194</v>
      </c>
      <c r="BL3" s="159">
        <f t="shared" ref="BL3:BL22" si="36">((N3+G3+(LOG(H3)*4/3))*0.052)</f>
        <v>0.19311222702049588</v>
      </c>
      <c r="BM3" s="159">
        <f t="shared" ref="BM3:BM22" si="37">((K3+G3+(LOG(H3)*4/3))*0.18)</f>
        <v>2.6111563103157027</v>
      </c>
      <c r="BN3" s="159">
        <f t="shared" ref="BN3:BN22" si="38">(K3+G3+(LOG(H3)*4/3))*0.068</f>
        <v>0.98643682834148783</v>
      </c>
      <c r="BO3" s="159">
        <f t="shared" ref="BO3:BO22" si="39">((L3+G3+(LOG(H3)*4/3))*0.305)</f>
        <v>1.4315774854086778</v>
      </c>
      <c r="BP3" s="159">
        <f t="shared" ref="BP3:BP22" si="40">((M3+G3+(LOG(H3)*4/3))*1)+((N3+G3+(LOG(H3)*4/3))*0.286)</f>
        <v>5.8558139220838017</v>
      </c>
      <c r="BQ3" s="159">
        <f t="shared" ref="BQ3:BQ22" si="41">((N3+G3+(LOG(H3)*4/3))*0.135)</f>
        <v>0.50134905091859516</v>
      </c>
      <c r="BR3" s="159">
        <f t="shared" ref="BR3:BR22" si="42">((K3+G3+(LOG(H3)*4/3))*0.284)</f>
        <v>4.1198244007203311</v>
      </c>
      <c r="BS3" s="159">
        <f t="shared" ref="BS3:BS22" si="43">(K3+G3+(LOG(H3)*4/3))*0.244</f>
        <v>3.5395674428723973</v>
      </c>
      <c r="BT3" s="159">
        <f t="shared" ref="BT3:BT22" si="44">((L3+G3+(LOG(H3)*4/3))*0.455)</f>
        <v>2.1356319864293392</v>
      </c>
      <c r="BU3" s="159">
        <f t="shared" ref="BU3:BU22" si="45">((M3+G3+(LOG(H3)*4/3))*0.864)+((N3+G3+(LOG(H3)*4/3))*0.244)</f>
        <v>5.0478959142059496</v>
      </c>
      <c r="BV3" s="159">
        <f t="shared" ref="BV3:BV22" si="46">((N3+G3+(LOG(H3)*4/3))*0.121)</f>
        <v>0.44935729749000008</v>
      </c>
      <c r="BW3" s="159">
        <f t="shared" ref="BW3:BW22" si="47">((K3+G3+(LOG(H3)*4/3))*0.284)</f>
        <v>4.1198244007203311</v>
      </c>
      <c r="BX3" s="159">
        <f t="shared" ref="BX3:BX22" si="48">((K3+G3+(LOG(H3)*4/3))*0.244)</f>
        <v>3.5395674428723973</v>
      </c>
      <c r="BY3" s="159">
        <f t="shared" ref="BY3:BY22" si="49">((L3+G3+(LOG(H3)*4/3))*0.631)</f>
        <v>2.9617226009602482</v>
      </c>
      <c r="BZ3" s="159">
        <f t="shared" ref="BZ3:BZ22" si="50">((M3+G3+(LOG(H3)*4/3))*0.702)+((N3+G3+(LOG(H3)*4/3))*0.193)</f>
        <v>4.0819185227566113</v>
      </c>
      <c r="CA3" s="159">
        <f t="shared" ref="CA3:CA22" si="51">((N3+G3+(LOG(H3)*4/3))*0.148)</f>
        <v>0.54962710767371903</v>
      </c>
      <c r="CB3" s="159">
        <f t="shared" ref="CB3:CB22" si="52">((L3+G3+(LOG(H3)*4/3))*0.406)</f>
        <v>1.9056408494292565</v>
      </c>
      <c r="CC3" s="159">
        <f t="shared" ref="CC3:CC22" si="53">IF(E3="TEC",((M3+G3+(LOG(H3)*4/3))*0.15)+((N3+G3+(LOG(H3)*4/3))*0.324)+((O3+G3+(LOG(H3)*4/3))*0.127),(((M3+G3+(LOG(H3)*4/3))*0.144)+((N3+G3+(LOG(H3)*4/3))*0.25)+((O3+G3+(LOG(H3)*4/3))*0.127)))</f>
        <v>1.9761265224339855</v>
      </c>
      <c r="CD3" s="159">
        <f t="shared" ref="CD3:CD22" si="54">((N3+G3+(LOG(H3)*4/3))*0.543)+((O3+G3+(LOG(H3)*4/3))*0.583)</f>
        <v>3.6572463432173192</v>
      </c>
      <c r="CE3" s="159">
        <f>CC3</f>
        <v>1.9761265224339855</v>
      </c>
      <c r="CF3" s="159">
        <f t="shared" ref="CF3:CF22" si="55">((O3+1+(LOG(H3)*4/3))*0.26)+((M3+G3+(LOG(H3)*4/3))*0.221)+((N3+G3+(LOG(H3)*4/3))*0.142)</f>
        <v>2.3184574720169238</v>
      </c>
      <c r="CG3" s="159">
        <f t="shared" ref="CG3:CG22" si="56">((O3+G3+(LOG(H3)*4/3))*1)+((N3+G3+(LOG(H3)*4/3))*0.369)</f>
        <v>4.1846063015374568</v>
      </c>
      <c r="CH3" s="159">
        <f>CF3</f>
        <v>2.3184574720169238</v>
      </c>
      <c r="CI3" s="159">
        <f>((L3+G3+(LOG(H3)*4/3))*0.25)</f>
        <v>1.1734241683677686</v>
      </c>
    </row>
    <row r="4" spans="1:87" x14ac:dyDescent="0.25">
      <c r="A4" t="str">
        <f>PLANTILLA!D6</f>
        <v>T. Hammond</v>
      </c>
      <c r="B4" t="s">
        <v>1018</v>
      </c>
      <c r="C4" s="666">
        <f>PLANTILLA!E6</f>
        <v>33</v>
      </c>
      <c r="D4" s="666">
        <f ca="1">PLANTILLA!F6</f>
        <v>105</v>
      </c>
      <c r="E4" s="666" t="str">
        <f>PLANTILLA!G6</f>
        <v>CAB</v>
      </c>
      <c r="F4" s="317">
        <v>41400</v>
      </c>
      <c r="G4" s="530">
        <v>1.5</v>
      </c>
      <c r="H4" s="531">
        <f>PLANTILLA!I6</f>
        <v>7.8</v>
      </c>
      <c r="I4" s="531"/>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1.7372713539204461</v>
      </c>
      <c r="AC4" s="159">
        <f t="shared" si="6"/>
        <v>5.0971256797560018</v>
      </c>
      <c r="AD4" s="159">
        <f t="shared" si="7"/>
        <v>9.7492641969936216</v>
      </c>
      <c r="AE4" s="159">
        <f t="shared" ref="AE4:AE22"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6.8906897399197522</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7.299459470253975</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2" si="68">CC4</f>
        <v>4.2626094951134315</v>
      </c>
      <c r="CF4" s="159">
        <f t="shared" si="55"/>
        <v>4.6150343610793367</v>
      </c>
      <c r="CG4" s="159">
        <f t="shared" si="56"/>
        <v>10.08677001477769</v>
      </c>
      <c r="CH4" s="159">
        <f t="shared" ref="CH4:CH22" si="69">CF4</f>
        <v>4.6150343610793367</v>
      </c>
      <c r="CI4" s="159">
        <f t="shared" ref="CI4:CI22" si="70">((L4+G4+(LOG(H4)*4/3))*0.25)</f>
        <v>1.8248648675634938</v>
      </c>
    </row>
    <row r="5" spans="1:87" x14ac:dyDescent="0.25">
      <c r="A5" t="str">
        <f>PLANTILLA!D8</f>
        <v>D. Toh</v>
      </c>
      <c r="B5" t="s">
        <v>1018</v>
      </c>
      <c r="C5" s="666">
        <f>PLANTILLA!E8</f>
        <v>31</v>
      </c>
      <c r="D5" s="666">
        <f ca="1">PLANTILLA!F8</f>
        <v>41</v>
      </c>
      <c r="E5" s="666" t="str">
        <f>PLANTILLA!G8</f>
        <v>CAB</v>
      </c>
      <c r="F5" s="317">
        <v>41519</v>
      </c>
      <c r="G5" s="530">
        <v>1.5</v>
      </c>
      <c r="H5" s="531">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1018</v>
      </c>
      <c r="C6" s="666">
        <f>PLANTILLA!E9</f>
        <v>30</v>
      </c>
      <c r="D6" s="666">
        <f ca="1">PLANTILLA!F9</f>
        <v>107</v>
      </c>
      <c r="E6" s="666"/>
      <c r="F6" s="317">
        <v>41539</v>
      </c>
      <c r="G6" s="530">
        <v>1.5</v>
      </c>
      <c r="H6" s="531">
        <f>PLANTILLA!I9</f>
        <v>12.1</v>
      </c>
      <c r="I6" s="371"/>
      <c r="J6" s="163">
        <f>PLANTILLA!V9</f>
        <v>0</v>
      </c>
      <c r="K6" s="163">
        <f>PLANTILLA!W9</f>
        <v>12.060000000000004</v>
      </c>
      <c r="L6" s="163">
        <f>PLANTILLA!X9</f>
        <v>13.020999999999999</v>
      </c>
      <c r="M6" s="163">
        <f>PLANTILLA!Y9</f>
        <v>9.7100000000000062</v>
      </c>
      <c r="N6" s="163">
        <f>PLANTILLA!Z9</f>
        <v>9.6</v>
      </c>
      <c r="O6" s="163">
        <f>PLANTILLA!AA9</f>
        <v>3.6816666666666658</v>
      </c>
      <c r="P6" s="163">
        <f>PLANTILLA!AB9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3.7996018908470863</v>
      </c>
      <c r="AC6" s="159">
        <f t="shared" si="6"/>
        <v>5.6714038266394917</v>
      </c>
      <c r="AD6" s="159">
        <f t="shared" si="7"/>
        <v>10.84768509698506</v>
      </c>
      <c r="AE6" s="159">
        <f t="shared" si="63"/>
        <v>2.8357019133197459</v>
      </c>
      <c r="AF6" s="159">
        <f t="shared" si="8"/>
        <v>6.1464148234291107</v>
      </c>
      <c r="AG6" s="387">
        <f t="shared" si="9"/>
        <v>13.803416720921515</v>
      </c>
      <c r="AH6" s="159">
        <f t="shared" si="10"/>
        <v>6.2115375244146813</v>
      </c>
      <c r="AI6" s="159">
        <f t="shared" si="11"/>
        <v>2.6661072091237958</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15.070689852771636</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15.964713827088598</v>
      </c>
      <c r="AZ6" s="159">
        <f t="shared" si="25"/>
        <v>3.1735595982534157</v>
      </c>
      <c r="BA6" s="159">
        <f t="shared" si="26"/>
        <v>5.6687363187258182</v>
      </c>
      <c r="BB6" s="159">
        <f t="shared" si="67"/>
        <v>1.5867797991267079</v>
      </c>
      <c r="BC6" s="159">
        <f t="shared" si="27"/>
        <v>4.3660807236827832</v>
      </c>
      <c r="BD6" s="159">
        <f t="shared" si="28"/>
        <v>5.2212924118268331</v>
      </c>
      <c r="BE6" s="159">
        <f t="shared" si="29"/>
        <v>14.064912881665055</v>
      </c>
      <c r="BF6" s="159">
        <f t="shared" si="30"/>
        <v>11.214501592281767</v>
      </c>
      <c r="BG6" s="159">
        <f t="shared" si="31"/>
        <v>3.0230350323283521</v>
      </c>
      <c r="BH6" s="159">
        <f t="shared" si="32"/>
        <v>7.2768012061379723</v>
      </c>
      <c r="BI6" s="159">
        <f t="shared" si="33"/>
        <v>3.9609804503513915</v>
      </c>
      <c r="BJ6" s="159">
        <f t="shared" si="34"/>
        <v>6.0825559681207562</v>
      </c>
      <c r="BK6" s="159">
        <f t="shared" si="35"/>
        <v>11.037235884875441</v>
      </c>
      <c r="BL6" s="159">
        <f t="shared" si="36"/>
        <v>0.65227311900860707</v>
      </c>
      <c r="BM6" s="159">
        <f t="shared" si="37"/>
        <v>2.7006684888759485</v>
      </c>
      <c r="BN6" s="159">
        <f t="shared" si="38"/>
        <v>1.0202525402420251</v>
      </c>
      <c r="BO6" s="159">
        <f t="shared" si="39"/>
        <v>4.8692377172620223</v>
      </c>
      <c r="BP6" s="159">
        <f t="shared" si="40"/>
        <v>16.241215981635946</v>
      </c>
      <c r="BQ6" s="159">
        <f t="shared" si="41"/>
        <v>1.6934013666569609</v>
      </c>
      <c r="BR6" s="159">
        <f t="shared" si="42"/>
        <v>4.2610547268931631</v>
      </c>
      <c r="BS6" s="159">
        <f t="shared" si="43"/>
        <v>3.6609061738096189</v>
      </c>
      <c r="BT6" s="159">
        <f t="shared" si="44"/>
        <v>7.2639447913253123</v>
      </c>
      <c r="BU6" s="159">
        <f t="shared" si="45"/>
        <v>13.993474920414174</v>
      </c>
      <c r="BV6" s="159">
        <f t="shared" si="46"/>
        <v>1.5177893730777203</v>
      </c>
      <c r="BW6" s="159">
        <f t="shared" si="47"/>
        <v>4.2610547268931631</v>
      </c>
      <c r="BX6" s="159">
        <f t="shared" si="48"/>
        <v>3.6609061738096189</v>
      </c>
      <c r="BY6" s="159">
        <f t="shared" si="49"/>
        <v>10.073734424892905</v>
      </c>
      <c r="BZ6" s="159">
        <f t="shared" si="50"/>
        <v>11.303843875244299</v>
      </c>
      <c r="CA6" s="159">
        <f t="shared" si="51"/>
        <v>1.8564696464091126</v>
      </c>
      <c r="CB6" s="159">
        <f t="shared" si="52"/>
        <v>6.481673813797971</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3.9911784567721496</v>
      </c>
    </row>
    <row r="7" spans="1:87" x14ac:dyDescent="0.25">
      <c r="A7" t="str">
        <f>PLANTILLA!D10</f>
        <v>B. Bartolache</v>
      </c>
      <c r="B7" t="s">
        <v>1018</v>
      </c>
      <c r="C7" s="666">
        <f>PLANTILLA!E10</f>
        <v>30</v>
      </c>
      <c r="D7" s="666">
        <f ca="1">PLANTILLA!F10</f>
        <v>92</v>
      </c>
      <c r="E7" s="666"/>
      <c r="F7" s="317">
        <v>41527</v>
      </c>
      <c r="G7" s="530">
        <v>1.5</v>
      </c>
      <c r="H7" s="531">
        <f>PLANTILLA!I10</f>
        <v>9.1999999999999993</v>
      </c>
      <c r="I7" s="371"/>
      <c r="J7" s="163">
        <f>PLANTILLA!V10</f>
        <v>0</v>
      </c>
      <c r="K7" s="163">
        <f>PLANTILLA!W10</f>
        <v>11.649999999999997</v>
      </c>
      <c r="L7" s="163">
        <f>PLANTILLA!X10</f>
        <v>6.6275000000000022</v>
      </c>
      <c r="M7" s="163">
        <f>PLANTILLA!Y10</f>
        <v>7.3600000000000012</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5.9652896566389151</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9.5418498380135972</v>
      </c>
      <c r="BG7" s="159">
        <f t="shared" si="31"/>
        <v>2.8450171551870378</v>
      </c>
      <c r="BH7" s="159">
        <f t="shared" si="32"/>
        <v>7.000999461683457</v>
      </c>
      <c r="BI7" s="159">
        <f t="shared" si="33"/>
        <v>3.8108533152256348</v>
      </c>
      <c r="BJ7" s="159">
        <f t="shared" si="34"/>
        <v>3.5861817162915424</v>
      </c>
      <c r="BK7" s="159">
        <f t="shared" si="35"/>
        <v>9.2004340814666872</v>
      </c>
      <c r="BL7" s="159">
        <f t="shared" si="36"/>
        <v>0.61386262269595826</v>
      </c>
      <c r="BM7" s="159">
        <f t="shared" si="37"/>
        <v>2.5983090785629326</v>
      </c>
      <c r="BN7" s="159">
        <f t="shared" si="38"/>
        <v>0.9815834296793301</v>
      </c>
      <c r="BO7" s="159">
        <f t="shared" si="39"/>
        <v>2.8708278831205258</v>
      </c>
      <c r="BP7" s="159">
        <f t="shared" si="40"/>
        <v>13.521294861288512</v>
      </c>
      <c r="BQ7" s="159">
        <f t="shared" si="41"/>
        <v>1.5936818089221996</v>
      </c>
      <c r="BR7" s="159">
        <f t="shared" si="42"/>
        <v>4.0995543239548491</v>
      </c>
      <c r="BS7" s="159">
        <f t="shared" si="43"/>
        <v>3.5221523064964195</v>
      </c>
      <c r="BT7" s="159">
        <f t="shared" si="44"/>
        <v>4.2827104485896372</v>
      </c>
      <c r="BU7" s="159">
        <f t="shared" si="45"/>
        <v>11.6457558835985</v>
      </c>
      <c r="BV7" s="159">
        <f t="shared" si="46"/>
        <v>1.4284111028117492</v>
      </c>
      <c r="BW7" s="159">
        <f t="shared" si="47"/>
        <v>4.0995543239548491</v>
      </c>
      <c r="BX7" s="159">
        <f t="shared" si="48"/>
        <v>3.5221523064964195</v>
      </c>
      <c r="BY7" s="159">
        <f t="shared" si="49"/>
        <v>5.9393193254067276</v>
      </c>
      <c r="BZ7" s="159">
        <f t="shared" si="50"/>
        <v>9.4002001406323608</v>
      </c>
      <c r="CA7" s="159">
        <f t="shared" si="51"/>
        <v>1.7471474645961891</v>
      </c>
      <c r="CB7" s="159">
        <f t="shared" si="52"/>
        <v>3.8214954772030612</v>
      </c>
      <c r="CC7" s="159">
        <f t="shared" si="53"/>
        <v>5.3525912773960451</v>
      </c>
      <c r="CD7" s="159">
        <f t="shared" si="54"/>
        <v>10.727286791454791</v>
      </c>
      <c r="CE7" s="159">
        <f t="shared" si="68"/>
        <v>5.3525912773960451</v>
      </c>
      <c r="CF7" s="159">
        <f t="shared" si="55"/>
        <v>5.7136864219150398</v>
      </c>
      <c r="CG7" s="159">
        <f t="shared" si="56"/>
        <v>11.761114047514749</v>
      </c>
      <c r="CH7" s="159">
        <f t="shared" si="69"/>
        <v>5.7136864219150398</v>
      </c>
      <c r="CI7" s="159">
        <f t="shared" si="70"/>
        <v>2.3531376091151852</v>
      </c>
    </row>
    <row r="8" spans="1:87" x14ac:dyDescent="0.25">
      <c r="A8" t="str">
        <f>PLANTILLA!D11</f>
        <v>F. Lasprilla</v>
      </c>
      <c r="B8" t="s">
        <v>1018</v>
      </c>
      <c r="C8" s="666">
        <f>PLANTILLA!E11</f>
        <v>27</v>
      </c>
      <c r="D8" s="666">
        <f ca="1">PLANTILLA!F11</f>
        <v>3</v>
      </c>
      <c r="E8" s="666"/>
      <c r="F8" s="317">
        <v>42106</v>
      </c>
      <c r="G8" s="530">
        <v>1.5</v>
      </c>
      <c r="H8" s="531">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66">
        <f>PLANTILLA!E7</f>
        <v>29</v>
      </c>
      <c r="D9" s="666">
        <f ca="1">PLANTILLA!F7</f>
        <v>108</v>
      </c>
      <c r="E9" s="666" t="str">
        <f>PLANTILLA!G7</f>
        <v>CAB</v>
      </c>
      <c r="F9" s="317">
        <v>41400</v>
      </c>
      <c r="G9" s="530">
        <v>1</v>
      </c>
      <c r="H9" s="531">
        <f>PLANTILLA!I7</f>
        <v>14</v>
      </c>
      <c r="I9" s="371"/>
      <c r="J9" s="163">
        <f>PLANTILLA!V7</f>
        <v>0</v>
      </c>
      <c r="K9" s="163">
        <f>PLANTILLA!W7</f>
        <v>14.200000000000003</v>
      </c>
      <c r="L9" s="163">
        <f>PLANTILLA!X7</f>
        <v>9.283333333333335</v>
      </c>
      <c r="M9" s="163">
        <f>PLANTILLA!Y7</f>
        <v>14.249999999999996</v>
      </c>
      <c r="N9" s="163">
        <f>PLANTILLA!Z7</f>
        <v>9.4199999999999982</v>
      </c>
      <c r="O9" s="163">
        <f>PLANTILLA!AA7</f>
        <v>1.1428571428571428</v>
      </c>
      <c r="P9" s="163">
        <f>PLANTILLA!AB7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11.150059820907009</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11.811504047570985</v>
      </c>
      <c r="AZ9" s="159">
        <f t="shared" si="25"/>
        <v>3.0228871907021251</v>
      </c>
      <c r="BA9" s="159">
        <f t="shared" si="26"/>
        <v>4.8452420635449451</v>
      </c>
      <c r="BB9" s="159">
        <f>AZ9/2</f>
        <v>1.5114435953510625</v>
      </c>
      <c r="BC9" s="159">
        <f t="shared" si="27"/>
        <v>4.8678976778431569</v>
      </c>
      <c r="BD9" s="159">
        <f t="shared" si="28"/>
        <v>5.8214034085547031</v>
      </c>
      <c r="BE9" s="159">
        <f t="shared" si="29"/>
        <v>10.405935065910038</v>
      </c>
      <c r="BF9" s="159">
        <f t="shared" si="30"/>
        <v>13.394343764957267</v>
      </c>
      <c r="BG9" s="159">
        <f t="shared" si="31"/>
        <v>2.8795091421312731</v>
      </c>
      <c r="BH9" s="159">
        <f t="shared" si="32"/>
        <v>8.1131627964052608</v>
      </c>
      <c r="BI9" s="159">
        <f t="shared" si="33"/>
        <v>4.4162370685587407</v>
      </c>
      <c r="BJ9" s="159">
        <f t="shared" si="34"/>
        <v>4.5001830421245455</v>
      </c>
      <c r="BK9" s="159">
        <f t="shared" si="35"/>
        <v>13.693291204243705</v>
      </c>
      <c r="BL9" s="159">
        <f t="shared" si="36"/>
        <v>0.62130487714035765</v>
      </c>
      <c r="BM9" s="159">
        <f t="shared" si="37"/>
        <v>3.0110707285627774</v>
      </c>
      <c r="BN9" s="159">
        <f t="shared" si="38"/>
        <v>1.1375156085681604</v>
      </c>
      <c r="BO9" s="159">
        <f t="shared" si="39"/>
        <v>3.6025087345091502</v>
      </c>
      <c r="BP9" s="159">
        <f t="shared" si="40"/>
        <v>20.195347538509612</v>
      </c>
      <c r="BQ9" s="159">
        <f t="shared" si="41"/>
        <v>1.6130030464220826</v>
      </c>
      <c r="BR9" s="159">
        <f t="shared" si="42"/>
        <v>4.7508004828434931</v>
      </c>
      <c r="BS9" s="159">
        <f t="shared" si="43"/>
        <v>4.0816736542739873</v>
      </c>
      <c r="BT9" s="159">
        <f t="shared" si="44"/>
        <v>5.3742343416447982</v>
      </c>
      <c r="BU9" s="159">
        <f t="shared" si="45"/>
        <v>17.411693151375314</v>
      </c>
      <c r="BV9" s="159">
        <f t="shared" si="46"/>
        <v>1.4457286564227554</v>
      </c>
      <c r="BW9" s="159">
        <f t="shared" si="47"/>
        <v>4.7508004828434931</v>
      </c>
      <c r="BX9" s="159">
        <f t="shared" si="48"/>
        <v>4.0816736542739873</v>
      </c>
      <c r="BY9" s="159">
        <f t="shared" si="49"/>
        <v>7.4530590540172916</v>
      </c>
      <c r="BZ9" s="159">
        <f t="shared" si="50"/>
        <v>14.084272789242693</v>
      </c>
      <c r="CA9" s="159">
        <f t="shared" si="51"/>
        <v>1.7683292657071719</v>
      </c>
      <c r="CB9" s="159">
        <f t="shared" si="52"/>
        <v>4.7954706433138199</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2.9528760118927462</v>
      </c>
    </row>
    <row r="10" spans="1:87" x14ac:dyDescent="0.25">
      <c r="A10" t="str">
        <f>PLANTILLA!D12</f>
        <v>E. Romweber</v>
      </c>
      <c r="B10" t="s">
        <v>1018</v>
      </c>
      <c r="C10" s="666">
        <f>PLANTILLA!E12</f>
        <v>30</v>
      </c>
      <c r="D10" s="666">
        <f ca="1">PLANTILLA!F12</f>
        <v>69</v>
      </c>
      <c r="E10" s="666" t="str">
        <f>PLANTILLA!G12</f>
        <v>IMP</v>
      </c>
      <c r="F10" s="317">
        <v>41583</v>
      </c>
      <c r="G10" s="530">
        <v>1.5</v>
      </c>
      <c r="H10" s="531">
        <f>PLANTILLA!I12</f>
        <v>12.2</v>
      </c>
      <c r="I10" s="371"/>
      <c r="J10" s="163">
        <f>PLANTILLA!V12</f>
        <v>0</v>
      </c>
      <c r="K10" s="163">
        <f>PLANTILLA!W12</f>
        <v>11.99</v>
      </c>
      <c r="L10" s="163">
        <f>PLANTILLA!X12</f>
        <v>12.399111111111115</v>
      </c>
      <c r="M10" s="163">
        <f>PLANTILLA!Y12</f>
        <v>13.05</v>
      </c>
      <c r="N10" s="163">
        <f>PLANTILLA!Z12</f>
        <v>10.91</v>
      </c>
      <c r="O10" s="163">
        <f>PLANTILLA!AA12</f>
        <v>7.7700000000000005</v>
      </c>
      <c r="P10" s="163">
        <f>PLANTILLA!AB12</f>
        <v>17.13</v>
      </c>
      <c r="Q10" s="163">
        <f t="shared" si="57"/>
        <v>4.6012500000000003</v>
      </c>
      <c r="R10" s="163">
        <f t="shared" si="58"/>
        <v>21.235840301054928</v>
      </c>
      <c r="S10" s="163">
        <f t="shared" si="59"/>
        <v>0.90239999999999987</v>
      </c>
      <c r="T10" s="163">
        <f t="shared" si="60"/>
        <v>0.99349999999999983</v>
      </c>
      <c r="U10" s="163">
        <f t="shared" ca="1" si="0"/>
        <v>19.578479774232996</v>
      </c>
      <c r="V10" s="159">
        <f t="shared" si="1"/>
        <v>5.8832628429054079</v>
      </c>
      <c r="W10" s="159">
        <f t="shared" si="2"/>
        <v>8.9022373885348003</v>
      </c>
      <c r="X10" s="159">
        <f t="shared" si="61"/>
        <v>5.8832628429054079</v>
      </c>
      <c r="Y10" s="159">
        <f t="shared" si="3"/>
        <v>7.7082555635042276</v>
      </c>
      <c r="Z10" s="159">
        <f t="shared" si="4"/>
        <v>14.938479774232999</v>
      </c>
      <c r="AA10" s="159">
        <f t="shared" si="62"/>
        <v>3.8541277817521138</v>
      </c>
      <c r="AB10" s="159">
        <f t="shared" si="5"/>
        <v>3.6527266307118982</v>
      </c>
      <c r="AC10" s="159">
        <f t="shared" si="6"/>
        <v>5.6467453546600739</v>
      </c>
      <c r="AD10" s="159">
        <f t="shared" si="7"/>
        <v>10.800520876770458</v>
      </c>
      <c r="AE10" s="159">
        <f t="shared" si="63"/>
        <v>2.8233726773300369</v>
      </c>
      <c r="AF10" s="159">
        <f t="shared" si="8"/>
        <v>5.9088224908574833</v>
      </c>
      <c r="AG10" s="387">
        <f t="shared" si="9"/>
        <v>13.743401392294359</v>
      </c>
      <c r="AH10" s="159">
        <f t="shared" si="10"/>
        <v>6.1845306265324611</v>
      </c>
      <c r="AI10" s="159">
        <f t="shared" si="11"/>
        <v>2.5630476778524667</v>
      </c>
      <c r="AJ10" s="387">
        <f t="shared" si="12"/>
        <v>9.4071061072490014</v>
      </c>
      <c r="AK10" s="159">
        <f t="shared" si="13"/>
        <v>11.263613749771681</v>
      </c>
      <c r="AL10" s="159">
        <f t="shared" si="14"/>
        <v>10.576443680156963</v>
      </c>
      <c r="AM10" s="159">
        <f t="shared" si="15"/>
        <v>3.3531061222969103</v>
      </c>
      <c r="AN10" s="159">
        <f t="shared" si="16"/>
        <v>2.1743221749791033</v>
      </c>
      <c r="AO10" s="159">
        <f t="shared" si="17"/>
        <v>4.0333895390429095</v>
      </c>
      <c r="AP10" s="159">
        <f t="shared" si="18"/>
        <v>8.8734569858944017</v>
      </c>
      <c r="AQ10" s="159">
        <f t="shared" si="64"/>
        <v>2.0166947695214548</v>
      </c>
      <c r="AR10" s="159">
        <f t="shared" si="19"/>
        <v>14.488125795764841</v>
      </c>
      <c r="AS10" s="159">
        <f t="shared" si="20"/>
        <v>1.8016023706502897</v>
      </c>
      <c r="AT10" s="159">
        <f t="shared" si="21"/>
        <v>3.5173145738502676</v>
      </c>
      <c r="AU10" s="159">
        <f t="shared" si="65"/>
        <v>0.90080118532514486</v>
      </c>
      <c r="AV10" s="159">
        <f t="shared" si="22"/>
        <v>2.8233726773300369</v>
      </c>
      <c r="AW10" s="159">
        <f t="shared" si="23"/>
        <v>5.9753919096932</v>
      </c>
      <c r="AX10" s="159">
        <f t="shared" si="66"/>
        <v>1.4116863386650185</v>
      </c>
      <c r="AY10" s="159">
        <f t="shared" si="24"/>
        <v>15.347590885344111</v>
      </c>
      <c r="AZ10" s="159">
        <f t="shared" si="25"/>
        <v>3.5061953828809482</v>
      </c>
      <c r="BA10" s="159">
        <f t="shared" si="26"/>
        <v>6.9766223556023821</v>
      </c>
      <c r="BB10" s="159">
        <f t="shared" si="67"/>
        <v>1.7530976914404741</v>
      </c>
      <c r="BC10" s="159">
        <f t="shared" si="27"/>
        <v>4.3470976143018021</v>
      </c>
      <c r="BD10" s="159">
        <f t="shared" si="28"/>
        <v>5.1985909614330827</v>
      </c>
      <c r="BE10" s="159">
        <f t="shared" si="29"/>
        <v>13.521227569988161</v>
      </c>
      <c r="BF10" s="159">
        <f t="shared" si="30"/>
        <v>13.548548519293133</v>
      </c>
      <c r="BG10" s="159">
        <f t="shared" si="31"/>
        <v>3.3398936255901521</v>
      </c>
      <c r="BH10" s="159">
        <f t="shared" si="32"/>
        <v>7.2451626905030038</v>
      </c>
      <c r="BI10" s="159">
        <f t="shared" si="33"/>
        <v>3.9437586603975117</v>
      </c>
      <c r="BJ10" s="159">
        <f t="shared" si="34"/>
        <v>5.8474321273161065</v>
      </c>
      <c r="BK10" s="159">
        <f t="shared" si="35"/>
        <v>13.552531322679641</v>
      </c>
      <c r="BL10" s="159">
        <f t="shared" si="36"/>
        <v>0.72064094826011582</v>
      </c>
      <c r="BM10" s="159">
        <f t="shared" si="37"/>
        <v>2.6889263593619397</v>
      </c>
      <c r="BN10" s="159">
        <f t="shared" si="38"/>
        <v>1.0158166246478439</v>
      </c>
      <c r="BO10" s="159">
        <f t="shared" si="39"/>
        <v>4.6810152200299537</v>
      </c>
      <c r="BP10" s="159">
        <f t="shared" si="40"/>
        <v>19.962004989663633</v>
      </c>
      <c r="BQ10" s="159">
        <f t="shared" si="41"/>
        <v>1.8708947695214546</v>
      </c>
      <c r="BR10" s="159">
        <f t="shared" si="42"/>
        <v>4.2425282558821715</v>
      </c>
      <c r="BS10" s="159">
        <f t="shared" si="43"/>
        <v>3.6449890649128518</v>
      </c>
      <c r="BT10" s="159">
        <f t="shared" si="44"/>
        <v>6.9831538528315704</v>
      </c>
      <c r="BU10" s="159">
        <f t="shared" si="45"/>
        <v>17.20415558985016</v>
      </c>
      <c r="BV10" s="159">
        <f t="shared" si="46"/>
        <v>1.6768760526821926</v>
      </c>
      <c r="BW10" s="159">
        <f t="shared" si="47"/>
        <v>4.2425282558821715</v>
      </c>
      <c r="BX10" s="159">
        <f t="shared" si="48"/>
        <v>3.6449890649128518</v>
      </c>
      <c r="BY10" s="159">
        <f t="shared" si="49"/>
        <v>9.6843298486521334</v>
      </c>
      <c r="BZ10" s="159">
        <f t="shared" si="50"/>
        <v>13.905619397938533</v>
      </c>
      <c r="CA10" s="159">
        <f t="shared" si="51"/>
        <v>2.0510550065864832</v>
      </c>
      <c r="CB10" s="159">
        <f t="shared" si="52"/>
        <v>6.2311218994497093</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3.8368977213360278</v>
      </c>
    </row>
    <row r="11" spans="1:87" x14ac:dyDescent="0.25">
      <c r="A11" t="str">
        <f>PLANTILLA!D13</f>
        <v>K. Helms</v>
      </c>
      <c r="B11" t="s">
        <v>1018</v>
      </c>
      <c r="C11" s="666">
        <f>PLANTILLA!E13</f>
        <v>30</v>
      </c>
      <c r="D11" s="666">
        <f ca="1">PLANTILLA!F13</f>
        <v>16</v>
      </c>
      <c r="E11" s="666" t="str">
        <f>PLANTILLA!G13</f>
        <v>TEC</v>
      </c>
      <c r="F11" s="317">
        <v>41722</v>
      </c>
      <c r="G11" s="530">
        <v>1.5</v>
      </c>
      <c r="H11" s="531">
        <f>PLANTILLA!I13</f>
        <v>10.199999999999999</v>
      </c>
      <c r="I11" s="371"/>
      <c r="J11" s="163">
        <f>PLANTILLA!V13</f>
        <v>0</v>
      </c>
      <c r="K11" s="163">
        <f>PLANTILLA!W13</f>
        <v>7.11</v>
      </c>
      <c r="L11" s="163">
        <f>PLANTILLA!X13</f>
        <v>10.250000000000004</v>
      </c>
      <c r="M11" s="163">
        <f>PLANTILLA!Y13</f>
        <v>13.305</v>
      </c>
      <c r="N11" s="163">
        <f>PLANTILLA!Z13</f>
        <v>10.359999999999998</v>
      </c>
      <c r="O11" s="163">
        <f>PLANTILLA!AA13</f>
        <v>5.4050000000000002</v>
      </c>
      <c r="P11" s="163">
        <f>PLANTILLA!AB13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3.1165624545057824</v>
      </c>
      <c r="AC11" s="159">
        <f t="shared" si="6"/>
        <v>3.7629144865680062</v>
      </c>
      <c r="AD11" s="159">
        <f t="shared" si="7"/>
        <v>7.1973205655784875</v>
      </c>
      <c r="AE11" s="159">
        <f t="shared" si="63"/>
        <v>1.8814572432840031</v>
      </c>
      <c r="AF11" s="159">
        <f t="shared" si="8"/>
        <v>5.0414980881711191</v>
      </c>
      <c r="AG11" s="387">
        <f t="shared" si="9"/>
        <v>9.1584162106946181</v>
      </c>
      <c r="AH11" s="159">
        <f t="shared" si="10"/>
        <v>4.1212872948125776</v>
      </c>
      <c r="AI11" s="159">
        <f t="shared" si="11"/>
        <v>2.1868316382456543</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12.361491416191003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13.094800229015894</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11.536519001763002</v>
      </c>
      <c r="BF11" s="159">
        <f t="shared" si="30"/>
        <v>13.429497403595125</v>
      </c>
      <c r="BG11" s="159">
        <f t="shared" si="31"/>
        <v>3.182356855192829</v>
      </c>
      <c r="BH11" s="159">
        <f t="shared" si="32"/>
        <v>4.8280781110727062</v>
      </c>
      <c r="BI11" s="159">
        <f t="shared" si="33"/>
        <v>2.6280672604601949</v>
      </c>
      <c r="BJ11" s="159">
        <f t="shared" si="34"/>
        <v>4.9891188872550556</v>
      </c>
      <c r="BK11" s="159">
        <f t="shared" si="35"/>
        <v>13.522980400159886</v>
      </c>
      <c r="BL11" s="159">
        <f t="shared" si="36"/>
        <v>0.68664961190882612</v>
      </c>
      <c r="BM11" s="159">
        <f t="shared" si="37"/>
        <v>1.7918640412228601</v>
      </c>
      <c r="BN11" s="159">
        <f t="shared" si="38"/>
        <v>0.67692641557308053</v>
      </c>
      <c r="BO11" s="159">
        <f t="shared" si="39"/>
        <v>3.9939140698498474</v>
      </c>
      <c r="BP11" s="159">
        <f t="shared" si="40"/>
        <v>19.926373094514432</v>
      </c>
      <c r="BQ11" s="159">
        <f t="shared" si="41"/>
        <v>1.7826480309171449</v>
      </c>
      <c r="BR11" s="159">
        <f t="shared" si="42"/>
        <v>2.8271632650405123</v>
      </c>
      <c r="BS11" s="159">
        <f t="shared" si="43"/>
        <v>2.4289712558798771</v>
      </c>
      <c r="BT11" s="159">
        <f t="shared" si="44"/>
        <v>5.958134104202232</v>
      </c>
      <c r="BU11" s="159">
        <f t="shared" si="45"/>
        <v>17.175398653749603</v>
      </c>
      <c r="BV11" s="159">
        <f t="shared" si="46"/>
        <v>1.5977808277109224</v>
      </c>
      <c r="BW11" s="159">
        <f t="shared" si="47"/>
        <v>2.8271632650405123</v>
      </c>
      <c r="BX11" s="159">
        <f t="shared" si="48"/>
        <v>2.4289712558798771</v>
      </c>
      <c r="BY11" s="159">
        <f t="shared" si="49"/>
        <v>8.2628189445090285</v>
      </c>
      <c r="BZ11" s="159">
        <f t="shared" si="50"/>
        <v>13.885686204969218</v>
      </c>
      <c r="CA11" s="159">
        <f t="shared" si="51"/>
        <v>1.9543104338943513</v>
      </c>
      <c r="CB11" s="159">
        <f t="shared" si="52"/>
        <v>5.3164888929804528</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3.2737000572539734</v>
      </c>
    </row>
    <row r="12" spans="1:87" x14ac:dyDescent="0.25">
      <c r="A12" t="str">
        <f>PLANTILLA!D14</f>
        <v>S. Zobbe</v>
      </c>
      <c r="B12" t="s">
        <v>1018</v>
      </c>
      <c r="C12" s="666">
        <f>PLANTILLA!E14</f>
        <v>27</v>
      </c>
      <c r="D12" s="666">
        <f ca="1">PLANTILLA!F14</f>
        <v>31</v>
      </c>
      <c r="E12" s="666" t="str">
        <f>PLANTILLA!G14</f>
        <v>CAB</v>
      </c>
      <c r="F12" s="317">
        <v>41911</v>
      </c>
      <c r="G12" s="530">
        <v>1.5</v>
      </c>
      <c r="H12" s="531">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1018</v>
      </c>
      <c r="C13" s="666">
        <f>PLANTILLA!E15</f>
        <v>29</v>
      </c>
      <c r="D13" s="666">
        <f ca="1">PLANTILLA!F15</f>
        <v>28</v>
      </c>
      <c r="E13" s="666" t="str">
        <f>PLANTILLA!G15</f>
        <v>TEC</v>
      </c>
      <c r="F13" s="317">
        <v>41747</v>
      </c>
      <c r="G13" s="530">
        <v>1.5</v>
      </c>
      <c r="H13" s="531">
        <f>PLANTILLA!I15</f>
        <v>10.4</v>
      </c>
      <c r="I13" s="371"/>
      <c r="J13" s="163">
        <f>PLANTILLA!V15</f>
        <v>0</v>
      </c>
      <c r="K13" s="163">
        <f>PLANTILLA!W15</f>
        <v>9.1936666666666653</v>
      </c>
      <c r="L13" s="163">
        <f>PLANTILLA!X15</f>
        <v>13.499999999999998</v>
      </c>
      <c r="M13" s="163">
        <f>PLANTILLA!Y15</f>
        <v>12.725000000000001</v>
      </c>
      <c r="N13" s="163">
        <f>PLANTILLA!Z15</f>
        <v>9.6733333333333356</v>
      </c>
      <c r="O13" s="163">
        <f>PLANTILLA!AA15</f>
        <v>5.0296666666666656</v>
      </c>
      <c r="P13" s="163">
        <f>PLANTILLA!AB15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3.8927385796708123</v>
      </c>
      <c r="AC13" s="159">
        <f t="shared" si="6"/>
        <v>4.5547908030065845</v>
      </c>
      <c r="AD13" s="159">
        <f t="shared" si="7"/>
        <v>8.7119411390840238</v>
      </c>
      <c r="AE13" s="159">
        <f t="shared" si="63"/>
        <v>2.2773954015032922</v>
      </c>
      <c r="AF13" s="159">
        <f t="shared" si="8"/>
        <v>6.2970771141733737</v>
      </c>
      <c r="AG13" s="387">
        <f t="shared" si="9"/>
        <v>11.085734229539836</v>
      </c>
      <c r="AH13" s="159">
        <f t="shared" si="10"/>
        <v>4.988580403292926</v>
      </c>
      <c r="AI13" s="159">
        <f t="shared" si="11"/>
        <v>2.7314594235505281</v>
      </c>
      <c r="AJ13" s="387">
        <f t="shared" si="12"/>
        <v>9.1616541380102436</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15.440105963064063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16.356044452398372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14.409675162562966</v>
      </c>
      <c r="BF13" s="159">
        <f t="shared" si="30"/>
        <v>12.890273518182155</v>
      </c>
      <c r="BG13" s="159">
        <f t="shared" si="31"/>
        <v>3.0195800463613418</v>
      </c>
      <c r="BH13" s="159">
        <f t="shared" si="32"/>
        <v>5.8441098927465438</v>
      </c>
      <c r="BI13" s="159">
        <f t="shared" si="33"/>
        <v>3.1811237354331703</v>
      </c>
      <c r="BJ13" s="159">
        <f t="shared" si="34"/>
        <v>6.2316529363637798</v>
      </c>
      <c r="BK13" s="159">
        <f t="shared" si="35"/>
        <v>13.004447851396181</v>
      </c>
      <c r="BL13" s="159">
        <f t="shared" si="36"/>
        <v>0.65152764485804882</v>
      </c>
      <c r="BM13" s="159">
        <f t="shared" si="37"/>
        <v>2.1689480014317071</v>
      </c>
      <c r="BN13" s="159">
        <f t="shared" si="38"/>
        <v>0.81938035609642268</v>
      </c>
      <c r="BO13" s="159">
        <f t="shared" si="39"/>
        <v>4.9885935579815035</v>
      </c>
      <c r="BP13" s="159">
        <f t="shared" si="40"/>
        <v>19.164446499117645</v>
      </c>
      <c r="BQ13" s="159">
        <f t="shared" si="41"/>
        <v>1.6914660010737808</v>
      </c>
      <c r="BR13" s="159">
        <f t="shared" si="42"/>
        <v>3.4221179578144709</v>
      </c>
      <c r="BS13" s="159">
        <f t="shared" si="43"/>
        <v>2.9401295130518696</v>
      </c>
      <c r="BT13" s="159">
        <f t="shared" si="44"/>
        <v>7.4420002258412596</v>
      </c>
      <c r="BU13" s="159">
        <f t="shared" si="45"/>
        <v>16.519190586590732</v>
      </c>
      <c r="BV13" s="159">
        <f t="shared" si="46"/>
        <v>1.5160547120735368</v>
      </c>
      <c r="BW13" s="159">
        <f t="shared" si="47"/>
        <v>3.4221179578144709</v>
      </c>
      <c r="BX13" s="159">
        <f t="shared" si="48"/>
        <v>2.9401295130518696</v>
      </c>
      <c r="BY13" s="159">
        <f t="shared" si="49"/>
        <v>10.320664049463373</v>
      </c>
      <c r="BZ13" s="159">
        <f t="shared" si="50"/>
        <v>13.35606311822988</v>
      </c>
      <c r="CA13" s="159">
        <f t="shared" si="51"/>
        <v>1.8543479122882929</v>
      </c>
      <c r="CB13" s="159">
        <f t="shared" si="52"/>
        <v>6.6405540476737395</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4.089011113099593</v>
      </c>
    </row>
    <row r="14" spans="1:87" x14ac:dyDescent="0.25">
      <c r="A14" t="str">
        <f>PLANTILLA!D16</f>
        <v>C. Rojas</v>
      </c>
      <c r="B14" t="s">
        <v>1018</v>
      </c>
      <c r="C14" s="666">
        <f>PLANTILLA!E16</f>
        <v>31</v>
      </c>
      <c r="D14" s="666">
        <f ca="1">PLANTILLA!F16</f>
        <v>62</v>
      </c>
      <c r="E14" s="666" t="str">
        <f>PLANTILLA!G16</f>
        <v>TEC</v>
      </c>
      <c r="F14" s="317">
        <v>41653</v>
      </c>
      <c r="G14" s="530">
        <v>1.5</v>
      </c>
      <c r="H14" s="531">
        <f>PLANTILLA!I16</f>
        <v>11</v>
      </c>
      <c r="I14" s="371"/>
      <c r="J14" s="163">
        <f>PLANTILLA!V16</f>
        <v>0</v>
      </c>
      <c r="K14" s="163">
        <f>PLANTILLA!W16</f>
        <v>8.6075555555555585</v>
      </c>
      <c r="L14" s="163">
        <f>PLANTILLA!X16</f>
        <v>14.09516031746031</v>
      </c>
      <c r="M14" s="163">
        <f>PLANTILLA!Y16</f>
        <v>9.99</v>
      </c>
      <c r="N14" s="163">
        <f>PLANTILLA!Z16</f>
        <v>10.09</v>
      </c>
      <c r="O14" s="163">
        <f>PLANTILLA!AA16</f>
        <v>4.3999999999999995</v>
      </c>
      <c r="P14" s="163">
        <f>PLANTILLA!AB16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4.0421167676457639</v>
      </c>
      <c r="AC14" s="159">
        <f t="shared" si="6"/>
        <v>4.3455179133197461</v>
      </c>
      <c r="AD14" s="159">
        <f t="shared" si="7"/>
        <v>8.3116652151591968</v>
      </c>
      <c r="AE14" s="159">
        <f t="shared" si="63"/>
        <v>2.1727589566598731</v>
      </c>
      <c r="AF14" s="159">
        <f t="shared" si="8"/>
        <v>6.5387183006034419</v>
      </c>
      <c r="AG14" s="387">
        <f t="shared" si="9"/>
        <v>10.576392804905204</v>
      </c>
      <c r="AH14" s="159">
        <f t="shared" si="10"/>
        <v>4.7593767622073413</v>
      </c>
      <c r="AI14" s="159">
        <f t="shared" si="11"/>
        <v>2.8362752109111034</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16.032597599401683</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16.983683897671277</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14.962625513848396</v>
      </c>
      <c r="BF14" s="159">
        <f t="shared" si="30"/>
        <v>11.480507462807548</v>
      </c>
      <c r="BG14" s="159">
        <f t="shared" si="31"/>
        <v>3.1278241828308428</v>
      </c>
      <c r="BH14" s="159">
        <f t="shared" si="32"/>
        <v>5.5755983808467642</v>
      </c>
      <c r="BI14" s="159">
        <f t="shared" si="33"/>
        <v>3.0349648918423626</v>
      </c>
      <c r="BJ14" s="159">
        <f t="shared" si="34"/>
        <v>6.4707835650127565</v>
      </c>
      <c r="BK14" s="159">
        <f t="shared" si="35"/>
        <v>11.275929609104386</v>
      </c>
      <c r="BL14" s="159">
        <f t="shared" si="36"/>
        <v>0.67488322617097019</v>
      </c>
      <c r="BM14" s="159">
        <f t="shared" si="37"/>
        <v>2.0692942444379745</v>
      </c>
      <c r="BN14" s="159">
        <f t="shared" si="38"/>
        <v>0.78173338123212377</v>
      </c>
      <c r="BO14" s="159">
        <f t="shared" si="39"/>
        <v>5.180023588789739</v>
      </c>
      <c r="BP14" s="159">
        <f t="shared" si="40"/>
        <v>16.590381324151302</v>
      </c>
      <c r="BQ14" s="159">
        <f t="shared" si="41"/>
        <v>1.7521006833284807</v>
      </c>
      <c r="BR14" s="159">
        <f t="shared" si="42"/>
        <v>3.2648864745576929</v>
      </c>
      <c r="BS14" s="159">
        <f t="shared" si="43"/>
        <v>2.8050433091270319</v>
      </c>
      <c r="BT14" s="159">
        <f t="shared" si="44"/>
        <v>7.7275761734404309</v>
      </c>
      <c r="BU14" s="159">
        <f t="shared" si="45"/>
        <v>14.293804126873752</v>
      </c>
      <c r="BV14" s="159">
        <f t="shared" si="46"/>
        <v>1.570401353205527</v>
      </c>
      <c r="BW14" s="159">
        <f t="shared" si="47"/>
        <v>3.2648864745576929</v>
      </c>
      <c r="BX14" s="159">
        <f t="shared" si="48"/>
        <v>2.8050433091270319</v>
      </c>
      <c r="BY14" s="159">
        <f t="shared" si="49"/>
        <v>10.716704539430577</v>
      </c>
      <c r="BZ14" s="159">
        <f t="shared" si="50"/>
        <v>11.545578604288814</v>
      </c>
      <c r="CA14" s="159">
        <f t="shared" si="51"/>
        <v>1.920821489871223</v>
      </c>
      <c r="CB14" s="159">
        <f t="shared" si="52"/>
        <v>6.8953756624545388</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4.2459209744178192</v>
      </c>
    </row>
    <row r="15" spans="1:87" x14ac:dyDescent="0.25">
      <c r="A15" t="str">
        <f>PLANTILLA!D17</f>
        <v>E. Gross</v>
      </c>
      <c r="B15" t="s">
        <v>1018</v>
      </c>
      <c r="C15" s="666">
        <f>PLANTILLA!E17</f>
        <v>30</v>
      </c>
      <c r="D15" s="666">
        <f ca="1">PLANTILLA!F17</f>
        <v>56</v>
      </c>
      <c r="E15" s="666"/>
      <c r="F15" s="317">
        <v>41552</v>
      </c>
      <c r="G15" s="530">
        <v>1.5</v>
      </c>
      <c r="H15" s="531">
        <f>PLANTILLA!I17</f>
        <v>9</v>
      </c>
      <c r="I15" s="371"/>
      <c r="J15" s="163">
        <f>PLANTILLA!V17</f>
        <v>0</v>
      </c>
      <c r="K15" s="163">
        <f>PLANTILLA!W17</f>
        <v>10.349999999999996</v>
      </c>
      <c r="L15" s="163">
        <f>PLANTILLA!X17</f>
        <v>12.749777777777778</v>
      </c>
      <c r="M15" s="163">
        <f>PLANTILLA!Y17</f>
        <v>5.1199999999999983</v>
      </c>
      <c r="N15" s="163">
        <f>PLANTILLA!Z17</f>
        <v>9.24</v>
      </c>
      <c r="O15" s="163">
        <f>PLANTILLA!AA17</f>
        <v>2.98</v>
      </c>
      <c r="P15" s="163">
        <f>PLANTILLA!AB17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3.6942600674398567</v>
      </c>
      <c r="AC15" s="159">
        <f t="shared" si="6"/>
        <v>4.9602382247574184</v>
      </c>
      <c r="AD15" s="159">
        <f t="shared" si="7"/>
        <v>9.4874397790995051</v>
      </c>
      <c r="AE15" s="159">
        <f t="shared" si="63"/>
        <v>2.4801191123787092</v>
      </c>
      <c r="AF15" s="159">
        <f t="shared" si="8"/>
        <v>5.9760089326232979</v>
      </c>
      <c r="AG15" s="387">
        <f t="shared" si="9"/>
        <v>12.072537478245568</v>
      </c>
      <c r="AH15" s="159">
        <f t="shared" si="10"/>
        <v>5.4326418652105053</v>
      </c>
      <c r="AI15" s="159">
        <f t="shared" si="11"/>
        <v>2.5921908876573787</v>
      </c>
      <c r="AJ15" s="387">
        <f t="shared" si="12"/>
        <v>4.6406861274004294</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14.652863460769852</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15.522101123696878</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13.67497108997695</v>
      </c>
      <c r="BF15" s="159">
        <f t="shared" si="30"/>
        <v>8.3140754545220776</v>
      </c>
      <c r="BG15" s="159">
        <f t="shared" si="31"/>
        <v>2.8949699263665032</v>
      </c>
      <c r="BH15" s="159">
        <f t="shared" si="32"/>
        <v>6.364326822770761</v>
      </c>
      <c r="BI15" s="159">
        <f t="shared" si="33"/>
        <v>3.4642933633226414</v>
      </c>
      <c r="BJ15" s="159">
        <f t="shared" si="34"/>
        <v>5.9139205281285108</v>
      </c>
      <c r="BK15" s="159">
        <f t="shared" si="35"/>
        <v>7.7260106043332932</v>
      </c>
      <c r="BL15" s="159">
        <f t="shared" si="36"/>
        <v>0.62464081398779314</v>
      </c>
      <c r="BM15" s="159">
        <f t="shared" si="37"/>
        <v>2.3620182022654372</v>
      </c>
      <c r="BN15" s="159">
        <f t="shared" si="38"/>
        <v>0.89231798752249858</v>
      </c>
      <c r="BO15" s="159">
        <f t="shared" si="39"/>
        <v>4.734240842727548</v>
      </c>
      <c r="BP15" s="159">
        <f t="shared" si="40"/>
        <v>11.327847822851961</v>
      </c>
      <c r="BQ15" s="159">
        <f t="shared" si="41"/>
        <v>1.6216636516990786</v>
      </c>
      <c r="BR15" s="159">
        <f t="shared" si="42"/>
        <v>3.7267398302410228</v>
      </c>
      <c r="BS15" s="159">
        <f t="shared" si="43"/>
        <v>3.2018468964042595</v>
      </c>
      <c r="BT15" s="159">
        <f t="shared" si="44"/>
        <v>7.06255601128208</v>
      </c>
      <c r="BU15" s="159">
        <f t="shared" si="45"/>
        <v>9.7499742672783611</v>
      </c>
      <c r="BV15" s="159">
        <f t="shared" si="46"/>
        <v>1.453491124856211</v>
      </c>
      <c r="BW15" s="159">
        <f t="shared" si="47"/>
        <v>3.7267398302410228</v>
      </c>
      <c r="BX15" s="159">
        <f t="shared" si="48"/>
        <v>3.2018468964042595</v>
      </c>
      <c r="BY15" s="159">
        <f t="shared" si="49"/>
        <v>9.7944458090527302</v>
      </c>
      <c r="BZ15" s="159">
        <f t="shared" si="50"/>
        <v>7.8587893945975926</v>
      </c>
      <c r="CA15" s="159">
        <f t="shared" si="51"/>
        <v>1.7778238551960266</v>
      </c>
      <c r="CB15" s="159">
        <f t="shared" si="52"/>
        <v>6.3019730562209331</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3.8805252809242194</v>
      </c>
    </row>
    <row r="16" spans="1:87" x14ac:dyDescent="0.25">
      <c r="A16" t="str">
        <f>PLANTILLA!D18</f>
        <v>L. Bauman</v>
      </c>
      <c r="B16" t="s">
        <v>1018</v>
      </c>
      <c r="C16" s="666">
        <f>PLANTILLA!E18</f>
        <v>30</v>
      </c>
      <c r="D16" s="666">
        <f ca="1">PLANTILLA!F18</f>
        <v>31</v>
      </c>
      <c r="E16" s="666"/>
      <c r="F16" s="317">
        <v>41686</v>
      </c>
      <c r="G16" s="530">
        <v>1.5</v>
      </c>
      <c r="H16" s="531">
        <f>PLANTILLA!I18</f>
        <v>8</v>
      </c>
      <c r="I16" s="371"/>
      <c r="J16" s="163">
        <f>PLANTILLA!V18</f>
        <v>0</v>
      </c>
      <c r="K16" s="163">
        <f>PLANTILLA!W18</f>
        <v>5.2811111111111115</v>
      </c>
      <c r="L16" s="163">
        <f>PLANTILLA!X18</f>
        <v>14.193842857142847</v>
      </c>
      <c r="M16" s="163">
        <f>PLANTILLA!Y18</f>
        <v>3.4924999999999993</v>
      </c>
      <c r="N16" s="163">
        <f>PLANTILLA!Z18</f>
        <v>9.1400000000000041</v>
      </c>
      <c r="O16" s="163">
        <f>PLANTILLA!AA18</f>
        <v>7.4318888888888894</v>
      </c>
      <c r="P16" s="163">
        <f>PLANTILLA!AB18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4.0217151558721076</v>
      </c>
      <c r="AC16" s="159">
        <f t="shared" si="6"/>
        <v>3.0184173534439398</v>
      </c>
      <c r="AD16" s="159">
        <f t="shared" si="7"/>
        <v>5.7733220807935668</v>
      </c>
      <c r="AE16" s="159">
        <f t="shared" si="63"/>
        <v>1.5092086767219699</v>
      </c>
      <c r="AF16" s="159">
        <f t="shared" si="8"/>
        <v>6.5057156933225277</v>
      </c>
      <c r="AG16" s="387">
        <f t="shared" si="9"/>
        <v>7.3464126062656741</v>
      </c>
      <c r="AH16" s="159">
        <f t="shared" si="10"/>
        <v>3.3058856728195529</v>
      </c>
      <c r="AI16" s="159">
        <f t="shared" si="11"/>
        <v>2.821959794246395</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15.951676920770041</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16.897962839798772</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14.887105261862718</v>
      </c>
      <c r="BF16" s="159">
        <f t="shared" si="30"/>
        <v>7.2877576645811182</v>
      </c>
      <c r="BG16" s="159">
        <f t="shared" si="31"/>
        <v>2.854432915820079</v>
      </c>
      <c r="BH16" s="159">
        <f t="shared" si="32"/>
        <v>3.8728370804770127</v>
      </c>
      <c r="BI16" s="159">
        <f t="shared" si="33"/>
        <v>2.1081010087544976</v>
      </c>
      <c r="BJ16" s="159">
        <f t="shared" si="34"/>
        <v>6.438123841963332</v>
      </c>
      <c r="BK16" s="159">
        <f t="shared" si="35"/>
        <v>6.550993364841279</v>
      </c>
      <c r="BL16" s="159">
        <f t="shared" si="36"/>
        <v>0.61589423909810825</v>
      </c>
      <c r="BM16" s="159">
        <f t="shared" si="37"/>
        <v>1.4373415968780665</v>
      </c>
      <c r="BN16" s="159">
        <f t="shared" si="38"/>
        <v>0.54299571437615857</v>
      </c>
      <c r="BO16" s="159">
        <f t="shared" si="39"/>
        <v>5.1538786661386258</v>
      </c>
      <c r="BP16" s="159">
        <f t="shared" si="40"/>
        <v>9.5840382976955212</v>
      </c>
      <c r="BQ16" s="159">
        <f t="shared" si="41"/>
        <v>1.5989561976585505</v>
      </c>
      <c r="BR16" s="159">
        <f t="shared" si="42"/>
        <v>2.2678056306298382</v>
      </c>
      <c r="BS16" s="159">
        <f t="shared" si="43"/>
        <v>1.9483963868791569</v>
      </c>
      <c r="BT16" s="159">
        <f t="shared" si="44"/>
        <v>7.6885730921084416</v>
      </c>
      <c r="BU16" s="159">
        <f t="shared" si="45"/>
        <v>8.2438449407827648</v>
      </c>
      <c r="BV16" s="159">
        <f t="shared" si="46"/>
        <v>1.4331385179013674</v>
      </c>
      <c r="BW16" s="159">
        <f t="shared" si="47"/>
        <v>2.2678056306298382</v>
      </c>
      <c r="BX16" s="159">
        <f t="shared" si="48"/>
        <v>1.9483963868791569</v>
      </c>
      <c r="BY16" s="159">
        <f t="shared" si="49"/>
        <v>10.662614551913025</v>
      </c>
      <c r="BZ16" s="159">
        <f t="shared" si="50"/>
        <v>6.6359423844770529</v>
      </c>
      <c r="CA16" s="159">
        <f t="shared" si="51"/>
        <v>1.7529297574330773</v>
      </c>
      <c r="CB16" s="159">
        <f t="shared" si="52"/>
        <v>6.8605729129583022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4.2244907099496931</v>
      </c>
    </row>
    <row r="17" spans="1:87" x14ac:dyDescent="0.25">
      <c r="A17" t="str">
        <f>PLANTILLA!D19</f>
        <v>W. Gelifini</v>
      </c>
      <c r="B17" t="s">
        <v>1018</v>
      </c>
      <c r="C17" s="666">
        <f>PLANTILLA!E19</f>
        <v>28</v>
      </c>
      <c r="D17" s="666">
        <f ca="1">PLANTILLA!F19</f>
        <v>93</v>
      </c>
      <c r="E17" s="666"/>
      <c r="F17" s="317">
        <v>41737</v>
      </c>
      <c r="G17" s="530">
        <v>1.5</v>
      </c>
      <c r="H17" s="531">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x14ac:dyDescent="0.25">
      <c r="A18" t="str">
        <f>PLANTILLA!D20</f>
        <v>M. Amico</v>
      </c>
      <c r="B18" t="s">
        <v>1018</v>
      </c>
      <c r="C18" s="666">
        <f>PLANTILLA!E20</f>
        <v>28</v>
      </c>
      <c r="D18" s="666">
        <f ca="1">PLANTILLA!F20</f>
        <v>100</v>
      </c>
      <c r="E18" s="666" t="str">
        <f>PLANTILLA!G20</f>
        <v>IMP</v>
      </c>
      <c r="F18" s="317">
        <v>41730</v>
      </c>
      <c r="G18" s="530">
        <v>1.5</v>
      </c>
      <c r="H18" s="531">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G. Kerschl</v>
      </c>
      <c r="B19" t="s">
        <v>1018</v>
      </c>
      <c r="C19" s="703">
        <f>PLANTILLA!E21</f>
        <v>28</v>
      </c>
      <c r="D19" s="703">
        <f ca="1">PLANTILLA!F21</f>
        <v>58</v>
      </c>
      <c r="E19" s="703" t="str">
        <f>PLANTILLA!G21</f>
        <v>CAB</v>
      </c>
      <c r="F19" s="317">
        <v>43060</v>
      </c>
      <c r="G19" s="530">
        <v>2.5</v>
      </c>
      <c r="H19" s="531">
        <f>PLANTILLA!I21</f>
        <v>8.6</v>
      </c>
      <c r="I19" s="371"/>
      <c r="J19" s="163">
        <f>PLANTILLA!V21</f>
        <v>0</v>
      </c>
      <c r="K19" s="163">
        <f>PLANTILLA!W21</f>
        <v>2</v>
      </c>
      <c r="L19" s="163">
        <f>PLANTILLA!X21</f>
        <v>14.5</v>
      </c>
      <c r="M19" s="163">
        <f>PLANTILLA!Y21</f>
        <v>12</v>
      </c>
      <c r="N19" s="163">
        <f>PLANTILLA!Z21</f>
        <v>12</v>
      </c>
      <c r="O19" s="163">
        <f>PLANTILLA!AA21</f>
        <v>8</v>
      </c>
      <c r="P19" s="163">
        <f>PLANTILLA!AB21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3.3231496099724698</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9.2586467857749568</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13.998192164207374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13.762002195182506</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20.249353344398969</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17.446565711970496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14.092668151817325</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7.6956649241305319</v>
      </c>
      <c r="CD19" s="159">
        <f t="shared" ref="CD19" si="136">((N19+G19+(LOG(H19)*4/3))*0.543)+((O19+G19+(LOG(H19)*4/3))*0.583)</f>
        <v>15.397993674800343</v>
      </c>
      <c r="CE19" s="159">
        <f t="shared" ref="CE19" si="137">CC19</f>
        <v>7.6956649241305319</v>
      </c>
      <c r="CF19" s="159">
        <f t="shared" ref="CF19" si="138">((O19+1+(LOG(H19)*4/3))*0.26)+((M19+G19+(LOG(H19)*4/3))*0.221)+((N19+G19+(LOG(H19)*4/3))*0.142)</f>
        <v>8.3797567134996562</v>
      </c>
      <c r="CG19" s="159">
        <f t="shared" ref="CG19" si="139">((O19+G19+(LOG(H19)*4/3))*1)+((N19+G19+(LOG(H19)*4/3))*0.369)</f>
        <v>17.55627117300326</v>
      </c>
      <c r="CH19" s="159">
        <f t="shared" ref="CH19" si="140">CF19</f>
        <v>8.3797567134996562</v>
      </c>
      <c r="CI19" s="159">
        <f t="shared" ref="CI19" si="141">((L19+G19+(LOG(H19)*4/3))*0.25)</f>
        <v>4.5614994837478555</v>
      </c>
    </row>
    <row r="20" spans="1:87" x14ac:dyDescent="0.25">
      <c r="A20" t="str">
        <f>PLANTILLA!D22</f>
        <v>J. Limon</v>
      </c>
      <c r="B20" t="s">
        <v>1018</v>
      </c>
      <c r="C20" s="666">
        <f>PLANTILLA!E22</f>
        <v>29</v>
      </c>
      <c r="D20" s="666">
        <f ca="1">PLANTILLA!F22</f>
        <v>68</v>
      </c>
      <c r="E20" s="666" t="str">
        <f>PLANTILLA!G22</f>
        <v>RAP</v>
      </c>
      <c r="F20" s="317">
        <v>41664</v>
      </c>
      <c r="G20" s="530">
        <v>1.5</v>
      </c>
      <c r="H20" s="531">
        <f>PLANTILLA!I22</f>
        <v>10</v>
      </c>
      <c r="I20" s="371"/>
      <c r="J20" s="163">
        <f>PLANTILLA!V22</f>
        <v>0</v>
      </c>
      <c r="K20" s="163">
        <f>PLANTILLA!W22</f>
        <v>6.8176190476190497</v>
      </c>
      <c r="L20" s="163">
        <f>PLANTILLA!X22</f>
        <v>8.3125</v>
      </c>
      <c r="M20" s="163">
        <f>PLANTILLA!Y22</f>
        <v>8.7199999999999971</v>
      </c>
      <c r="N20" s="163">
        <f>PLANTILLA!Z22</f>
        <v>9.6900000000000013</v>
      </c>
      <c r="O20" s="163">
        <f>PLANTILLA!AA22</f>
        <v>8.5625000000000018</v>
      </c>
      <c r="P20" s="163">
        <f>PLANTILLA!AB22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2.6527083333333334</v>
      </c>
      <c r="AC20" s="159">
        <f t="shared" si="6"/>
        <v>3.6480600000000014</v>
      </c>
      <c r="AD20" s="159">
        <f t="shared" si="7"/>
        <v>6.9776385714285736</v>
      </c>
      <c r="AE20" s="159">
        <f t="shared" si="63"/>
        <v>1.8240300000000007</v>
      </c>
      <c r="AF20" s="159">
        <f t="shared" si="8"/>
        <v>4.2911458333333341</v>
      </c>
      <c r="AG20" s="387">
        <f t="shared" si="9"/>
        <v>8.8788761904761948</v>
      </c>
      <c r="AH20" s="159">
        <f t="shared" si="10"/>
        <v>3.9954942857142868</v>
      </c>
      <c r="AI20" s="159">
        <f t="shared" si="11"/>
        <v>1.8613541666666669</v>
      </c>
      <c r="AJ20" s="387">
        <f t="shared" si="12"/>
        <v>6.7933599999999981</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10.521666666666667</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11.145833333333334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9.8194791666666674</v>
      </c>
      <c r="BF20" s="387">
        <f t="shared" si="30"/>
        <v>10.576463333333333</v>
      </c>
      <c r="BG20" s="387">
        <f t="shared" si="31"/>
        <v>3.0181233333333335</v>
      </c>
      <c r="BH20" s="387">
        <f t="shared" si="32"/>
        <v>4.6807119047619068</v>
      </c>
      <c r="BI20" s="387">
        <f t="shared" si="33"/>
        <v>2.5478514285714295</v>
      </c>
      <c r="BJ20" s="387">
        <f t="shared" si="34"/>
        <v>4.2465625000000005</v>
      </c>
      <c r="BK20" s="387">
        <f t="shared" si="35"/>
        <v>10.292583333333333</v>
      </c>
      <c r="BL20" s="387">
        <f t="shared" si="36"/>
        <v>0.65121333333333342</v>
      </c>
      <c r="BM20" s="387">
        <f t="shared" si="37"/>
        <v>1.7371714285714293</v>
      </c>
      <c r="BN20" s="387">
        <f t="shared" si="38"/>
        <v>0.65626476190476224</v>
      </c>
      <c r="BO20" s="387">
        <f t="shared" si="39"/>
        <v>3.3994791666666666</v>
      </c>
      <c r="BP20" s="387">
        <f t="shared" si="40"/>
        <v>15.135006666666666</v>
      </c>
      <c r="BQ20" s="387">
        <f t="shared" si="41"/>
        <v>1.6906500000000004</v>
      </c>
      <c r="BR20" s="387">
        <f t="shared" si="42"/>
        <v>2.740870476190477</v>
      </c>
      <c r="BS20" s="387">
        <f t="shared" si="43"/>
        <v>2.3548323809523817</v>
      </c>
      <c r="BT20" s="387">
        <f t="shared" si="44"/>
        <v>5.0713541666666675</v>
      </c>
      <c r="BU20" s="387">
        <f t="shared" si="45"/>
        <v>13.037773333333332</v>
      </c>
      <c r="BV20" s="387">
        <f t="shared" si="46"/>
        <v>1.5153233333333336</v>
      </c>
      <c r="BW20" s="387">
        <f t="shared" si="47"/>
        <v>2.740870476190477</v>
      </c>
      <c r="BX20" s="387">
        <f t="shared" si="48"/>
        <v>2.3548323809523817</v>
      </c>
      <c r="BY20" s="387">
        <f t="shared" si="49"/>
        <v>7.0330208333333335</v>
      </c>
      <c r="BZ20" s="387">
        <f t="shared" si="50"/>
        <v>10.527443333333332</v>
      </c>
      <c r="CA20" s="387">
        <f t="shared" si="51"/>
        <v>1.8534533333333336</v>
      </c>
      <c r="CB20" s="387">
        <f t="shared" si="52"/>
        <v>4.5252083333333335</v>
      </c>
      <c r="CC20" s="387">
        <f t="shared" si="53"/>
        <v>6.2417841666666671</v>
      </c>
      <c r="CD20" s="387">
        <f t="shared" si="54"/>
        <v>13.443940833333336</v>
      </c>
      <c r="CE20" s="387">
        <f t="shared" si="68"/>
        <v>6.2417841666666671</v>
      </c>
      <c r="CF20" s="387">
        <f t="shared" si="55"/>
        <v>7.1645166666666666</v>
      </c>
      <c r="CG20" s="387">
        <f t="shared" si="56"/>
        <v>16.016943333333337</v>
      </c>
      <c r="CH20" s="387">
        <f t="shared" si="69"/>
        <v>7.1645166666666666</v>
      </c>
      <c r="CI20" s="387">
        <f t="shared" si="70"/>
        <v>2.7864583333333335</v>
      </c>
    </row>
    <row r="21" spans="1:87" x14ac:dyDescent="0.25">
      <c r="A21" t="str">
        <f>PLANTILLA!D23</f>
        <v>L. Calosso</v>
      </c>
      <c r="C21" s="666">
        <f>PLANTILLA!E23</f>
        <v>30</v>
      </c>
      <c r="D21" s="666">
        <f ca="1">PLANTILLA!F23</f>
        <v>25</v>
      </c>
      <c r="E21" s="666" t="str">
        <f>PLANTILLA!G23</f>
        <v>TEC</v>
      </c>
      <c r="F21" s="317">
        <v>41890</v>
      </c>
      <c r="G21" s="530">
        <v>1</v>
      </c>
      <c r="H21" s="531">
        <f>PLANTILLA!I23</f>
        <v>10.1</v>
      </c>
      <c r="I21" s="371"/>
      <c r="J21" s="163">
        <f>PLANTILLA!V23</f>
        <v>0</v>
      </c>
      <c r="K21" s="163">
        <f>PLANTILLA!W23</f>
        <v>2</v>
      </c>
      <c r="L21" s="163">
        <f>PLANTILLA!X23</f>
        <v>14.0938</v>
      </c>
      <c r="M21" s="163">
        <f>PLANTILLA!Y23</f>
        <v>3</v>
      </c>
      <c r="N21" s="163">
        <f>PLANTILLA!Z23</f>
        <v>15.02</v>
      </c>
      <c r="O21" s="163">
        <f>PLANTILLA!AA23</f>
        <v>10</v>
      </c>
      <c r="P21" s="163">
        <f>PLANTILLA!AB23</f>
        <v>9.3000000000000007</v>
      </c>
      <c r="Q21" s="163">
        <f t="shared" si="57"/>
        <v>4.38</v>
      </c>
      <c r="R21" s="163">
        <f t="shared" si="58"/>
        <v>19.284400314746186</v>
      </c>
      <c r="S21" s="163">
        <f t="shared" si="59"/>
        <v>0.77900000000000003</v>
      </c>
      <c r="T21" s="163">
        <f t="shared" si="60"/>
        <v>0.35899999999999999</v>
      </c>
      <c r="U21" s="163">
        <f t="shared" ca="1" si="0"/>
        <v>11.639095165043525</v>
      </c>
      <c r="V21" s="159">
        <f t="shared" si="1"/>
        <v>2.5940300790829958</v>
      </c>
      <c r="W21" s="159">
        <f t="shared" si="2"/>
        <v>3.8697718580711884</v>
      </c>
      <c r="X21" s="159">
        <f t="shared" si="61"/>
        <v>2.5940300790829958</v>
      </c>
      <c r="Y21" s="159">
        <f t="shared" si="3"/>
        <v>2.238973105162458</v>
      </c>
      <c r="Z21" s="159">
        <f t="shared" si="4"/>
        <v>4.3390951650435232</v>
      </c>
      <c r="AA21" s="159">
        <f t="shared" si="62"/>
        <v>1.119486552581229</v>
      </c>
      <c r="AB21" s="159">
        <f t="shared" si="5"/>
        <v>3.9110290492803581</v>
      </c>
      <c r="AC21" s="159">
        <f t="shared" si="6"/>
        <v>1.6401779723864518</v>
      </c>
      <c r="AD21" s="159">
        <f t="shared" si="7"/>
        <v>3.1371658043264672</v>
      </c>
      <c r="AE21" s="159">
        <f t="shared" si="63"/>
        <v>0.8200889861932259</v>
      </c>
      <c r="AF21" s="159">
        <f t="shared" si="8"/>
        <v>6.3266646385417564</v>
      </c>
      <c r="AG21" s="387">
        <f t="shared" si="9"/>
        <v>3.9919675518400415</v>
      </c>
      <c r="AH21" s="159">
        <f t="shared" si="10"/>
        <v>1.7963853983280185</v>
      </c>
      <c r="AI21" s="159">
        <f t="shared" si="11"/>
        <v>2.7442934925622682</v>
      </c>
      <c r="AJ21" s="387">
        <f t="shared" si="12"/>
        <v>3.1393879570455914</v>
      </c>
      <c r="AK21" s="159">
        <f t="shared" si="13"/>
        <v>3.2716777544428166</v>
      </c>
      <c r="AL21" s="159">
        <f t="shared" si="14"/>
        <v>3.0720793768508141</v>
      </c>
      <c r="AM21" s="159">
        <f t="shared" si="15"/>
        <v>1.9437288925622687</v>
      </c>
      <c r="AN21" s="159">
        <f t="shared" si="16"/>
        <v>1.9350994075325345</v>
      </c>
      <c r="AO21" s="159">
        <f t="shared" si="17"/>
        <v>1.1715556945617513</v>
      </c>
      <c r="AP21" s="159">
        <f t="shared" si="18"/>
        <v>2.5774225280358527</v>
      </c>
      <c r="AQ21" s="159">
        <f t="shared" si="64"/>
        <v>0.58577784728087567</v>
      </c>
      <c r="AR21" s="159">
        <f t="shared" si="19"/>
        <v>15.512653035801085</v>
      </c>
      <c r="AS21" s="159">
        <f t="shared" si="20"/>
        <v>2.2566823714556583</v>
      </c>
      <c r="AT21" s="159">
        <f t="shared" si="21"/>
        <v>4.2177548833577525</v>
      </c>
      <c r="AU21" s="159">
        <f t="shared" si="65"/>
        <v>1.1283411857278292</v>
      </c>
      <c r="AV21" s="387">
        <f t="shared" si="22"/>
        <v>0.8200889861932259</v>
      </c>
      <c r="AW21" s="387">
        <f t="shared" si="23"/>
        <v>1.7356380660174093</v>
      </c>
      <c r="AX21" s="387">
        <f t="shared" si="66"/>
        <v>0.41004449309661295</v>
      </c>
      <c r="AY21" s="387">
        <f t="shared" si="24"/>
        <v>16.432895165043522</v>
      </c>
      <c r="AZ21" s="387">
        <f t="shared" si="25"/>
        <v>4.3918510767560113</v>
      </c>
      <c r="BA21" s="387">
        <f t="shared" si="26"/>
        <v>8.5106614359389816</v>
      </c>
      <c r="BB21" s="387">
        <f t="shared" si="67"/>
        <v>2.1959255383780056</v>
      </c>
      <c r="BC21" s="387">
        <f t="shared" si="27"/>
        <v>1.2626766930276652</v>
      </c>
      <c r="BD21" s="387">
        <f t="shared" si="28"/>
        <v>1.5100051174351459</v>
      </c>
      <c r="BE21" s="387">
        <f t="shared" si="29"/>
        <v>14.477380640403343</v>
      </c>
      <c r="BF21" s="387">
        <f t="shared" si="30"/>
        <v>8.532755601723693</v>
      </c>
      <c r="BG21" s="387">
        <f t="shared" si="31"/>
        <v>4.183541934775489</v>
      </c>
      <c r="BH21" s="387">
        <f t="shared" si="32"/>
        <v>2.1044611550461085</v>
      </c>
      <c r="BI21" s="387">
        <f t="shared" si="33"/>
        <v>1.1455211235714902</v>
      </c>
      <c r="BJ21" s="387">
        <f t="shared" si="34"/>
        <v>6.2609330578815818</v>
      </c>
      <c r="BK21" s="387">
        <f t="shared" si="35"/>
        <v>7.0823891742480392</v>
      </c>
      <c r="BL21" s="387">
        <f t="shared" si="36"/>
        <v>0.90267294858226321</v>
      </c>
      <c r="BM21" s="387">
        <f t="shared" si="37"/>
        <v>0.78103712970783412</v>
      </c>
      <c r="BN21" s="387">
        <f t="shared" si="38"/>
        <v>0.29505847122295958</v>
      </c>
      <c r="BO21" s="387">
        <f t="shared" si="39"/>
        <v>5.0120330253382743</v>
      </c>
      <c r="BP21" s="387">
        <f t="shared" si="40"/>
        <v>10.30379638224597</v>
      </c>
      <c r="BQ21" s="387">
        <f t="shared" si="41"/>
        <v>2.3434778472808757</v>
      </c>
      <c r="BR21" s="387">
        <f t="shared" si="42"/>
        <v>1.2323030268723605</v>
      </c>
      <c r="BS21" s="387">
        <f t="shared" si="43"/>
        <v>1.0587392202706196</v>
      </c>
      <c r="BT21" s="387">
        <f t="shared" si="44"/>
        <v>7.4769673000948025</v>
      </c>
      <c r="BU21" s="387">
        <f t="shared" si="45"/>
        <v>8.8485974428682237</v>
      </c>
      <c r="BV21" s="387">
        <f t="shared" si="46"/>
        <v>2.1004505149702664</v>
      </c>
      <c r="BW21" s="387">
        <f t="shared" si="47"/>
        <v>1.2323030268723605</v>
      </c>
      <c r="BX21" s="387">
        <f t="shared" si="48"/>
        <v>1.0587392202706196</v>
      </c>
      <c r="BY21" s="387">
        <f t="shared" si="49"/>
        <v>10.369156849142463</v>
      </c>
      <c r="BZ21" s="387">
        <f t="shared" si="50"/>
        <v>7.0983501727139533</v>
      </c>
      <c r="CA21" s="387">
        <f t="shared" si="51"/>
        <v>2.5691460844264413</v>
      </c>
      <c r="CB21" s="387">
        <f t="shared" si="52"/>
        <v>6.6717554370076702</v>
      </c>
      <c r="CC21" s="387">
        <f t="shared" si="53"/>
        <v>7.9922761941911578</v>
      </c>
      <c r="CD21" s="387">
        <f t="shared" si="54"/>
        <v>16.619681155839007</v>
      </c>
      <c r="CE21" s="387">
        <f t="shared" si="68"/>
        <v>7.9922761941911578</v>
      </c>
      <c r="CF21" s="387">
        <f t="shared" si="55"/>
        <v>6.8530962878221153</v>
      </c>
      <c r="CG21" s="387">
        <f t="shared" si="56"/>
        <v>18.744601280944586</v>
      </c>
      <c r="CH21" s="387">
        <f t="shared" si="69"/>
        <v>6.8530962878221153</v>
      </c>
      <c r="CI21" s="387">
        <f t="shared" si="70"/>
        <v>4.1082237912608806</v>
      </c>
    </row>
    <row r="22" spans="1:87" x14ac:dyDescent="0.25">
      <c r="A22" t="str">
        <f>PLANTILLA!D24</f>
        <v>P .Trivadi</v>
      </c>
      <c r="B22" t="s">
        <v>1018</v>
      </c>
      <c r="C22" s="666">
        <f>PLANTILLA!E24</f>
        <v>26</v>
      </c>
      <c r="D22" s="666">
        <f ca="1">PLANTILLA!F24</f>
        <v>99</v>
      </c>
      <c r="E22" s="666"/>
      <c r="F22" s="317">
        <v>41973</v>
      </c>
      <c r="G22" s="530">
        <v>1.5</v>
      </c>
      <c r="H22" s="531">
        <f>PLANTILLA!I24</f>
        <v>5.3</v>
      </c>
      <c r="I22" s="371"/>
      <c r="J22" s="163">
        <f>PLANTILLA!V24</f>
        <v>0</v>
      </c>
      <c r="K22" s="163">
        <f>PLANTILLA!W24</f>
        <v>4</v>
      </c>
      <c r="L22" s="163">
        <f>PLANTILLA!X24</f>
        <v>5.5138722222222212</v>
      </c>
      <c r="M22" s="163">
        <f>PLANTILLA!Y24</f>
        <v>5.47</v>
      </c>
      <c r="N22" s="163">
        <f>PLANTILLA!Z24</f>
        <v>10.799999999999999</v>
      </c>
      <c r="O22" s="163">
        <f>PLANTILLA!AA24</f>
        <v>8.384500000000001</v>
      </c>
      <c r="P22" s="163">
        <f>PLANTILLA!AB24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1.8991384648422056</v>
      </c>
      <c r="AC22" s="159">
        <f t="shared" si="6"/>
        <v>2.4440350382787974</v>
      </c>
      <c r="AD22" s="159">
        <f t="shared" si="7"/>
        <v>4.6747019382951605</v>
      </c>
      <c r="AE22" s="159">
        <f t="shared" si="63"/>
        <v>1.2220175191393987</v>
      </c>
      <c r="AF22" s="159">
        <f t="shared" si="8"/>
        <v>3.0721357519506269</v>
      </c>
      <c r="AG22" s="387">
        <f t="shared" si="9"/>
        <v>5.9484450667103008</v>
      </c>
      <c r="AH22" s="159">
        <f t="shared" si="10"/>
        <v>2.6768002800196351</v>
      </c>
      <c r="AI22" s="159">
        <f t="shared" si="11"/>
        <v>1.3325887547422202</v>
      </c>
      <c r="AJ22" s="387">
        <f t="shared" si="12"/>
        <v>4.6661922817670183</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7.5327172723153035</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7.9795733816899403</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7.0300041492688372</v>
      </c>
      <c r="BF22" s="387">
        <f t="shared" si="30"/>
        <v>8.7337883307668029</v>
      </c>
      <c r="BG22" s="387">
        <f t="shared" si="31"/>
        <v>3.19703397943172</v>
      </c>
      <c r="BH22" s="387">
        <f t="shared" si="32"/>
        <v>3.1358650623418431</v>
      </c>
      <c r="BI22" s="387">
        <f t="shared" si="33"/>
        <v>1.7069451060994778</v>
      </c>
      <c r="BJ22" s="387">
        <f t="shared" si="34"/>
        <v>3.0402174584238675</v>
      </c>
      <c r="BK22" s="387">
        <f t="shared" si="35"/>
        <v>8.0071328133747866</v>
      </c>
      <c r="BL22" s="387">
        <f t="shared" si="36"/>
        <v>0.68981646029232124</v>
      </c>
      <c r="BM22" s="387">
        <f t="shared" si="37"/>
        <v>1.1638262087041893</v>
      </c>
      <c r="BN22" s="387">
        <f t="shared" si="38"/>
        <v>0.43966767884380487</v>
      </c>
      <c r="BO22" s="387">
        <f t="shared" si="39"/>
        <v>2.4337698814154316</v>
      </c>
      <c r="BP22" s="387">
        <f t="shared" si="40"/>
        <v>11.729691691075486</v>
      </c>
      <c r="BQ22" s="387">
        <f t="shared" si="41"/>
        <v>1.7908696565281419</v>
      </c>
      <c r="BR22" s="387">
        <f t="shared" si="42"/>
        <v>1.8362591292888317</v>
      </c>
      <c r="BS22" s="387">
        <f t="shared" si="43"/>
        <v>1.5776310829101232</v>
      </c>
      <c r="BT22" s="387">
        <f t="shared" si="44"/>
        <v>3.6307058886689232</v>
      </c>
      <c r="BU22" s="387">
        <f t="shared" si="45"/>
        <v>10.093276884690232</v>
      </c>
      <c r="BV22" s="387">
        <f t="shared" si="46"/>
        <v>1.6051498402955937</v>
      </c>
      <c r="BW22" s="387">
        <f t="shared" si="47"/>
        <v>1.8362591292888317</v>
      </c>
      <c r="BX22" s="387">
        <f t="shared" si="48"/>
        <v>1.5776310829101232</v>
      </c>
      <c r="BY22" s="387">
        <f t="shared" si="49"/>
        <v>5.0351108038463526</v>
      </c>
      <c r="BZ22" s="387">
        <f t="shared" si="50"/>
        <v>8.1311425377236084</v>
      </c>
      <c r="CA22" s="387">
        <f t="shared" si="51"/>
        <v>1.963323771601222</v>
      </c>
      <c r="CB22" s="387">
        <f t="shared" si="52"/>
        <v>3.2397067929661159</v>
      </c>
      <c r="CC22" s="387">
        <f t="shared" si="53"/>
        <v>5.8371418040826821</v>
      </c>
      <c r="CD22" s="387">
        <f t="shared" si="54"/>
        <v>13.528943005560652</v>
      </c>
      <c r="CE22" s="387">
        <f t="shared" si="68"/>
        <v>5.8371418040826821</v>
      </c>
      <c r="CF22" s="387">
        <f t="shared" si="55"/>
        <v>6.3285718223483887</v>
      </c>
      <c r="CG22" s="387">
        <f t="shared" si="56"/>
        <v>15.745244887311307</v>
      </c>
      <c r="CH22" s="387">
        <f t="shared" si="69"/>
        <v>6.3285718223483887</v>
      </c>
      <c r="CI22" s="387">
        <f t="shared" si="70"/>
        <v>1.9948933454224851</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16"/>
      <c r="T1" s="716"/>
      <c r="U1" s="716"/>
      <c r="V1" s="179"/>
      <c r="W1" s="716" t="s">
        <v>623</v>
      </c>
      <c r="X1" s="716"/>
      <c r="Z1" s="446">
        <f>S2+T2+U2+V2+W2+X2+Z2</f>
        <v>1</v>
      </c>
      <c r="AQ1" s="716" t="s">
        <v>737</v>
      </c>
      <c r="AR1" s="716"/>
      <c r="AS1" s="716"/>
      <c r="AT1" s="716"/>
      <c r="AU1" s="716"/>
      <c r="AV1" s="716"/>
      <c r="AW1" s="716"/>
      <c r="AX1" s="716"/>
      <c r="AY1" s="716"/>
      <c r="AZ1" s="716"/>
      <c r="BA1" s="716"/>
      <c r="BB1" s="716"/>
      <c r="BC1" s="716"/>
      <c r="BS1" s="471" t="s">
        <v>739</v>
      </c>
      <c r="BT1" s="471" t="s">
        <v>178</v>
      </c>
      <c r="BU1" s="471" t="s">
        <v>740</v>
      </c>
      <c r="BV1" s="472" t="s">
        <v>741</v>
      </c>
      <c r="BW1" s="470" t="s">
        <v>742</v>
      </c>
      <c r="BX1" s="470" t="s">
        <v>743</v>
      </c>
    </row>
    <row r="2" spans="1:76" s="267" customFormat="1" ht="18.75" x14ac:dyDescent="0.3">
      <c r="C2" s="268"/>
      <c r="D2" s="453">
        <f ca="1">TODAY()</f>
        <v>43062</v>
      </c>
      <c r="E2" s="706">
        <v>41471</v>
      </c>
      <c r="F2" s="706"/>
      <c r="G2" s="706"/>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17.069444444444443</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17" t="s">
        <v>859</v>
      </c>
      <c r="AR3" s="718"/>
      <c r="AS3" s="361" t="s">
        <v>541</v>
      </c>
      <c r="AT3" s="361" t="s">
        <v>542</v>
      </c>
      <c r="AU3" s="361" t="s">
        <v>582</v>
      </c>
      <c r="AV3" s="361" t="s">
        <v>543</v>
      </c>
      <c r="AW3" s="361" t="s">
        <v>544</v>
      </c>
      <c r="AX3" s="361" t="s">
        <v>545</v>
      </c>
      <c r="AY3" s="361" t="s">
        <v>546</v>
      </c>
      <c r="AZ3" s="361" t="s">
        <v>874</v>
      </c>
      <c r="BA3" s="361" t="s">
        <v>875</v>
      </c>
      <c r="BB3" s="361" t="s">
        <v>699</v>
      </c>
      <c r="BC3" s="361" t="s">
        <v>738</v>
      </c>
      <c r="BE3" s="717" t="s">
        <v>861</v>
      </c>
      <c r="BF3" s="718"/>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3.1428571428571428</v>
      </c>
      <c r="D4" s="321" t="str">
        <f>PLANTILLA!D5</f>
        <v>D. Gehmacher</v>
      </c>
      <c r="E4" s="419">
        <f>PLANTILLA!E5</f>
        <v>29</v>
      </c>
      <c r="F4" s="427">
        <f ca="1">PLANTILLA!F5</f>
        <v>96</v>
      </c>
      <c r="G4" s="420"/>
      <c r="H4" s="435">
        <v>7</v>
      </c>
      <c r="I4" s="335">
        <f>PLANTILLA!I5</f>
        <v>18</v>
      </c>
      <c r="J4" s="519">
        <f>PLANTILLA!V5</f>
        <v>16.666666666666668</v>
      </c>
      <c r="K4" s="519">
        <f>PLANTILLA!W5</f>
        <v>11.832727272727276</v>
      </c>
      <c r="L4" s="519">
        <f>PLANTILLA!X5</f>
        <v>2.0199999999999996</v>
      </c>
      <c r="M4" s="519">
        <f>PLANTILLA!Y5</f>
        <v>2.1199999999999992</v>
      </c>
      <c r="N4" s="519">
        <f>PLANTILLA!Z5</f>
        <v>1.0400000000000003</v>
      </c>
      <c r="O4" s="519">
        <f>PLANTILLA!AA5</f>
        <v>0.14055555555555557</v>
      </c>
      <c r="P4" s="519">
        <f>PLANTILLA!AB5</f>
        <v>17.849999999999998</v>
      </c>
      <c r="Q4" s="443">
        <f t="shared" ref="Q4:Q23" si="4">E4</f>
        <v>29</v>
      </c>
      <c r="R4" s="444">
        <f t="shared" ref="R4:R23" ca="1" si="5">F4+7</f>
        <v>103</v>
      </c>
      <c r="S4" s="193"/>
      <c r="T4" s="193"/>
      <c r="U4" s="193"/>
      <c r="V4" s="193"/>
      <c r="W4" s="193"/>
      <c r="X4" s="193"/>
      <c r="Y4" s="193"/>
      <c r="Z4" s="193"/>
      <c r="AA4" s="323">
        <f t="shared" ref="AA4:AA23" si="6">I4+$AA$2</f>
        <v>18</v>
      </c>
      <c r="AB4" s="539">
        <f>J4+(S4*S$2/15)</f>
        <v>16.666666666666668</v>
      </c>
      <c r="AC4" s="539">
        <f>K4+(T$2/11)</f>
        <v>11.832727272727276</v>
      </c>
      <c r="AD4" s="539">
        <f>L4+(U$2/18)</f>
        <v>2.0199999999999996</v>
      </c>
      <c r="AE4" s="539">
        <f>M4+(V$2/12)</f>
        <v>2.1199999999999992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-0.9375</v>
      </c>
      <c r="D5" s="418" t="s">
        <v>307</v>
      </c>
      <c r="E5" s="419">
        <f>PLANTILLA!E6</f>
        <v>33</v>
      </c>
      <c r="F5" s="419">
        <f ca="1">PLANTILLA!F6</f>
        <v>105</v>
      </c>
      <c r="G5" s="420" t="s">
        <v>595</v>
      </c>
      <c r="H5" s="401">
        <v>4</v>
      </c>
      <c r="I5" s="335">
        <f>PLANTILLA!I6</f>
        <v>7.8</v>
      </c>
      <c r="J5" s="519">
        <f>PLANTILLA!V6</f>
        <v>10.3</v>
      </c>
      <c r="K5" s="519">
        <f>PLANTILLA!W6</f>
        <v>10.794999999999998</v>
      </c>
      <c r="L5" s="519">
        <f>PLANTILLA!X6</f>
        <v>4.6100000000000012</v>
      </c>
      <c r="M5" s="519">
        <f>PLANTILLA!Y6</f>
        <v>4.99</v>
      </c>
      <c r="N5" s="519">
        <f>PLANTILLA!Z6</f>
        <v>6.5444444444444434</v>
      </c>
      <c r="O5" s="519">
        <f>PLANTILLA!AA6</f>
        <v>3.99</v>
      </c>
      <c r="P5" s="519">
        <f>PLANTILLA!AB6</f>
        <v>15.778888888888888</v>
      </c>
      <c r="Q5" s="443">
        <f t="shared" si="4"/>
        <v>33</v>
      </c>
      <c r="R5" s="444">
        <f t="shared" ca="1" si="5"/>
        <v>112</v>
      </c>
      <c r="S5" s="193"/>
      <c r="T5" s="193"/>
      <c r="U5" s="193"/>
      <c r="V5" s="193"/>
      <c r="W5" s="193"/>
      <c r="X5" s="193"/>
      <c r="Y5" s="193"/>
      <c r="Z5" s="193"/>
      <c r="AA5" s="323">
        <f t="shared" si="6"/>
        <v>7.8</v>
      </c>
      <c r="AB5" s="539">
        <f>J5+(S5*S$2/6)</f>
        <v>10.3</v>
      </c>
      <c r="AC5" s="539">
        <f>K5+(T$2/45)</f>
        <v>10.794999999999998</v>
      </c>
      <c r="AD5" s="539">
        <f>L5+(U$2/34)</f>
        <v>4.6100000000000012</v>
      </c>
      <c r="AE5" s="539">
        <f>M5+(V$2/22)</f>
        <v>4.99</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1.6339285714285714</v>
      </c>
      <c r="D7" s="321" t="s">
        <v>315</v>
      </c>
      <c r="E7" s="419">
        <f>PLANTILLA!E8</f>
        <v>31</v>
      </c>
      <c r="F7" s="419">
        <f ca="1">PLANTILLA!F8</f>
        <v>41</v>
      </c>
      <c r="G7" s="420" t="s">
        <v>595</v>
      </c>
      <c r="H7" s="426">
        <v>5</v>
      </c>
      <c r="I7" s="335">
        <f>PLANTILLA!I8</f>
        <v>7.5</v>
      </c>
      <c r="J7" s="519">
        <f>PLANTILLA!V8</f>
        <v>0</v>
      </c>
      <c r="K7" s="519">
        <f>PLANTILLA!W8</f>
        <v>11</v>
      </c>
      <c r="L7" s="519">
        <f>PLANTILLA!X8</f>
        <v>6.1594444444444418</v>
      </c>
      <c r="M7" s="519">
        <f>PLANTILLA!Y8</f>
        <v>5.98</v>
      </c>
      <c r="N7" s="519">
        <f>PLANTILLA!Z8</f>
        <v>7.7227777777777789</v>
      </c>
      <c r="O7" s="519">
        <f>PLANTILLA!AA8</f>
        <v>4.383333333333332</v>
      </c>
      <c r="P7" s="519">
        <f>PLANTILLA!AB8</f>
        <v>15.349999999999998</v>
      </c>
      <c r="Q7" s="443">
        <f t="shared" si="4"/>
        <v>31</v>
      </c>
      <c r="R7" s="444">
        <f t="shared" ca="1" si="5"/>
        <v>48</v>
      </c>
      <c r="S7" s="193"/>
      <c r="T7" s="193"/>
      <c r="U7" s="193"/>
      <c r="V7" s="193"/>
      <c r="W7" s="193"/>
      <c r="X7" s="193"/>
      <c r="Y7" s="193"/>
      <c r="Z7" s="193"/>
      <c r="AA7" s="323">
        <f t="shared" si="6"/>
        <v>7.5</v>
      </c>
      <c r="AB7" s="539">
        <f t="shared" si="20"/>
        <v>0</v>
      </c>
      <c r="AC7" s="539">
        <f>K7+(T$2/11)</f>
        <v>11</v>
      </c>
      <c r="AD7" s="539">
        <f>L7+(U$2/6.5)</f>
        <v>6.1594444444444418</v>
      </c>
      <c r="AE7" s="539">
        <f>M7+(V$2/62)</f>
        <v>5.98</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4.6012500000000003</v>
      </c>
      <c r="BQ7" s="467">
        <f t="shared" si="23"/>
        <v>0</v>
      </c>
    </row>
    <row r="8" spans="1:76" s="289" customFormat="1" x14ac:dyDescent="0.25">
      <c r="A8" s="416" t="s">
        <v>447</v>
      </c>
      <c r="B8" s="416" t="s">
        <v>2</v>
      </c>
      <c r="C8" s="417">
        <f t="shared" ca="1" si="11"/>
        <v>2.0446428571428572</v>
      </c>
      <c r="D8" s="418" t="s">
        <v>309</v>
      </c>
      <c r="E8" s="419">
        <f>PLANTILLA!E9</f>
        <v>30</v>
      </c>
      <c r="F8" s="419">
        <f ca="1">PLANTILLA!F9</f>
        <v>107</v>
      </c>
      <c r="G8" s="420"/>
      <c r="H8" s="426">
        <v>5</v>
      </c>
      <c r="I8" s="335">
        <f>PLANTILLA!I9</f>
        <v>12.1</v>
      </c>
      <c r="J8" s="519">
        <f>PLANTILLA!V9</f>
        <v>0</v>
      </c>
      <c r="K8" s="519">
        <f>PLANTILLA!W9</f>
        <v>12.060000000000004</v>
      </c>
      <c r="L8" s="519">
        <f>PLANTILLA!X9</f>
        <v>13.020999999999999</v>
      </c>
      <c r="M8" s="519">
        <f>PLANTILLA!Y9</f>
        <v>9.7100000000000062</v>
      </c>
      <c r="N8" s="519">
        <f>PLANTILLA!Z9</f>
        <v>9.6</v>
      </c>
      <c r="O8" s="519">
        <f>PLANTILLA!AA9</f>
        <v>3.6816666666666658</v>
      </c>
      <c r="P8" s="519">
        <f>PLANTILLA!AB9</f>
        <v>16.627777777777773</v>
      </c>
      <c r="Q8" s="443">
        <f t="shared" si="4"/>
        <v>30</v>
      </c>
      <c r="R8" s="444">
        <f t="shared" ca="1" si="5"/>
        <v>114</v>
      </c>
      <c r="S8" s="193"/>
      <c r="T8" s="193"/>
      <c r="U8" s="193"/>
      <c r="V8" s="193"/>
      <c r="W8" s="193"/>
      <c r="X8" s="193"/>
      <c r="Y8" s="193"/>
      <c r="Z8" s="193"/>
      <c r="AA8" s="323">
        <f t="shared" si="6"/>
        <v>12.1</v>
      </c>
      <c r="AB8" s="539">
        <f t="shared" si="20"/>
        <v>0</v>
      </c>
      <c r="AC8" s="539">
        <f>K8+(T$2/11)</f>
        <v>12.060000000000004</v>
      </c>
      <c r="AD8" s="539">
        <f>L8+(U$2/29)</f>
        <v>13.020999999999999</v>
      </c>
      <c r="AE8" s="539">
        <f>M8+(V$2/13)</f>
        <v>9.7100000000000062</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2.1785714285714284</v>
      </c>
      <c r="D9" s="321" t="s">
        <v>313</v>
      </c>
      <c r="E9" s="419">
        <f>PLANTILLA!E10</f>
        <v>30</v>
      </c>
      <c r="F9" s="419">
        <f ca="1">PLANTILLA!F10</f>
        <v>92</v>
      </c>
      <c r="G9" s="420"/>
      <c r="H9" s="401">
        <v>4</v>
      </c>
      <c r="I9" s="335">
        <f>PLANTILLA!I10</f>
        <v>9.1999999999999993</v>
      </c>
      <c r="J9" s="519">
        <f>PLANTILLA!V10</f>
        <v>0</v>
      </c>
      <c r="K9" s="519">
        <f>PLANTILLA!W10</f>
        <v>11.649999999999997</v>
      </c>
      <c r="L9" s="519">
        <f>PLANTILLA!X10</f>
        <v>6.6275000000000022</v>
      </c>
      <c r="M9" s="519">
        <f>PLANTILLA!Y10</f>
        <v>7.3600000000000012</v>
      </c>
      <c r="N9" s="519">
        <f>PLANTILLA!Z10</f>
        <v>9.0199999999999978</v>
      </c>
      <c r="O9" s="519">
        <f>PLANTILLA!AA10</f>
        <v>4.6199999999999966</v>
      </c>
      <c r="P9" s="519">
        <f>PLANTILLA!AB10</f>
        <v>15.6</v>
      </c>
      <c r="Q9" s="443">
        <f t="shared" si="4"/>
        <v>30</v>
      </c>
      <c r="R9" s="444">
        <f t="shared" ca="1" si="5"/>
        <v>99</v>
      </c>
      <c r="S9" s="193"/>
      <c r="T9" s="193"/>
      <c r="U9" s="193"/>
      <c r="V9" s="193"/>
      <c r="W9" s="193"/>
      <c r="X9" s="193"/>
      <c r="Y9" s="193"/>
      <c r="Z9" s="193"/>
      <c r="AA9" s="323">
        <f t="shared" si="6"/>
        <v>9.1999999999999993</v>
      </c>
      <c r="AB9" s="539">
        <f t="shared" si="20"/>
        <v>0</v>
      </c>
      <c r="AC9" s="539">
        <f>K9+(T$2/10)</f>
        <v>11.649999999999997</v>
      </c>
      <c r="AD9" s="539">
        <f>L9+(U$2/31)</f>
        <v>6.6275000000000022</v>
      </c>
      <c r="AE9" s="539">
        <f>M9+(V$2/6)</f>
        <v>7.3600000000000012</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5.9732142857142856</v>
      </c>
      <c r="D10" s="321" t="s">
        <v>701</v>
      </c>
      <c r="E10" s="419">
        <f>PLANTILLA!E11</f>
        <v>27</v>
      </c>
      <c r="F10" s="419">
        <f ca="1">PLANTILLA!F11</f>
        <v>3</v>
      </c>
      <c r="G10" s="420"/>
      <c r="H10" s="426">
        <v>5</v>
      </c>
      <c r="I10" s="335">
        <f>PLANTILLA!I11</f>
        <v>4.9000000000000004</v>
      </c>
      <c r="J10" s="519">
        <f>PLANTILLA!V11</f>
        <v>0</v>
      </c>
      <c r="K10" s="519">
        <f>PLANTILLA!W11</f>
        <v>9.5796666666666663</v>
      </c>
      <c r="L10" s="519">
        <f>PLANTILLA!X11</f>
        <v>7.7107222222222234</v>
      </c>
      <c r="M10" s="519">
        <f>PLANTILLA!Y11</f>
        <v>6.129999999999999</v>
      </c>
      <c r="N10" s="519">
        <f>PLANTILLA!Z11</f>
        <v>8.8633333333333315</v>
      </c>
      <c r="O10" s="519">
        <f>PLANTILLA!AA11</f>
        <v>3.2566666666666673</v>
      </c>
      <c r="P10" s="519">
        <f>PLANTILLA!AB11</f>
        <v>13.238888888888889</v>
      </c>
      <c r="Q10" s="443">
        <f t="shared" si="4"/>
        <v>27</v>
      </c>
      <c r="R10" s="444">
        <f t="shared" ca="1" si="5"/>
        <v>10</v>
      </c>
      <c r="S10" s="193"/>
      <c r="T10" s="193"/>
      <c r="U10" s="193"/>
      <c r="V10" s="193"/>
      <c r="W10" s="193"/>
      <c r="X10" s="193"/>
      <c r="Y10" s="193"/>
      <c r="Z10" s="193"/>
      <c r="AA10" s="323">
        <f t="shared" si="6"/>
        <v>4.9000000000000004</v>
      </c>
      <c r="AB10" s="539">
        <f t="shared" si="20"/>
        <v>0</v>
      </c>
      <c r="AC10" s="539">
        <f>K10+(T$2/25)</f>
        <v>9.5796666666666663</v>
      </c>
      <c r="AD10" s="539">
        <f>L10+(U$2/37)</f>
        <v>7.7107222222222234</v>
      </c>
      <c r="AE10" s="539">
        <f>M10+(V$2/20)</f>
        <v>6.129999999999999</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2.3839285714285716</v>
      </c>
      <c r="D11" s="418" t="s">
        <v>310</v>
      </c>
      <c r="E11" s="419">
        <f>PLANTILLA!E12</f>
        <v>30</v>
      </c>
      <c r="F11" s="419">
        <f ca="1">PLANTILLA!F12</f>
        <v>69</v>
      </c>
      <c r="G11" s="420" t="s">
        <v>311</v>
      </c>
      <c r="H11" s="401">
        <v>1</v>
      </c>
      <c r="I11" s="335">
        <f>PLANTILLA!I12</f>
        <v>12.2</v>
      </c>
      <c r="J11" s="519">
        <f>PLANTILLA!V12</f>
        <v>0</v>
      </c>
      <c r="K11" s="519">
        <f>PLANTILLA!W12</f>
        <v>11.99</v>
      </c>
      <c r="L11" s="519">
        <f>PLANTILLA!X12</f>
        <v>12.399111111111115</v>
      </c>
      <c r="M11" s="519">
        <f>PLANTILLA!Y12</f>
        <v>13.05</v>
      </c>
      <c r="N11" s="519">
        <f>PLANTILLA!Z12</f>
        <v>10.91</v>
      </c>
      <c r="O11" s="519">
        <f>PLANTILLA!AA12</f>
        <v>7.7700000000000005</v>
      </c>
      <c r="P11" s="519">
        <f>PLANTILLA!AB12</f>
        <v>17.13</v>
      </c>
      <c r="Q11" s="443">
        <f t="shared" si="4"/>
        <v>30</v>
      </c>
      <c r="R11" s="444">
        <f t="shared" ca="1" si="5"/>
        <v>76</v>
      </c>
      <c r="S11" s="193"/>
      <c r="T11" s="193"/>
      <c r="U11" s="193"/>
      <c r="V11" s="193"/>
      <c r="W11" s="193"/>
      <c r="X11" s="193"/>
      <c r="Y11" s="193"/>
      <c r="Z11" s="193"/>
      <c r="AA11" s="323">
        <f t="shared" si="6"/>
        <v>12.2</v>
      </c>
      <c r="AB11" s="539">
        <f t="shared" si="20"/>
        <v>0</v>
      </c>
      <c r="AC11" s="539">
        <f>K11+(T$2/10)</f>
        <v>11.99</v>
      </c>
      <c r="AD11" s="539">
        <f>L11+(U$2/18)</f>
        <v>12.399111111111115</v>
      </c>
      <c r="AE11" s="539">
        <f>M11+(V$2/15)</f>
        <v>13.05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2.8571428571428572</v>
      </c>
      <c r="D12" s="418" t="s">
        <v>338</v>
      </c>
      <c r="E12" s="419">
        <f>PLANTILLA!E13</f>
        <v>30</v>
      </c>
      <c r="F12" s="419">
        <f ca="1">PLANTILLA!F13</f>
        <v>16</v>
      </c>
      <c r="G12" s="420" t="s">
        <v>308</v>
      </c>
      <c r="H12" s="401">
        <v>3</v>
      </c>
      <c r="I12" s="335">
        <f>PLANTILLA!I13</f>
        <v>10.199999999999999</v>
      </c>
      <c r="J12" s="519">
        <f>PLANTILLA!V13</f>
        <v>0</v>
      </c>
      <c r="K12" s="519">
        <f>PLANTILLA!W13</f>
        <v>7.11</v>
      </c>
      <c r="L12" s="519">
        <f>PLANTILLA!X13</f>
        <v>10.250000000000004</v>
      </c>
      <c r="M12" s="519">
        <f>PLANTILLA!Y13</f>
        <v>13.305</v>
      </c>
      <c r="N12" s="519">
        <f>PLANTILLA!Z13</f>
        <v>10.359999999999998</v>
      </c>
      <c r="O12" s="519">
        <f>PLANTILLA!AA13</f>
        <v>5.4050000000000002</v>
      </c>
      <c r="P12" s="519">
        <f>PLANTILLA!AB13</f>
        <v>17.300000000000004</v>
      </c>
      <c r="Q12" s="443">
        <f t="shared" si="4"/>
        <v>30</v>
      </c>
      <c r="R12" s="444">
        <f t="shared" ca="1" si="5"/>
        <v>23</v>
      </c>
      <c r="S12" s="193"/>
      <c r="T12" s="193"/>
      <c r="U12" s="193"/>
      <c r="V12" s="193"/>
      <c r="W12" s="193"/>
      <c r="X12" s="193"/>
      <c r="Y12" s="193"/>
      <c r="Z12" s="193"/>
      <c r="AA12" s="323">
        <f t="shared" si="6"/>
        <v>10.199999999999999</v>
      </c>
      <c r="AB12" s="539">
        <f t="shared" si="20"/>
        <v>0</v>
      </c>
      <c r="AC12" s="539">
        <f>K12+(T$2/7)</f>
        <v>7.11</v>
      </c>
      <c r="AD12" s="539">
        <f>L12+(U$2/7)</f>
        <v>10.250000000000004</v>
      </c>
      <c r="AE12" s="539">
        <f>M12+(V$2/8)</f>
        <v>13.305</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5.7232142857142856</v>
      </c>
      <c r="D13" s="418" t="s">
        <v>600</v>
      </c>
      <c r="E13" s="419">
        <f>PLANTILLA!E14</f>
        <v>27</v>
      </c>
      <c r="F13" s="419">
        <f ca="1">PLANTILLA!F14</f>
        <v>31</v>
      </c>
      <c r="G13" s="420" t="s">
        <v>595</v>
      </c>
      <c r="H13" s="401">
        <v>3</v>
      </c>
      <c r="I13" s="335">
        <f>PLANTILLA!I14</f>
        <v>8.6</v>
      </c>
      <c r="J13" s="519">
        <f>PLANTILLA!V14</f>
        <v>0</v>
      </c>
      <c r="K13" s="519">
        <f>PLANTILLA!W14</f>
        <v>8.1199999999999992</v>
      </c>
      <c r="L13" s="519">
        <f>PLANTILLA!X14</f>
        <v>11.958412698412697</v>
      </c>
      <c r="M13" s="519">
        <f>PLANTILLA!Y14</f>
        <v>12.13</v>
      </c>
      <c r="N13" s="519">
        <f>PLANTILLA!Z14</f>
        <v>10.24</v>
      </c>
      <c r="O13" s="519">
        <f>PLANTILLA!AA14</f>
        <v>7.4766666666666666</v>
      </c>
      <c r="P13" s="519">
        <f>PLANTILLA!AB14</f>
        <v>15.270000000000001</v>
      </c>
      <c r="Q13" s="443">
        <f t="shared" si="4"/>
        <v>27</v>
      </c>
      <c r="R13" s="444">
        <f t="shared" ca="1" si="5"/>
        <v>38</v>
      </c>
      <c r="S13" s="193"/>
      <c r="T13" s="193"/>
      <c r="U13" s="193"/>
      <c r="V13" s="193"/>
      <c r="W13" s="193"/>
      <c r="X13" s="193"/>
      <c r="Y13" s="193"/>
      <c r="Z13" s="193"/>
      <c r="AA13" s="323">
        <f t="shared" si="6"/>
        <v>8.6</v>
      </c>
      <c r="AB13" s="539">
        <f t="shared" si="20"/>
        <v>0</v>
      </c>
      <c r="AC13" s="539">
        <f>K13+(T$2/6.5)</f>
        <v>8.1199999999999992</v>
      </c>
      <c r="AD13" s="539">
        <f>L13+(U$2/8)</f>
        <v>11.958412698412697</v>
      </c>
      <c r="AE13" s="539">
        <f>M13+(V$2/6)</f>
        <v>12.13</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3.75</v>
      </c>
      <c r="D14" s="321" t="s">
        <v>455</v>
      </c>
      <c r="E14" s="419">
        <f>PLANTILLA!E15</f>
        <v>29</v>
      </c>
      <c r="F14" s="419">
        <f ca="1">PLANTILLA!F15</f>
        <v>28</v>
      </c>
      <c r="G14" s="420" t="s">
        <v>308</v>
      </c>
      <c r="H14" s="401">
        <v>4</v>
      </c>
      <c r="I14" s="335">
        <f>PLANTILLA!I15</f>
        <v>10.4</v>
      </c>
      <c r="J14" s="519">
        <f>PLANTILLA!V15</f>
        <v>0</v>
      </c>
      <c r="K14" s="519">
        <f>PLANTILLA!W15</f>
        <v>9.1936666666666653</v>
      </c>
      <c r="L14" s="519">
        <f>PLANTILLA!X15</f>
        <v>13.499999999999998</v>
      </c>
      <c r="M14" s="519">
        <f>PLANTILLA!Y15</f>
        <v>12.725000000000001</v>
      </c>
      <c r="N14" s="519">
        <f>PLANTILLA!Z15</f>
        <v>9.6733333333333356</v>
      </c>
      <c r="O14" s="519">
        <f>PLANTILLA!AA15</f>
        <v>5.0296666666666656</v>
      </c>
      <c r="P14" s="519">
        <f>PLANTILLA!AB15</f>
        <v>15.2</v>
      </c>
      <c r="Q14" s="443">
        <f t="shared" si="4"/>
        <v>29</v>
      </c>
      <c r="R14" s="444">
        <f t="shared" ca="1" si="5"/>
        <v>35</v>
      </c>
      <c r="S14" s="193"/>
      <c r="T14" s="193"/>
      <c r="U14" s="193"/>
      <c r="V14" s="193"/>
      <c r="W14" s="193"/>
      <c r="X14" s="193"/>
      <c r="Y14" s="193"/>
      <c r="Z14" s="193"/>
      <c r="AA14" s="323">
        <f t="shared" si="6"/>
        <v>10.4</v>
      </c>
      <c r="AB14" s="539">
        <f t="shared" si="20"/>
        <v>0</v>
      </c>
      <c r="AC14" s="539">
        <f>K14+(T$2/50)</f>
        <v>9.1936666666666653</v>
      </c>
      <c r="AD14" s="539">
        <f>L14+(U$2/10)</f>
        <v>13.499999999999998</v>
      </c>
      <c r="AE14" s="539">
        <f>M14+(V$2/15)</f>
        <v>12.725000000000001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1.4464285714285714</v>
      </c>
      <c r="D15" s="418" t="s">
        <v>325</v>
      </c>
      <c r="E15" s="419">
        <f>PLANTILLA!E16</f>
        <v>31</v>
      </c>
      <c r="F15" s="419">
        <f ca="1">PLANTILLA!F16</f>
        <v>62</v>
      </c>
      <c r="G15" s="420" t="s">
        <v>308</v>
      </c>
      <c r="H15" s="426">
        <v>5</v>
      </c>
      <c r="I15" s="335">
        <f>PLANTILLA!I16</f>
        <v>11</v>
      </c>
      <c r="J15" s="519">
        <f>PLANTILLA!V16</f>
        <v>0</v>
      </c>
      <c r="K15" s="519">
        <f>PLANTILLA!W16</f>
        <v>8.6075555555555585</v>
      </c>
      <c r="L15" s="519">
        <f>PLANTILLA!X16</f>
        <v>14.09516031746031</v>
      </c>
      <c r="M15" s="519">
        <f>PLANTILLA!Y16</f>
        <v>9.99</v>
      </c>
      <c r="N15" s="519">
        <f>PLANTILLA!Z16</f>
        <v>10.09</v>
      </c>
      <c r="O15" s="519">
        <f>PLANTILLA!AA16</f>
        <v>4.3999999999999995</v>
      </c>
      <c r="P15" s="519">
        <f>PLANTILLA!AB16</f>
        <v>16.544444444444441</v>
      </c>
      <c r="Q15" s="443">
        <f t="shared" si="4"/>
        <v>31</v>
      </c>
      <c r="R15" s="444">
        <f t="shared" ca="1" si="5"/>
        <v>69</v>
      </c>
      <c r="S15" s="193"/>
      <c r="T15" s="193"/>
      <c r="U15" s="193"/>
      <c r="V15" s="193"/>
      <c r="W15" s="193"/>
      <c r="X15" s="193"/>
      <c r="Y15" s="193"/>
      <c r="Z15" s="193"/>
      <c r="AA15" s="323">
        <f t="shared" si="6"/>
        <v>11</v>
      </c>
      <c r="AB15" s="539">
        <f t="shared" si="20"/>
        <v>0</v>
      </c>
      <c r="AC15" s="539">
        <f>K15+(T$2/50)</f>
        <v>8.6075555555555585</v>
      </c>
      <c r="AD15" s="539">
        <f>L15+(U$2/11)</f>
        <v>14.09516031746031</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2.5</v>
      </c>
      <c r="D16" s="418" t="s">
        <v>312</v>
      </c>
      <c r="E16" s="419">
        <f>PLANTILLA!E17</f>
        <v>30</v>
      </c>
      <c r="F16" s="419">
        <f ca="1">PLANTILLA!F17</f>
        <v>56</v>
      </c>
      <c r="G16" s="420"/>
      <c r="H16" s="401">
        <v>4</v>
      </c>
      <c r="I16" s="335">
        <f>PLANTILLA!I17</f>
        <v>9</v>
      </c>
      <c r="J16" s="519">
        <f>PLANTILLA!V17</f>
        <v>0</v>
      </c>
      <c r="K16" s="519">
        <f>PLANTILLA!W17</f>
        <v>10.349999999999996</v>
      </c>
      <c r="L16" s="519">
        <f>PLANTILLA!X17</f>
        <v>12.749777777777778</v>
      </c>
      <c r="M16" s="519">
        <f>PLANTILLA!Y17</f>
        <v>5.1199999999999983</v>
      </c>
      <c r="N16" s="519">
        <f>PLANTILLA!Z17</f>
        <v>9.24</v>
      </c>
      <c r="O16" s="519">
        <f>PLANTILLA!AA17</f>
        <v>2.98</v>
      </c>
      <c r="P16" s="519">
        <f>PLANTILLA!AB17</f>
        <v>16.959999999999997</v>
      </c>
      <c r="Q16" s="443">
        <f t="shared" si="4"/>
        <v>30</v>
      </c>
      <c r="R16" s="444">
        <f t="shared" ca="1" si="5"/>
        <v>63</v>
      </c>
      <c r="S16" s="193"/>
      <c r="T16" s="193"/>
      <c r="U16" s="193"/>
      <c r="V16" s="193"/>
      <c r="W16" s="193"/>
      <c r="X16" s="193"/>
      <c r="Y16" s="193"/>
      <c r="Z16" s="193"/>
      <c r="AA16" s="323">
        <f t="shared" si="6"/>
        <v>9</v>
      </c>
      <c r="AB16" s="539">
        <f t="shared" si="20"/>
        <v>0</v>
      </c>
      <c r="AC16" s="539">
        <f>K16+(T$2/7)</f>
        <v>10.349999999999996</v>
      </c>
      <c r="AD16" s="539">
        <f>L16+(U$2/11)</f>
        <v>12.749777777777778</v>
      </c>
      <c r="AE16" s="539">
        <f>M16+(V$2/19)</f>
        <v>5.1199999999999983</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21.048194444444444</v>
      </c>
      <c r="BQ16" s="469">
        <f t="shared" si="34"/>
        <v>0</v>
      </c>
    </row>
    <row r="17" spans="1:69" s="272" customFormat="1" x14ac:dyDescent="0.25">
      <c r="A17" s="332" t="s">
        <v>450</v>
      </c>
      <c r="B17" s="285" t="s">
        <v>65</v>
      </c>
      <c r="C17" s="286">
        <f t="shared" ca="1" si="11"/>
        <v>2.7232142857142856</v>
      </c>
      <c r="D17" s="321" t="s">
        <v>440</v>
      </c>
      <c r="E17" s="419">
        <f>PLANTILLA!E18</f>
        <v>30</v>
      </c>
      <c r="F17" s="419">
        <f ca="1">PLANTILLA!F18</f>
        <v>31</v>
      </c>
      <c r="G17" s="420"/>
      <c r="H17" s="401">
        <v>1</v>
      </c>
      <c r="I17" s="335">
        <f>PLANTILLA!I18</f>
        <v>8</v>
      </c>
      <c r="J17" s="519">
        <f>PLANTILLA!V18</f>
        <v>0</v>
      </c>
      <c r="K17" s="519">
        <f>PLANTILLA!W18</f>
        <v>5.2811111111111115</v>
      </c>
      <c r="L17" s="519">
        <f>PLANTILLA!X18</f>
        <v>14.193842857142847</v>
      </c>
      <c r="M17" s="519">
        <f>PLANTILLA!Y18</f>
        <v>3.4924999999999993</v>
      </c>
      <c r="N17" s="519">
        <f>PLANTILLA!Z18</f>
        <v>9.1400000000000041</v>
      </c>
      <c r="O17" s="519">
        <f>PLANTILLA!AA18</f>
        <v>7.4318888888888894</v>
      </c>
      <c r="P17" s="519">
        <f>PLANTILLA!AB18</f>
        <v>16.07</v>
      </c>
      <c r="Q17" s="443">
        <f t="shared" si="4"/>
        <v>30</v>
      </c>
      <c r="R17" s="444">
        <f t="shared" ca="1" si="5"/>
        <v>38</v>
      </c>
      <c r="S17" s="193"/>
      <c r="T17" s="193"/>
      <c r="U17" s="193"/>
      <c r="V17" s="193"/>
      <c r="W17" s="193"/>
      <c r="X17" s="193"/>
      <c r="Y17" s="193"/>
      <c r="Z17" s="193"/>
      <c r="AA17" s="323">
        <f t="shared" si="6"/>
        <v>8</v>
      </c>
      <c r="AB17" s="539">
        <f t="shared" si="20"/>
        <v>0</v>
      </c>
      <c r="AC17" s="539">
        <f>K17+(T$2/6.5)</f>
        <v>5.2811111111111115</v>
      </c>
      <c r="AD17" s="539">
        <f>L17+(U$2/11)</f>
        <v>14.193842857142847</v>
      </c>
      <c r="AE17" s="539">
        <f>M17+(V$2/17)</f>
        <v>3.4924999999999993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17" t="s">
        <v>860</v>
      </c>
      <c r="AR17" s="718"/>
      <c r="AS17" s="361" t="s">
        <v>541</v>
      </c>
      <c r="AT17" s="361" t="s">
        <v>542</v>
      </c>
      <c r="AU17" s="361" t="s">
        <v>582</v>
      </c>
      <c r="AV17" s="361" t="s">
        <v>543</v>
      </c>
      <c r="AW17" s="361" t="s">
        <v>544</v>
      </c>
      <c r="AX17" s="361" t="s">
        <v>545</v>
      </c>
      <c r="AY17" s="361" t="s">
        <v>546</v>
      </c>
      <c r="AZ17" s="361" t="s">
        <v>874</v>
      </c>
      <c r="BA17" s="361" t="s">
        <v>875</v>
      </c>
      <c r="BB17" s="361" t="s">
        <v>699</v>
      </c>
      <c r="BC17" s="361" t="s">
        <v>738</v>
      </c>
      <c r="BE17" s="717" t="s">
        <v>785</v>
      </c>
      <c r="BF17" s="718"/>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4.1696428571428568</v>
      </c>
      <c r="D18" s="321" t="s">
        <v>454</v>
      </c>
      <c r="E18" s="419">
        <f>PLANTILLA!E19</f>
        <v>28</v>
      </c>
      <c r="F18" s="419">
        <f ca="1">PLANTILLA!F19</f>
        <v>93</v>
      </c>
      <c r="G18" s="420"/>
      <c r="H18" s="401">
        <v>3</v>
      </c>
      <c r="I18" s="335">
        <f>PLANTILLA!I19</f>
        <v>4</v>
      </c>
      <c r="J18" s="519">
        <f>PLANTILLA!V19</f>
        <v>0</v>
      </c>
      <c r="K18" s="519">
        <f>PLANTILLA!W19</f>
        <v>5.6315555555555523</v>
      </c>
      <c r="L18" s="519">
        <f>PLANTILLA!X19</f>
        <v>9.8263388888888876</v>
      </c>
      <c r="M18" s="519">
        <f>PLANTILLA!Y19</f>
        <v>7.0526666666666671</v>
      </c>
      <c r="N18" s="519">
        <f>PLANTILLA!Z19</f>
        <v>9.2666666666666639</v>
      </c>
      <c r="O18" s="519">
        <f>PLANTILLA!AA19</f>
        <v>3.5417777777777766</v>
      </c>
      <c r="P18" s="519">
        <f>PLANTILLA!AB19</f>
        <v>12.450000000000001</v>
      </c>
      <c r="Q18" s="443">
        <f t="shared" si="4"/>
        <v>28</v>
      </c>
      <c r="R18" s="444">
        <f t="shared" ca="1" si="5"/>
        <v>100</v>
      </c>
      <c r="S18" s="193"/>
      <c r="T18" s="193"/>
      <c r="U18" s="193"/>
      <c r="V18" s="193"/>
      <c r="W18" s="193"/>
      <c r="X18" s="193"/>
      <c r="Y18" s="193"/>
      <c r="Z18" s="193"/>
      <c r="AA18" s="323">
        <f t="shared" si="6"/>
        <v>4</v>
      </c>
      <c r="AB18" s="539">
        <f t="shared" si="20"/>
        <v>0</v>
      </c>
      <c r="AC18" s="539">
        <f>K18+(T$2/26)</f>
        <v>5.6315555555555523</v>
      </c>
      <c r="AD18" s="539">
        <f>L18+(U$2/55)</f>
        <v>9.8263388888888876</v>
      </c>
      <c r="AE18" s="539">
        <f>M18+(V$2/24)</f>
        <v>7.0526666666666671</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3.0357142857142856</v>
      </c>
      <c r="D20" s="321" t="str">
        <f>PLANTILLA!D7</f>
        <v>B. Pinczehelyi</v>
      </c>
      <c r="E20" s="419">
        <f>PLANTILLA!E7</f>
        <v>29</v>
      </c>
      <c r="F20" s="427">
        <f ca="1">PLANTILLA!F7</f>
        <v>108</v>
      </c>
      <c r="G20" s="420" t="s">
        <v>595</v>
      </c>
      <c r="H20" s="401">
        <v>2</v>
      </c>
      <c r="I20" s="335">
        <f>PLANTILLA!I7</f>
        <v>14</v>
      </c>
      <c r="J20" s="519">
        <f>PLANTILLA!V7</f>
        <v>0</v>
      </c>
      <c r="K20" s="519">
        <f>PLANTILLA!W7</f>
        <v>14.200000000000003</v>
      </c>
      <c r="L20" s="519">
        <f>PLANTILLA!X7</f>
        <v>9.283333333333335</v>
      </c>
      <c r="M20" s="519">
        <f>PLANTILLA!Y7</f>
        <v>14.249999999999996</v>
      </c>
      <c r="N20" s="519">
        <f>PLANTILLA!Z7</f>
        <v>9.4199999999999982</v>
      </c>
      <c r="O20" s="519">
        <f>PLANTILLA!AA7</f>
        <v>1.1428571428571428</v>
      </c>
      <c r="P20" s="519">
        <f>PLANTILLA!AB7</f>
        <v>9.4</v>
      </c>
      <c r="Q20" s="443">
        <f t="shared" si="4"/>
        <v>29</v>
      </c>
      <c r="R20" s="444">
        <f t="shared" ca="1" si="5"/>
        <v>115</v>
      </c>
      <c r="S20" s="193"/>
      <c r="T20" s="193"/>
      <c r="U20" s="193"/>
      <c r="V20" s="193"/>
      <c r="W20" s="193"/>
      <c r="X20" s="193"/>
      <c r="Y20" s="193"/>
      <c r="Z20" s="193"/>
      <c r="AA20" s="323">
        <f t="shared" si="6"/>
        <v>14</v>
      </c>
      <c r="AB20" s="539">
        <f t="shared" si="20"/>
        <v>0</v>
      </c>
      <c r="AC20" s="539">
        <f>K20+(T$2/20)</f>
        <v>14.200000000000003</v>
      </c>
      <c r="AD20" s="539">
        <f>L20+(U$2/50)</f>
        <v>9.283333333333335</v>
      </c>
      <c r="AE20" s="539">
        <f>M20+(V$2/35)</f>
        <v>14.249999999999996</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3.3928571428571428</v>
      </c>
      <c r="D21" s="418" t="s">
        <v>327</v>
      </c>
      <c r="E21" s="419">
        <f>PLANTILLA!E22</f>
        <v>29</v>
      </c>
      <c r="F21" s="419">
        <f ca="1">PLANTILLA!F22</f>
        <v>68</v>
      </c>
      <c r="G21" s="420" t="s">
        <v>336</v>
      </c>
      <c r="H21" s="401">
        <v>4</v>
      </c>
      <c r="I21" s="335">
        <f>PLANTILLA!I22</f>
        <v>10</v>
      </c>
      <c r="J21" s="519">
        <f>PLANTILLA!V22</f>
        <v>0</v>
      </c>
      <c r="K21" s="519">
        <f>PLANTILLA!W22</f>
        <v>6.8176190476190497</v>
      </c>
      <c r="L21" s="519">
        <f>PLANTILLA!X22</f>
        <v>8.3125</v>
      </c>
      <c r="M21" s="519">
        <f>PLANTILLA!Y22</f>
        <v>8.7199999999999971</v>
      </c>
      <c r="N21" s="519">
        <f>PLANTILLA!Z22</f>
        <v>9.6900000000000013</v>
      </c>
      <c r="O21" s="519">
        <f>PLANTILLA!AA22</f>
        <v>8.5625000000000018</v>
      </c>
      <c r="P21" s="519">
        <f>PLANTILLA!AB22</f>
        <v>18.639999999999993</v>
      </c>
      <c r="Q21" s="443">
        <f t="shared" si="4"/>
        <v>29</v>
      </c>
      <c r="R21" s="444">
        <f t="shared" ca="1" si="5"/>
        <v>75</v>
      </c>
      <c r="S21" s="193"/>
      <c r="T21" s="193"/>
      <c r="U21" s="193"/>
      <c r="V21" s="193"/>
      <c r="W21" s="193"/>
      <c r="X21" s="193"/>
      <c r="Y21" s="193"/>
      <c r="Z21" s="193"/>
      <c r="AA21" s="323">
        <f t="shared" si="6"/>
        <v>10</v>
      </c>
      <c r="AB21" s="539">
        <f t="shared" si="20"/>
        <v>0</v>
      </c>
      <c r="AC21" s="539">
        <f>K21+(T$2/32)</f>
        <v>6.8176190476190497</v>
      </c>
      <c r="AD21" s="539">
        <f>L21+(U$2/7)</f>
        <v>8.3125</v>
      </c>
      <c r="AE21" s="539">
        <f>M21+(V$2/25)</f>
        <v>8.7199999999999971</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2.7767857142857144</v>
      </c>
      <c r="D22" s="418" t="str">
        <f>PLANTILLA!D23</f>
        <v>L. Calosso</v>
      </c>
      <c r="E22" s="419">
        <f>PLANTILLA!E23</f>
        <v>30</v>
      </c>
      <c r="F22" s="419">
        <f ca="1">PLANTILLA!F23</f>
        <v>25</v>
      </c>
      <c r="G22" s="420"/>
      <c r="H22" s="401">
        <v>4</v>
      </c>
      <c r="I22" s="335">
        <f>PLANTILLA!I23</f>
        <v>10.1</v>
      </c>
      <c r="J22" s="519">
        <f>PLANTILLA!V23</f>
        <v>0</v>
      </c>
      <c r="K22" s="519">
        <f>PLANTILLA!W23</f>
        <v>2</v>
      </c>
      <c r="L22" s="519">
        <f>PLANTILLA!X23</f>
        <v>14.0938</v>
      </c>
      <c r="M22" s="519">
        <f>PLANTILLA!Y23</f>
        <v>3</v>
      </c>
      <c r="N22" s="519">
        <f>PLANTILLA!Z23</f>
        <v>15.02</v>
      </c>
      <c r="O22" s="519">
        <f>PLANTILLA!AA23</f>
        <v>10</v>
      </c>
      <c r="P22" s="519">
        <f>PLANTILLA!AB23</f>
        <v>9.3000000000000007</v>
      </c>
      <c r="Q22" s="443">
        <f t="shared" si="4"/>
        <v>30</v>
      </c>
      <c r="R22" s="444">
        <f t="shared" ca="1" si="5"/>
        <v>32</v>
      </c>
      <c r="S22" s="193"/>
      <c r="T22" s="193"/>
      <c r="U22" s="193"/>
      <c r="V22" s="193"/>
      <c r="W22" s="193"/>
      <c r="X22" s="193"/>
      <c r="Y22" s="193"/>
      <c r="Z22" s="193"/>
      <c r="AA22" s="323">
        <f t="shared" si="6"/>
        <v>10.1</v>
      </c>
      <c r="AB22" s="539">
        <f t="shared" si="20"/>
        <v>0</v>
      </c>
      <c r="AC22" s="539">
        <f>K22+(T$2/21)</f>
        <v>2</v>
      </c>
      <c r="AD22" s="539">
        <f>L22+(U$2/21)</f>
        <v>14.0938</v>
      </c>
      <c r="AE22" s="539">
        <f>M22+(V$2/22)</f>
        <v>3</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6.1160714285714288</v>
      </c>
      <c r="D23" s="321" t="s">
        <v>634</v>
      </c>
      <c r="E23" s="419">
        <f>PLANTILLA!E24</f>
        <v>26</v>
      </c>
      <c r="F23" s="419">
        <f ca="1">PLANTILLA!F24</f>
        <v>99</v>
      </c>
      <c r="G23" s="420"/>
      <c r="H23" s="428">
        <v>6</v>
      </c>
      <c r="I23" s="335">
        <f>PLANTILLA!I24</f>
        <v>5.3</v>
      </c>
      <c r="J23" s="519">
        <f>PLANTILLA!V24</f>
        <v>0</v>
      </c>
      <c r="K23" s="519">
        <f>PLANTILLA!W24</f>
        <v>4</v>
      </c>
      <c r="L23" s="519">
        <f>PLANTILLA!X24</f>
        <v>5.5138722222222212</v>
      </c>
      <c r="M23" s="519">
        <f>PLANTILLA!Y24</f>
        <v>5.47</v>
      </c>
      <c r="N23" s="519">
        <f>PLANTILLA!Z24</f>
        <v>10.799999999999999</v>
      </c>
      <c r="O23" s="519">
        <f>PLANTILLA!AA24</f>
        <v>8.384500000000001</v>
      </c>
      <c r="P23" s="519">
        <f>PLANTILLA!AB24</f>
        <v>13.566666666666668</v>
      </c>
      <c r="Q23" s="443">
        <f t="shared" si="4"/>
        <v>26</v>
      </c>
      <c r="R23" s="444">
        <f t="shared" ca="1" si="5"/>
        <v>106</v>
      </c>
      <c r="S23" s="193"/>
      <c r="T23" s="193"/>
      <c r="U23" s="193"/>
      <c r="V23" s="193"/>
      <c r="W23" s="193"/>
      <c r="X23" s="193"/>
      <c r="Y23" s="193"/>
      <c r="Z23" s="193"/>
      <c r="AA23" s="323">
        <f t="shared" si="6"/>
        <v>5.3</v>
      </c>
      <c r="AB23" s="539">
        <f t="shared" si="20"/>
        <v>0</v>
      </c>
      <c r="AC23" s="539">
        <f>K23+(T$2/20)</f>
        <v>4</v>
      </c>
      <c r="AD23" s="539">
        <f>L23+(U$2/27)</f>
        <v>5.5138722222222212</v>
      </c>
      <c r="AE23" s="539">
        <f>M23+(V$2/21)</f>
        <v>5.47</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4.6012500000000003</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19" t="s">
        <v>867</v>
      </c>
      <c r="B4" s="573" t="s">
        <v>820</v>
      </c>
      <c r="C4" s="616">
        <v>5.9340247552447711E-2</v>
      </c>
      <c r="D4" s="590">
        <v>6.8999559240759498E-2</v>
      </c>
      <c r="E4" s="590">
        <v>7.5579372027972075E-2</v>
      </c>
      <c r="F4" s="590"/>
      <c r="G4" s="590"/>
      <c r="H4" s="590"/>
      <c r="I4" s="590"/>
      <c r="J4" s="590">
        <v>0</v>
      </c>
      <c r="K4" s="590">
        <v>3.6222627372627408E-2</v>
      </c>
      <c r="L4" s="590"/>
      <c r="M4" s="9"/>
      <c r="N4" s="721"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19"/>
      <c r="B5" s="573" t="s">
        <v>819</v>
      </c>
      <c r="C5" s="611"/>
      <c r="D5" s="577"/>
      <c r="E5" s="577"/>
      <c r="F5" s="577">
        <v>5.254696863959811E-2</v>
      </c>
      <c r="G5" s="577"/>
      <c r="H5" s="577"/>
      <c r="I5" s="577"/>
      <c r="J5" s="577"/>
      <c r="K5" s="577"/>
      <c r="L5" s="577"/>
      <c r="M5" s="9"/>
      <c r="N5" s="721"/>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19"/>
      <c r="B6" s="573" t="s">
        <v>871</v>
      </c>
      <c r="C6" s="611"/>
      <c r="D6" s="577"/>
      <c r="E6" s="577"/>
      <c r="F6" s="577"/>
      <c r="G6" s="577">
        <v>3.9584999999999822E-2</v>
      </c>
      <c r="H6" s="577">
        <v>6.3542692307692147E-2</v>
      </c>
      <c r="I6" s="577">
        <v>0</v>
      </c>
      <c r="J6" s="577"/>
      <c r="K6" s="577"/>
      <c r="L6" s="577"/>
      <c r="M6" s="9"/>
      <c r="N6" s="721"/>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19"/>
      <c r="B7" s="573" t="s">
        <v>872</v>
      </c>
      <c r="C7" s="611"/>
      <c r="D7" s="577"/>
      <c r="E7" s="577"/>
      <c r="F7" s="577"/>
      <c r="G7" s="577">
        <v>3.3714285714285648E-2</v>
      </c>
      <c r="H7" s="577">
        <v>3.433928571428569E-2</v>
      </c>
      <c r="I7" s="577">
        <v>4.9198011904761828E-2</v>
      </c>
      <c r="J7" s="577"/>
      <c r="K7" s="577"/>
      <c r="L7" s="577"/>
      <c r="M7" s="9"/>
      <c r="N7" s="721"/>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19"/>
      <c r="B8" s="573" t="s">
        <v>838</v>
      </c>
      <c r="C8" s="611"/>
      <c r="D8" s="577"/>
      <c r="E8" s="577"/>
      <c r="F8" s="577"/>
      <c r="G8" s="577"/>
      <c r="H8" s="577"/>
      <c r="I8" s="577"/>
      <c r="J8" s="577"/>
      <c r="K8" s="577"/>
      <c r="L8" s="577"/>
      <c r="M8" s="9"/>
      <c r="N8" s="721"/>
      <c r="O8" s="617" t="s">
        <v>838</v>
      </c>
      <c r="P8" s="582"/>
      <c r="Q8" s="678"/>
      <c r="R8" s="569"/>
      <c r="S8" s="678"/>
      <c r="T8" s="569"/>
      <c r="U8" s="678"/>
      <c r="V8" s="569"/>
      <c r="W8" s="678"/>
      <c r="X8" s="582"/>
      <c r="Y8" s="678"/>
      <c r="Z8" s="569"/>
      <c r="AA8" s="678"/>
      <c r="AB8" s="569"/>
      <c r="AC8" s="678"/>
      <c r="AD8" s="582"/>
      <c r="AE8" s="680"/>
      <c r="AF8" s="582"/>
      <c r="AG8" s="680"/>
    </row>
    <row r="9" spans="1:33" x14ac:dyDescent="0.25">
      <c r="A9" s="719"/>
      <c r="B9" s="585" t="s">
        <v>0</v>
      </c>
      <c r="C9" s="612"/>
      <c r="D9" s="568"/>
      <c r="E9" s="568"/>
      <c r="F9" s="568"/>
      <c r="G9" s="568"/>
      <c r="H9" s="568"/>
      <c r="I9" s="568"/>
      <c r="J9" s="568"/>
      <c r="K9" s="568"/>
      <c r="L9" s="568"/>
      <c r="M9" s="9"/>
      <c r="N9" s="721"/>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0" t="s">
        <v>868</v>
      </c>
      <c r="B10" s="574" t="s">
        <v>820</v>
      </c>
      <c r="C10" s="616">
        <v>4.0980247552447779E-2</v>
      </c>
      <c r="D10" s="590">
        <v>7.0304873926074096E-2</v>
      </c>
      <c r="E10" s="590">
        <v>4.0579372027972196E-2</v>
      </c>
      <c r="F10" s="590"/>
      <c r="G10" s="590"/>
      <c r="H10" s="590"/>
      <c r="I10" s="590"/>
      <c r="J10" s="590">
        <v>0</v>
      </c>
      <c r="K10" s="590">
        <v>3.0871978021978067E-2</v>
      </c>
      <c r="L10" s="590"/>
      <c r="M10" s="9"/>
      <c r="N10" s="722"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19"/>
      <c r="B11" s="573" t="s">
        <v>819</v>
      </c>
      <c r="C11" s="611"/>
      <c r="D11" s="577"/>
      <c r="E11" s="577"/>
      <c r="F11" s="577">
        <v>5.1022557865187314E-2</v>
      </c>
      <c r="G11" s="577"/>
      <c r="H11" s="577"/>
      <c r="I11" s="577"/>
      <c r="J11" s="577"/>
      <c r="K11" s="577"/>
      <c r="L11" s="577"/>
      <c r="M11" s="9"/>
      <c r="N11" s="721"/>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19"/>
      <c r="B12" s="573" t="s">
        <v>871</v>
      </c>
      <c r="C12" s="611"/>
      <c r="D12" s="577"/>
      <c r="E12" s="577"/>
      <c r="F12" s="577"/>
      <c r="G12" s="577">
        <v>4.2215952380952187E-2</v>
      </c>
      <c r="H12" s="577">
        <v>6.617364468864452E-2</v>
      </c>
      <c r="I12" s="577">
        <v>0</v>
      </c>
      <c r="J12" s="577"/>
      <c r="K12" s="577"/>
      <c r="L12" s="577"/>
      <c r="M12" s="9"/>
      <c r="N12" s="721"/>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19"/>
      <c r="B13" s="573" t="s">
        <v>872</v>
      </c>
      <c r="C13" s="611"/>
      <c r="D13" s="577"/>
      <c r="E13" s="577"/>
      <c r="F13" s="577"/>
      <c r="G13" s="577">
        <v>3.8151785714285652E-2</v>
      </c>
      <c r="H13" s="577">
        <v>3.8776785714285687E-2</v>
      </c>
      <c r="I13" s="577">
        <v>5.7961761904761842E-2</v>
      </c>
      <c r="J13" s="577"/>
      <c r="K13" s="577"/>
      <c r="L13" s="577"/>
      <c r="M13" s="9"/>
      <c r="N13" s="721"/>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19"/>
      <c r="B14" s="573" t="s">
        <v>838</v>
      </c>
      <c r="C14" s="611"/>
      <c r="D14" s="577"/>
      <c r="E14" s="577"/>
      <c r="F14" s="577"/>
      <c r="G14" s="577"/>
      <c r="H14" s="577"/>
      <c r="I14" s="577"/>
      <c r="J14" s="577"/>
      <c r="K14" s="577"/>
      <c r="L14" s="577"/>
      <c r="M14" s="9"/>
      <c r="N14" s="721"/>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19"/>
      <c r="B15" s="585" t="s">
        <v>0</v>
      </c>
      <c r="C15" s="612"/>
      <c r="D15" s="568"/>
      <c r="E15" s="568"/>
      <c r="F15" s="568"/>
      <c r="G15" s="568"/>
      <c r="H15" s="568"/>
      <c r="I15" s="568"/>
      <c r="J15" s="568"/>
      <c r="K15" s="568"/>
      <c r="L15" s="568"/>
      <c r="M15" s="9"/>
      <c r="N15" s="721"/>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0"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22"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19"/>
      <c r="B17" s="573" t="s">
        <v>819</v>
      </c>
      <c r="C17" s="611"/>
      <c r="D17" s="577"/>
      <c r="E17" s="577"/>
      <c r="F17" s="577">
        <v>4.2273232055429683E-2</v>
      </c>
      <c r="G17" s="577"/>
      <c r="H17" s="577"/>
      <c r="I17" s="577"/>
      <c r="J17" s="577"/>
      <c r="K17" s="577"/>
      <c r="L17" s="577"/>
      <c r="M17" s="9"/>
      <c r="N17" s="721"/>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19"/>
      <c r="B18" s="573" t="s">
        <v>871</v>
      </c>
      <c r="C18" s="611"/>
      <c r="D18" s="577"/>
      <c r="E18" s="577"/>
      <c r="F18" s="577"/>
      <c r="G18" s="577">
        <v>5.2239892473118138E-2</v>
      </c>
      <c r="H18" s="577">
        <v>8.0176190476190248E-2</v>
      </c>
      <c r="I18" s="577">
        <v>0</v>
      </c>
      <c r="J18" s="577"/>
      <c r="K18" s="577"/>
      <c r="L18" s="577"/>
      <c r="M18" s="9"/>
      <c r="N18" s="721"/>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19"/>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1"/>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19"/>
      <c r="B20" s="573" t="s">
        <v>838</v>
      </c>
      <c r="C20" s="611"/>
      <c r="D20" s="577"/>
      <c r="E20" s="577"/>
      <c r="F20" s="577"/>
      <c r="G20" s="577"/>
      <c r="H20" s="577"/>
      <c r="I20" s="577"/>
      <c r="J20" s="577"/>
      <c r="K20" s="577"/>
      <c r="L20" s="577"/>
      <c r="M20" s="9"/>
      <c r="N20" s="721"/>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19"/>
      <c r="B21" s="585" t="s">
        <v>0</v>
      </c>
      <c r="C21" s="611"/>
      <c r="D21" s="577"/>
      <c r="E21" s="577"/>
      <c r="F21" s="577"/>
      <c r="G21" s="577"/>
      <c r="H21" s="577"/>
      <c r="I21" s="577"/>
      <c r="J21" s="577"/>
      <c r="K21" s="577"/>
      <c r="L21" s="577"/>
      <c r="M21" s="9"/>
      <c r="N21" s="721"/>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0"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22"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19"/>
      <c r="B23" s="589" t="s">
        <v>819</v>
      </c>
      <c r="C23" s="611"/>
      <c r="D23" s="577"/>
      <c r="E23" s="577"/>
      <c r="F23" s="577">
        <v>4.3797642829840472E-2</v>
      </c>
      <c r="G23" s="577"/>
      <c r="H23" s="577"/>
      <c r="I23" s="577"/>
      <c r="J23" s="577"/>
      <c r="K23" s="577"/>
      <c r="L23" s="577"/>
      <c r="M23" s="9"/>
      <c r="N23" s="721"/>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19"/>
      <c r="B24" s="589" t="s">
        <v>871</v>
      </c>
      <c r="C24" s="611"/>
      <c r="D24" s="577"/>
      <c r="E24" s="577"/>
      <c r="F24" s="577"/>
      <c r="G24" s="577">
        <v>4.8379892473118219E-2</v>
      </c>
      <c r="H24" s="577">
        <v>7.5159999999999741E-2</v>
      </c>
      <c r="I24" s="577">
        <v>0</v>
      </c>
      <c r="J24" s="577"/>
      <c r="K24" s="577"/>
      <c r="L24" s="577"/>
      <c r="M24" s="9"/>
      <c r="N24" s="721"/>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19"/>
      <c r="B25" s="589" t="s">
        <v>872</v>
      </c>
      <c r="C25" s="611"/>
      <c r="D25" s="577"/>
      <c r="E25" s="577"/>
      <c r="F25" s="577"/>
      <c r="G25" s="577">
        <v>2.3874999999999962E-2</v>
      </c>
      <c r="H25" s="577">
        <v>2.31875E-2</v>
      </c>
      <c r="I25" s="577">
        <v>2.7005333333333312E-2</v>
      </c>
      <c r="J25" s="577"/>
      <c r="K25" s="577"/>
      <c r="L25" s="577">
        <v>0.16964285714285698</v>
      </c>
      <c r="M25" s="688">
        <f>1/L25</f>
        <v>5.894736842105269</v>
      </c>
      <c r="N25" s="721"/>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19"/>
      <c r="B26" s="589" t="s">
        <v>838</v>
      </c>
      <c r="C26" s="611"/>
      <c r="D26" s="577"/>
      <c r="E26" s="577"/>
      <c r="F26" s="577"/>
      <c r="G26" s="577"/>
      <c r="H26" s="577"/>
      <c r="I26" s="577"/>
      <c r="J26" s="577"/>
      <c r="K26" s="577"/>
      <c r="L26" s="577"/>
      <c r="M26" s="9"/>
      <c r="N26" s="721"/>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19"/>
      <c r="B27" s="585" t="s">
        <v>0</v>
      </c>
      <c r="C27" s="612"/>
      <c r="D27" s="568"/>
      <c r="E27" s="568"/>
      <c r="F27" s="568"/>
      <c r="G27" s="568"/>
      <c r="H27" s="568"/>
      <c r="I27" s="568"/>
      <c r="J27" s="568"/>
      <c r="K27" s="568"/>
      <c r="L27" s="568"/>
      <c r="M27" s="9"/>
      <c r="N27" s="721"/>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2.0199999999999996</v>
      </c>
      <c r="H3" s="290">
        <f>Evaluacion!N3</f>
        <v>2.1199999999999992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13.020999999999999</v>
      </c>
      <c r="H4" s="290">
        <f>Evaluacion!N6</f>
        <v>9.7100000000000062</v>
      </c>
      <c r="I4" s="290">
        <f>Evaluacion!O6</f>
        <v>9.6</v>
      </c>
      <c r="J4" s="290">
        <f>Evaluacion!P6</f>
        <v>3.6816666666666658</v>
      </c>
      <c r="K4" s="290">
        <f>Evaluacion!Q6</f>
        <v>16.627777777777773</v>
      </c>
      <c r="M4" t="s">
        <v>967</v>
      </c>
      <c r="N4" s="629">
        <v>1</v>
      </c>
      <c r="O4" s="630">
        <f>Evaluacion!AI6</f>
        <v>13.803416720921515</v>
      </c>
      <c r="P4" s="630">
        <f>Evaluacion!AJ6</f>
        <v>6.2115375244146813</v>
      </c>
      <c r="Q4" s="630">
        <v>0</v>
      </c>
      <c r="R4" s="630">
        <f>Evaluacion!AK6</f>
        <v>2.6661072091237958</v>
      </c>
      <c r="S4" s="630">
        <f>Evaluacion!AL6</f>
        <v>7.4403837303281</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12.749777777777778</v>
      </c>
      <c r="H5" s="290">
        <f>Evaluacion!N15</f>
        <v>5.1199999999999983</v>
      </c>
      <c r="I5" s="290">
        <f>Evaluacion!O15</f>
        <v>9.24</v>
      </c>
      <c r="J5" s="290">
        <f>Evaluacion!P15</f>
        <v>2.98</v>
      </c>
      <c r="K5" s="290">
        <f>Evaluacion!Q15</f>
        <v>16.959999999999997</v>
      </c>
      <c r="M5" t="s">
        <v>968</v>
      </c>
      <c r="N5" s="629">
        <v>1</v>
      </c>
      <c r="O5" s="630">
        <f>(Evaluacion!AA15+Evaluacion!AC15)/2</f>
        <v>5.0783391348706903</v>
      </c>
      <c r="P5" s="630">
        <f>Evaluacion!AB15</f>
        <v>13.122323345919096</v>
      </c>
      <c r="Q5" s="630">
        <f>O5</f>
        <v>5.0783391348706903</v>
      </c>
      <c r="R5" s="630">
        <f>Evaluacion!AD15</f>
        <v>3.6942600674398567</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9.283333333333335</v>
      </c>
      <c r="H6" s="290">
        <f>Evaluacion!N9</f>
        <v>14.249999999999996</v>
      </c>
      <c r="I6" s="290">
        <f>Evaluacion!O9</f>
        <v>9.4199999999999982</v>
      </c>
      <c r="J6" s="290">
        <f>Evaluacion!P9</f>
        <v>1.1428571428571428</v>
      </c>
      <c r="K6" s="290">
        <f>Evaluacion!Q9</f>
        <v>9.4</v>
      </c>
      <c r="M6" t="s">
        <v>967</v>
      </c>
      <c r="N6" s="629">
        <v>1</v>
      </c>
      <c r="O6" s="630">
        <v>0</v>
      </c>
      <c r="P6" s="630">
        <f>Evaluacion!AJ9</f>
        <v>6.925462675694388</v>
      </c>
      <c r="Q6" s="630">
        <f>Evaluacion!AI9</f>
        <v>15.389917057098641</v>
      </c>
      <c r="R6" s="630">
        <f>Evaluacion!AK9</f>
        <v>1.9725211759443546</v>
      </c>
      <c r="S6" s="630">
        <v>0</v>
      </c>
      <c r="T6" s="630">
        <f>0</f>
        <v>0</v>
      </c>
      <c r="U6" s="630">
        <f>Evaluacion!AL9</f>
        <v>9.865564379971735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13.499999999999998</v>
      </c>
      <c r="H7" s="290">
        <f>Evaluacion!N13</f>
        <v>12.725000000000001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11.887982009114445</v>
      </c>
      <c r="S7" s="630">
        <f>Evaluacion!BH13*N7</f>
        <v>10.634475652500278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14.193842857142847</v>
      </c>
      <c r="H8" s="290">
        <f>Evaluacion!N16</f>
        <v>3.4924999999999993</v>
      </c>
      <c r="I8" s="290">
        <f>Evaluacion!O16</f>
        <v>9.1400000000000041</v>
      </c>
      <c r="J8" s="290">
        <f>Evaluacion!P16</f>
        <v>7.4318888888888894</v>
      </c>
      <c r="K8" s="290">
        <f>Evaluacion!Q16</f>
        <v>16.07</v>
      </c>
      <c r="M8" t="s">
        <v>969</v>
      </c>
      <c r="N8" s="629">
        <v>0.82499999999999996</v>
      </c>
      <c r="O8" s="630">
        <f>((Evaluacion!AX16+Evaluacion!AZ16)/2)*N8</f>
        <v>0.93382286872171882</v>
      </c>
      <c r="P8" s="630">
        <f>Evaluacion!AY16*N8</f>
        <v>2.6351262609431219</v>
      </c>
      <c r="Q8" s="630">
        <f>O8</f>
        <v>0.93382286872171882</v>
      </c>
      <c r="R8" s="630">
        <f>Evaluacion!BA16*N8</f>
        <v>13.940819342833986</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14.09516031746031</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12.344166048924926</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11.99</v>
      </c>
      <c r="G10" s="290">
        <f>Evaluacion!M10</f>
        <v>12.399111111111115</v>
      </c>
      <c r="H10" s="290">
        <f>Evaluacion!N10</f>
        <v>13.05</v>
      </c>
      <c r="I10" s="290">
        <f>Evaluacion!O10</f>
        <v>10.91</v>
      </c>
      <c r="J10" s="290">
        <f>Evaluacion!P10</f>
        <v>7.7700000000000005</v>
      </c>
      <c r="K10" s="290">
        <f>Evaluacion!Q10</f>
        <v>17.13</v>
      </c>
      <c r="M10" t="s">
        <v>970</v>
      </c>
      <c r="N10" s="629">
        <v>1</v>
      </c>
      <c r="O10" s="630">
        <f>Evaluacion!BT10</f>
        <v>4.2425282558821715</v>
      </c>
      <c r="P10" s="630">
        <f>Evaluacion!BU10</f>
        <v>3.6449890649128518</v>
      </c>
      <c r="Q10" s="630">
        <v>0</v>
      </c>
      <c r="R10" s="630">
        <f>Evaluacion!BV10</f>
        <v>6.9831538528315704</v>
      </c>
      <c r="S10" s="630">
        <f>Evaluacion!BW10</f>
        <v>17.20415558985016</v>
      </c>
      <c r="T10" s="630">
        <f>Evaluacion!BX10</f>
        <v>1.6768760526821926</v>
      </c>
      <c r="U10" s="630">
        <v>0</v>
      </c>
      <c r="V10" s="630">
        <v>0</v>
      </c>
      <c r="W10" s="630">
        <f>Evaluacion!T10*N10</f>
        <v>0.90239999999999987</v>
      </c>
      <c r="X10" s="630">
        <f>Evaluacion!U10*N10</f>
        <v>0.99349999999999983</v>
      </c>
    </row>
    <row r="11" spans="2:25" x14ac:dyDescent="0.25">
      <c r="B11" t="s">
        <v>970</v>
      </c>
      <c r="C11" t="str">
        <f>Evaluacion!A11</f>
        <v>K. Helms</v>
      </c>
      <c r="D11" s="669" t="str">
        <f>Evaluacion!D11</f>
        <v>TEC</v>
      </c>
      <c r="E11" s="290">
        <f>Evaluacion!K11</f>
        <v>0</v>
      </c>
      <c r="F11" s="290">
        <f>Evaluacion!L11</f>
        <v>7.11</v>
      </c>
      <c r="G11" s="290">
        <f>Evaluacion!M11</f>
        <v>10.250000000000004</v>
      </c>
      <c r="H11" s="290">
        <f>Evaluacion!N11</f>
        <v>13.305</v>
      </c>
      <c r="I11" s="290">
        <f>Evaluacion!O11</f>
        <v>10.359999999999998</v>
      </c>
      <c r="J11" s="290">
        <f>Evaluacion!P11</f>
        <v>5.4050000000000002</v>
      </c>
      <c r="K11" s="290">
        <f>Evaluacion!Q11</f>
        <v>17.300000000000004</v>
      </c>
      <c r="M11" t="s">
        <v>970</v>
      </c>
      <c r="N11" s="629">
        <v>1</v>
      </c>
      <c r="O11" s="630">
        <v>0</v>
      </c>
      <c r="P11" s="630">
        <f>Evaluacion!BU11</f>
        <v>2.4289712558798771</v>
      </c>
      <c r="Q11" s="630">
        <f>Evaluacion!BT11</f>
        <v>2.8271632650405123</v>
      </c>
      <c r="R11" s="630">
        <f>Evaluacion!BV11</f>
        <v>5.958134104202232</v>
      </c>
      <c r="S11" s="630">
        <v>0</v>
      </c>
      <c r="T11" s="630">
        <f>Evaluacion!BX11</f>
        <v>1.5977808277109224</v>
      </c>
      <c r="U11" s="630">
        <f>Evaluacion!BW11</f>
        <v>17.175398653749603</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8.3125</v>
      </c>
      <c r="H12" s="290">
        <f>Evaluacion!N19</f>
        <v>8.7199999999999971</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2.6332031250000001</v>
      </c>
      <c r="S12" s="630">
        <f>N12*Evaluacion!CH19</f>
        <v>6.7704682499999995</v>
      </c>
      <c r="T12" s="630">
        <f>N12*Evaluacion!CI19</f>
        <v>15.136011450000003</v>
      </c>
      <c r="U12" s="630">
        <f>S12</f>
        <v>6.7704682499999995</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14.0938</v>
      </c>
      <c r="H13" s="290">
        <f>Evaluacion!N20</f>
        <v>3</v>
      </c>
      <c r="I13" s="290">
        <f>Evaluacion!O20</f>
        <v>15.02</v>
      </c>
      <c r="J13" s="290">
        <f>Evaluacion!P20</f>
        <v>10</v>
      </c>
      <c r="K13" s="290">
        <f>Evaluacion!Q20</f>
        <v>9.3000000000000007</v>
      </c>
      <c r="M13" t="s">
        <v>736</v>
      </c>
      <c r="N13" s="629">
        <f>1-0.055</f>
        <v>0.94499999999999995</v>
      </c>
      <c r="O13" s="630">
        <v>0</v>
      </c>
      <c r="P13" s="630">
        <v>0</v>
      </c>
      <c r="Q13" s="630">
        <v>0</v>
      </c>
      <c r="R13" s="630">
        <f>N13*Evaluacion!CD20</f>
        <v>6.4966438879722483</v>
      </c>
      <c r="S13" s="630">
        <f>N13*Evaluacion!CE20</f>
        <v>7.836673503510645</v>
      </c>
      <c r="T13" s="630">
        <f>N13*Evaluacion!CF20</f>
        <v>16.237633692267863</v>
      </c>
      <c r="U13" s="630">
        <f>S13</f>
        <v>7.836673503510645</v>
      </c>
      <c r="V13" s="630">
        <v>0</v>
      </c>
      <c r="W13" s="630">
        <f>Evaluacion!T20*N13</f>
        <v>0.736155</v>
      </c>
      <c r="X13" s="630">
        <f>Evaluacion!U20*N13</f>
        <v>0.33925499999999997</v>
      </c>
    </row>
    <row r="14" spans="2:25" x14ac:dyDescent="0.25">
      <c r="M14" s="288"/>
      <c r="N14" s="476"/>
      <c r="O14" s="631">
        <f>SUM(O3:O13)</f>
        <v>42.500911300518617</v>
      </c>
      <c r="P14" s="631">
        <f t="shared" ref="P14:X14" si="0">SUM(P3:P13)</f>
        <v>64.642391339619735</v>
      </c>
      <c r="Q14" s="631">
        <f t="shared" si="0"/>
        <v>42.539133447463691</v>
      </c>
      <c r="R14" s="631">
        <f t="shared" si="0"/>
        <v>68.576990823387419</v>
      </c>
      <c r="S14" s="631">
        <f t="shared" si="0"/>
        <v>51.740279683724083</v>
      </c>
      <c r="T14" s="631">
        <f t="shared" si="0"/>
        <v>44.808021102860351</v>
      </c>
      <c r="U14" s="631">
        <f t="shared" si="0"/>
        <v>52.973646401583103</v>
      </c>
      <c r="V14" s="687">
        <f t="shared" si="0"/>
        <v>12.766249999999999</v>
      </c>
      <c r="W14" s="687">
        <f t="shared" si="0"/>
        <v>7.4621610932539681</v>
      </c>
      <c r="X14" s="687">
        <f t="shared" si="0"/>
        <v>8.6302719242424235</v>
      </c>
    </row>
    <row r="15" spans="2:25" ht="15.75" x14ac:dyDescent="0.25">
      <c r="M15" s="288"/>
      <c r="N15" s="288" t="s">
        <v>975</v>
      </c>
      <c r="O15" s="633">
        <f>O14*0.34</f>
        <v>14.450309842176331</v>
      </c>
      <c r="P15" s="633">
        <f>P14*0.245</f>
        <v>15.837385878206835</v>
      </c>
      <c r="Q15" s="633">
        <f>Q14*0.34</f>
        <v>14.463305372137656</v>
      </c>
      <c r="R15" s="633">
        <f>R14*0.125</f>
        <v>8.5721238529234274</v>
      </c>
      <c r="S15" s="633">
        <f>S14*0.25</f>
        <v>12.935069920931021</v>
      </c>
      <c r="T15" s="633">
        <f>T14*0.19</f>
        <v>8.5135240095434668</v>
      </c>
      <c r="U15" s="633">
        <f>U14*0.25</f>
        <v>13.243411600395776</v>
      </c>
    </row>
    <row r="16" spans="2:25" ht="15.75" x14ac:dyDescent="0.25">
      <c r="M16" s="288"/>
      <c r="N16" s="288" t="s">
        <v>976</v>
      </c>
      <c r="O16" s="643">
        <f>O15*1.2/1.05</f>
        <v>16.514639819630091</v>
      </c>
      <c r="P16" s="643">
        <f t="shared" ref="P16:Q16" si="1">P15*1.2/1.05</f>
        <v>18.099869575093525</v>
      </c>
      <c r="Q16" s="643">
        <f t="shared" si="1"/>
        <v>16.529491853871605</v>
      </c>
      <c r="R16" s="643">
        <f>R15</f>
        <v>8.5721238529234274</v>
      </c>
      <c r="S16" s="643">
        <f>S15*0.925/1.05</f>
        <v>11.395180644629708</v>
      </c>
      <c r="T16" s="643">
        <f t="shared" ref="T16:U16" si="2">T15*0.925/1.05</f>
        <v>7.5000092465025778</v>
      </c>
      <c r="U16" s="643">
        <f t="shared" si="2"/>
        <v>11.666814981301039</v>
      </c>
    </row>
    <row r="17" spans="13:21" ht="15.75" x14ac:dyDescent="0.25">
      <c r="M17" s="288"/>
      <c r="N17" s="288" t="s">
        <v>977</v>
      </c>
      <c r="O17" s="643">
        <f>O15*0.925/1.05</f>
        <v>12.730034860964862</v>
      </c>
      <c r="P17" s="643">
        <f t="shared" ref="P17:Q17" si="3">P15*0.925/1.05</f>
        <v>13.951982797467926</v>
      </c>
      <c r="Q17" s="643">
        <f t="shared" si="3"/>
        <v>12.74148330402603</v>
      </c>
      <c r="R17" s="643">
        <f>R16</f>
        <v>8.5721238529234274</v>
      </c>
      <c r="S17" s="643">
        <f>S15*1.135/1.05</f>
        <v>13.982194628815913</v>
      </c>
      <c r="T17" s="643">
        <f t="shared" ref="T17:U17" si="4">T15*1.135/1.05</f>
        <v>9.2027140484112717</v>
      </c>
      <c r="U17" s="643">
        <f t="shared" si="4"/>
        <v>14.315497301380196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2.0199999999999996</v>
      </c>
      <c r="G2" s="290">
        <f>Evaluacion!N3</f>
        <v>2.1199999999999992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1.9725211759443546</v>
      </c>
      <c r="R3" s="630">
        <f>Evaluacion!AL9</f>
        <v>9.865564379971735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6.6275000000000022</v>
      </c>
      <c r="G4" s="290">
        <f>Evaluacion!N7</f>
        <v>7.3600000000000012</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13.020999999999999</v>
      </c>
      <c r="G5" s="290">
        <f>Evaluacion!N6</f>
        <v>9.7100000000000062</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3.4196417017623779</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11.99</v>
      </c>
      <c r="F7" s="290">
        <f>Evaluacion!M10</f>
        <v>12.399111111111115</v>
      </c>
      <c r="G7" s="290">
        <f>Evaluacion!N10</f>
        <v>13.05</v>
      </c>
      <c r="H7" s="290">
        <f>Evaluacion!O10</f>
        <v>10.91</v>
      </c>
      <c r="I7" s="290">
        <f>Evaluacion!P10</f>
        <v>7.7700000000000005</v>
      </c>
      <c r="J7" s="290">
        <f>Evaluacion!Q10</f>
        <v>17.13</v>
      </c>
      <c r="L7" t="str">
        <f t="shared" si="0"/>
        <v>LATN</v>
      </c>
      <c r="M7" s="629">
        <v>1</v>
      </c>
      <c r="N7" s="630">
        <v>0</v>
      </c>
      <c r="O7" s="630">
        <f>Evaluacion!AJ10</f>
        <v>6.1845306265324611</v>
      </c>
      <c r="P7" s="630">
        <f>Evaluacion!AI10</f>
        <v>13.743401392294359</v>
      </c>
      <c r="Q7" s="630">
        <f>Evaluacion!AK10</f>
        <v>2.5630476778524667</v>
      </c>
      <c r="R7" s="630">
        <v>0</v>
      </c>
      <c r="S7" s="630">
        <v>0</v>
      </c>
      <c r="T7" s="630">
        <f>Evaluacion!AL10</f>
        <v>9.4071061072490014</v>
      </c>
      <c r="U7" s="630">
        <f>Evaluacion!R10</f>
        <v>4.6012500000000003</v>
      </c>
      <c r="V7" s="630">
        <f>Evaluacion!T10</f>
        <v>0.90239999999999987</v>
      </c>
      <c r="W7" s="630">
        <f>Evaluacion!U10</f>
        <v>0.99349999999999983</v>
      </c>
      <c r="AA7" s="636"/>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13.990054855448252</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13.499999999999998</v>
      </c>
      <c r="G9" s="290">
        <f>Evaluacion!N13</f>
        <v>12.725000000000001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13.473046276996374</v>
      </c>
      <c r="R9" s="630">
        <v>0</v>
      </c>
      <c r="S9" s="630">
        <f>Evaluacion!BI13*M9</f>
        <v>2.8233073433478548</v>
      </c>
      <c r="T9" s="630">
        <f>Evaluacion!BH13*M9</f>
        <v>12.052405739500315</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10.250000000000004</v>
      </c>
      <c r="G10" s="290">
        <f>Evaluacion!N11</f>
        <v>13.305</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5.958134104202232</v>
      </c>
      <c r="R10" s="630">
        <f>Evaluacion!BW11</f>
        <v>17.175398653749603</v>
      </c>
      <c r="S10" s="630">
        <f>Evaluacion!BX11</f>
        <v>1.5977808277109224</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6.6905068381988757</v>
      </c>
      <c r="R11" s="630">
        <v>0</v>
      </c>
      <c r="S11" s="630">
        <f>Evaluacion!BX12</f>
        <v>1.5713057501339622</v>
      </c>
      <c r="T11" s="630">
        <f>Evaluacion!BW12</f>
        <v>16.0214457119705</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14.0938</v>
      </c>
      <c r="G12" s="290">
        <f>Evaluacion!N20</f>
        <v>3</v>
      </c>
      <c r="H12" s="290">
        <f>Evaluacion!O20</f>
        <v>15.02</v>
      </c>
      <c r="I12" s="290">
        <f>Evaluacion!P20</f>
        <v>10</v>
      </c>
      <c r="J12" s="290">
        <f>Evaluacion!Q20</f>
        <v>9.3000000000000007</v>
      </c>
      <c r="L12" t="str">
        <f t="shared" si="0"/>
        <v>DD</v>
      </c>
      <c r="M12" s="629">
        <v>1</v>
      </c>
      <c r="N12" s="630">
        <v>0</v>
      </c>
      <c r="O12" s="630">
        <v>0</v>
      </c>
      <c r="P12" s="630">
        <v>0</v>
      </c>
      <c r="Q12" s="630">
        <f>M12*Evaluacion!CD20</f>
        <v>6.8747554370076704</v>
      </c>
      <c r="R12" s="630">
        <f>M12*Evaluacion!CE20</f>
        <v>8.2927761941911591</v>
      </c>
      <c r="S12" s="630">
        <f>M12*Evaluacion!CF20</f>
        <v>17.18268115583901</v>
      </c>
      <c r="T12" s="630">
        <f>R12</f>
        <v>8.2927761941911591</v>
      </c>
      <c r="U12" s="630">
        <v>0</v>
      </c>
      <c r="V12" s="630">
        <f>Evaluacion!T20*M12</f>
        <v>0.77900000000000003</v>
      </c>
      <c r="W12" s="630">
        <f>Evaluacion!U20*M12</f>
        <v>0.35899999999999999</v>
      </c>
      <c r="AA12" s="636"/>
    </row>
    <row r="13" spans="1:27" x14ac:dyDescent="0.25">
      <c r="L13" s="288"/>
      <c r="M13" s="476"/>
      <c r="N13" s="631">
        <f>SUM(N2:N12)</f>
        <v>51.91637968916438</v>
      </c>
      <c r="O13" s="631">
        <f t="shared" ref="O13:W13" si="1">SUM(O2:O12)</f>
        <v>80.175390748925409</v>
      </c>
      <c r="P13" s="631">
        <f t="shared" si="1"/>
        <v>50.157909335967481</v>
      </c>
      <c r="Q13" s="631">
        <f t="shared" si="1"/>
        <v>60.412898425196346</v>
      </c>
      <c r="R13" s="631">
        <f t="shared" si="1"/>
        <v>47.849054778768178</v>
      </c>
      <c r="S13" s="631">
        <f t="shared" si="1"/>
        <v>26.099590687978587</v>
      </c>
      <c r="T13" s="631">
        <f t="shared" si="1"/>
        <v>47.418990925539148</v>
      </c>
      <c r="U13" s="632">
        <f t="shared" si="1"/>
        <v>21.155694444444443</v>
      </c>
      <c r="V13" s="632">
        <f t="shared" si="1"/>
        <v>7.3709475515873013</v>
      </c>
      <c r="W13" s="632">
        <f t="shared" si="1"/>
        <v>8.8879664686868693</v>
      </c>
    </row>
    <row r="14" spans="1:27" ht="15.75" x14ac:dyDescent="0.25">
      <c r="L14" s="288"/>
      <c r="M14" s="288" t="s">
        <v>975</v>
      </c>
      <c r="N14" s="633">
        <f>N13*0.34</f>
        <v>17.651569094315889</v>
      </c>
      <c r="O14" s="633">
        <f>O13*0.245</f>
        <v>19.642970733486724</v>
      </c>
      <c r="P14" s="633">
        <f>P13*0.34</f>
        <v>17.053689174228946</v>
      </c>
      <c r="Q14" s="633">
        <f>Q13*0.125</f>
        <v>7.5516123031495432</v>
      </c>
      <c r="R14" s="633">
        <f>R13*0.25</f>
        <v>11.962263694692044</v>
      </c>
      <c r="S14" s="633">
        <f>S13*0.19</f>
        <v>4.958922230715932</v>
      </c>
      <c r="T14" s="633">
        <f>T13*0.25</f>
        <v>11.854747731384787</v>
      </c>
    </row>
    <row r="15" spans="1:27" ht="15.75" x14ac:dyDescent="0.25">
      <c r="L15" s="288"/>
      <c r="M15" s="288" t="s">
        <v>976</v>
      </c>
      <c r="N15" s="643">
        <f>N14*1.2/1.05</f>
        <v>20.173221822075302</v>
      </c>
      <c r="O15" s="643">
        <f t="shared" ref="O15:P15" si="2">O14*1.2/1.05</f>
        <v>22.449109409699108</v>
      </c>
      <c r="P15" s="643">
        <f t="shared" si="2"/>
        <v>19.489930484833081</v>
      </c>
      <c r="Q15" s="643">
        <f>Q14</f>
        <v>7.5516123031495432</v>
      </c>
      <c r="R15" s="643">
        <f>R14*0.925/1.05</f>
        <v>10.538184683419182</v>
      </c>
      <c r="S15" s="643">
        <f t="shared" ref="S15:T15" si="3">S14*0.925/1.05</f>
        <v>4.3685743461068922</v>
      </c>
      <c r="T15" s="643">
        <f t="shared" si="3"/>
        <v>10.443468239553265</v>
      </c>
    </row>
    <row r="16" spans="1:27" ht="15.75" x14ac:dyDescent="0.25">
      <c r="L16" s="288"/>
      <c r="M16" s="288" t="s">
        <v>977</v>
      </c>
      <c r="N16" s="643">
        <f>N14*0.925/1.05</f>
        <v>15.550191821183045</v>
      </c>
      <c r="O16" s="643">
        <f t="shared" ref="O16:P16" si="4">O14*0.925/1.05</f>
        <v>17.304521836643069</v>
      </c>
      <c r="P16" s="643">
        <f t="shared" si="4"/>
        <v>15.023488082058835</v>
      </c>
      <c r="Q16" s="643">
        <f>Q15</f>
        <v>7.5516123031495432</v>
      </c>
      <c r="R16" s="643">
        <f>R14*1.135/1.05</f>
        <v>12.930637422357592</v>
      </c>
      <c r="S16" s="643">
        <f t="shared" ref="S16:T16" si="5">S14*1.135/1.05</f>
        <v>5.3603587922500795</v>
      </c>
      <c r="T16" s="643">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56</v>
      </c>
      <c r="E4" s="163">
        <f>PLANTILLA!V17</f>
        <v>0</v>
      </c>
      <c r="F4" s="163">
        <f>PLANTILLA!W17</f>
        <v>10.349999999999996</v>
      </c>
      <c r="G4" s="163">
        <f>PLANTILLA!X17</f>
        <v>12.749777777777778</v>
      </c>
      <c r="H4" s="163">
        <f>PLANTILLA!Y17</f>
        <v>5.1199999999999983</v>
      </c>
      <c r="I4" s="163">
        <f>PLANTILLA!Z17</f>
        <v>9.24</v>
      </c>
      <c r="J4" s="163">
        <f>PLANTILLA!AA17</f>
        <v>2.98</v>
      </c>
      <c r="K4" s="163">
        <f>PLANTILLA!AB17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92</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41</v>
      </c>
      <c r="E6" s="163">
        <f>PLANTILLA!V8</f>
        <v>0</v>
      </c>
      <c r="F6" s="163">
        <f>PLANTILLA!W8</f>
        <v>11</v>
      </c>
      <c r="G6" s="163">
        <f>PLANTILLA!X8</f>
        <v>6.1594444444444418</v>
      </c>
      <c r="H6" s="163">
        <f>PLANTILLA!Y8</f>
        <v>5.98</v>
      </c>
      <c r="I6" s="163">
        <f>PLANTILLA!Z8</f>
        <v>7.7227777777777789</v>
      </c>
      <c r="J6" s="163">
        <f>PLANTILLA!AA8</f>
        <v>4.383333333333332</v>
      </c>
      <c r="K6" s="163">
        <f>PLANTILLA!AB8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30</v>
      </c>
      <c r="D7" s="5">
        <f ca="1">PLANTILLA!F9</f>
        <v>107</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69</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58</v>
      </c>
      <c r="E9" s="163">
        <f>PLANTILLA!V21</f>
        <v>0</v>
      </c>
      <c r="F9" s="163">
        <f>PLANTILLA!W21</f>
        <v>2</v>
      </c>
      <c r="G9" s="163">
        <f>PLANTILLA!X21</f>
        <v>14.5</v>
      </c>
      <c r="H9" s="163">
        <f>PLANTILLA!Y21</f>
        <v>12</v>
      </c>
      <c r="I9" s="163">
        <f>PLANTILLA!Z21</f>
        <v>12</v>
      </c>
      <c r="J9" s="163">
        <f>PLANTILLA!AA21</f>
        <v>8</v>
      </c>
      <c r="K9" s="163">
        <f>PLANTILLA!AB21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29</v>
      </c>
      <c r="D10" s="5">
        <f ca="1">PLANTILLA!F7</f>
        <v>108</v>
      </c>
      <c r="E10" s="163">
        <f>PLANTILLA!V7</f>
        <v>0</v>
      </c>
      <c r="F10" s="163">
        <f>PLANTILLA!W7</f>
        <v>14.200000000000003</v>
      </c>
      <c r="G10" s="163">
        <f>PLANTILLA!X7</f>
        <v>9.283333333333335</v>
      </c>
      <c r="H10" s="163">
        <f>PLANTILLA!Y7</f>
        <v>14.249999999999996</v>
      </c>
      <c r="I10" s="163">
        <f>PLANTILLA!Z7</f>
        <v>9.4199999999999982</v>
      </c>
      <c r="J10" s="163">
        <f>PLANTILLA!AA7</f>
        <v>1.1428571428571428</v>
      </c>
      <c r="K10" s="163">
        <f>PLANTILLA!AB7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96</v>
      </c>
      <c r="E11" s="163">
        <f>PLANTILLA!V5</f>
        <v>16.666666666666668</v>
      </c>
      <c r="F11" s="163">
        <f>PLANTILLA!W5</f>
        <v>11.832727272727276</v>
      </c>
      <c r="G11" s="163">
        <f>PLANTILLA!X5</f>
        <v>2.0199999999999996</v>
      </c>
      <c r="H11" s="163">
        <f>PLANTILLA!Y5</f>
        <v>2.1199999999999992</v>
      </c>
      <c r="I11" s="163">
        <f>PLANTILLA!Z5</f>
        <v>1.0400000000000003</v>
      </c>
      <c r="J11" s="163">
        <f>PLANTILLA!AA5</f>
        <v>0.14055555555555557</v>
      </c>
      <c r="K11" s="163">
        <f>PLANTILLA!AB5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31</v>
      </c>
      <c r="E12" s="163">
        <f>PLANTILLA!V18</f>
        <v>0</v>
      </c>
      <c r="F12" s="163">
        <f>PLANTILLA!W18</f>
        <v>5.2811111111111115</v>
      </c>
      <c r="G12" s="163">
        <f>PLANTILLA!X18</f>
        <v>14.193842857142847</v>
      </c>
      <c r="H12" s="163">
        <f>PLANTILLA!Y18</f>
        <v>3.4924999999999993</v>
      </c>
      <c r="I12" s="163">
        <f>PLANTILLA!Z18</f>
        <v>9.1400000000000041</v>
      </c>
      <c r="J12" s="163">
        <f>PLANTILLA!AA18</f>
        <v>7.4318888888888894</v>
      </c>
      <c r="K12" s="163">
        <f>PLANTILLA!AB18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16</v>
      </c>
      <c r="E13" s="163">
        <f>PLANTILLA!V13</f>
        <v>0</v>
      </c>
      <c r="F13" s="163">
        <f>PLANTILLA!W13</f>
        <v>7.11</v>
      </c>
      <c r="G13" s="163">
        <f>PLANTILLA!X13</f>
        <v>10.250000000000004</v>
      </c>
      <c r="H13" s="163">
        <f>PLANTILLA!Y13</f>
        <v>13.305</v>
      </c>
      <c r="I13" s="163">
        <f>PLANTILLA!Z13</f>
        <v>10.359999999999998</v>
      </c>
      <c r="J13" s="163">
        <f>PLANTILLA!AA13</f>
        <v>5.4050000000000002</v>
      </c>
      <c r="K13" s="163">
        <f>PLANTILLA!AB13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31</v>
      </c>
      <c r="E14" s="163">
        <f>PLANTILLA!V14</f>
        <v>0</v>
      </c>
      <c r="F14" s="163">
        <f>PLANTILLA!W14</f>
        <v>8.1199999999999992</v>
      </c>
      <c r="G14" s="163">
        <f>PLANTILLA!X14</f>
        <v>11.958412698412697</v>
      </c>
      <c r="H14" s="163">
        <f>PLANTILLA!Y14</f>
        <v>12.13</v>
      </c>
      <c r="I14" s="163">
        <f>PLANTILLA!Z14</f>
        <v>10.24</v>
      </c>
      <c r="J14" s="163">
        <f>PLANTILLA!AA14</f>
        <v>7.4766666666666666</v>
      </c>
      <c r="K14" s="163">
        <f>PLANTILLA!AB14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28</v>
      </c>
      <c r="E15" s="163">
        <f>PLANTILLA!V15</f>
        <v>0</v>
      </c>
      <c r="F15" s="163">
        <f>PLANTILLA!W15</f>
        <v>9.1936666666666653</v>
      </c>
      <c r="G15" s="163">
        <f>PLANTILLA!X15</f>
        <v>13.499999999999998</v>
      </c>
      <c r="H15" s="163">
        <f>PLANTILLA!Y15</f>
        <v>12.725000000000001</v>
      </c>
      <c r="I15" s="163">
        <f>PLANTILLA!Z15</f>
        <v>9.6733333333333356</v>
      </c>
      <c r="J15" s="163">
        <f>PLANTILLA!AA15</f>
        <v>5.0296666666666656</v>
      </c>
      <c r="K15" s="163">
        <f>PLANTILLA!AB15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62</v>
      </c>
      <c r="E16" s="163">
        <f>PLANTILLA!V16</f>
        <v>0</v>
      </c>
      <c r="F16" s="163">
        <f>PLANTILLA!W16</f>
        <v>8.6075555555555585</v>
      </c>
      <c r="G16" s="163">
        <f>PLANTILLA!X16</f>
        <v>14.09516031746031</v>
      </c>
      <c r="H16" s="163">
        <f>PLANTILLA!Y16</f>
        <v>9.99</v>
      </c>
      <c r="I16" s="163">
        <f>PLANTILLA!Z16</f>
        <v>10.09</v>
      </c>
      <c r="J16" s="163">
        <f>PLANTILLA!AA16</f>
        <v>4.3999999999999995</v>
      </c>
      <c r="K16" s="163">
        <f>PLANTILLA!AB16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68</v>
      </c>
      <c r="E17" s="163">
        <f>PLANTILLA!V22</f>
        <v>0</v>
      </c>
      <c r="F17" s="163">
        <f>PLANTILLA!W22</f>
        <v>6.8176190476190497</v>
      </c>
      <c r="G17" s="163">
        <f>PLANTILLA!X22</f>
        <v>8.3125</v>
      </c>
      <c r="H17" s="163">
        <f>PLANTILLA!Y22</f>
        <v>8.7199999999999971</v>
      </c>
      <c r="I17" s="163">
        <f>PLANTILLA!Z22</f>
        <v>9.6900000000000013</v>
      </c>
      <c r="J17" s="163">
        <f>PLANTILLA!AA22</f>
        <v>8.5625000000000018</v>
      </c>
      <c r="K17" s="163">
        <f>PLANTILLA!AB22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99</v>
      </c>
      <c r="E18" s="163">
        <f>PLANTILLA!V24</f>
        <v>0</v>
      </c>
      <c r="F18" s="163">
        <f>PLANTILLA!W24</f>
        <v>4</v>
      </c>
      <c r="G18" s="163">
        <f>PLANTILLA!X24</f>
        <v>5.5138722222222212</v>
      </c>
      <c r="H18" s="163">
        <f>PLANTILLA!Y24</f>
        <v>5.47</v>
      </c>
      <c r="I18" s="163">
        <f>PLANTILLA!Z24</f>
        <v>10.799999999999999</v>
      </c>
      <c r="J18" s="163">
        <f>PLANTILLA!AA24</f>
        <v>8.384500000000001</v>
      </c>
      <c r="K18" s="163">
        <f>PLANTILLA!AB24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25</v>
      </c>
      <c r="E19" s="163">
        <f>PLANTILLA!V23</f>
        <v>0</v>
      </c>
      <c r="F19" s="163">
        <f>PLANTILLA!W23</f>
        <v>2</v>
      </c>
      <c r="G19" s="163">
        <f>PLANTILLA!X23</f>
        <v>14.0938</v>
      </c>
      <c r="H19" s="163">
        <f>PLANTILLA!Y23</f>
        <v>3</v>
      </c>
      <c r="I19" s="163">
        <f>PLANTILLA!Z23</f>
        <v>15.02</v>
      </c>
      <c r="J19" s="163">
        <f>PLANTILLA!AA23</f>
        <v>10</v>
      </c>
      <c r="K19" s="163">
        <f>PLANTILLA!AB23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3</v>
      </c>
      <c r="E20" s="163">
        <f>PLANTILLA!V11</f>
        <v>0</v>
      </c>
      <c r="F20" s="163">
        <f>PLANTILLA!W11</f>
        <v>9.5796666666666663</v>
      </c>
      <c r="G20" s="163">
        <f>PLANTILLA!X11</f>
        <v>7.7107222222222234</v>
      </c>
      <c r="H20" s="163">
        <f>PLANTILLA!Y11</f>
        <v>6.129999999999999</v>
      </c>
      <c r="I20" s="163">
        <f>PLANTILLA!Z11</f>
        <v>8.8633333333333315</v>
      </c>
      <c r="J20" s="163">
        <f>PLANTILLA!AA11</f>
        <v>3.2566666666666673</v>
      </c>
      <c r="K20" s="163">
        <f>PLANTILLA!AB11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93</v>
      </c>
      <c r="E21" s="163">
        <f>PLANTILLA!V19</f>
        <v>0</v>
      </c>
      <c r="F21" s="163">
        <f>PLANTILLA!W19</f>
        <v>5.6315555555555523</v>
      </c>
      <c r="G21" s="163">
        <f>PLANTILLA!X19</f>
        <v>9.8263388888888876</v>
      </c>
      <c r="H21" s="163">
        <f>PLANTILLA!Y19</f>
        <v>7.0526666666666671</v>
      </c>
      <c r="I21" s="163">
        <f>PLANTILLA!Z19</f>
        <v>9.2666666666666639</v>
      </c>
      <c r="J21" s="163">
        <f>PLANTILLA!AA19</f>
        <v>3.5417777777777766</v>
      </c>
      <c r="K21" s="163">
        <f>PLANTILLA!AB19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33</v>
      </c>
      <c r="D22" s="5">
        <f ca="1">PLANTILLA!F6</f>
        <v>105</v>
      </c>
      <c r="E22" s="163">
        <f>PLANTILLA!V6</f>
        <v>10.3</v>
      </c>
      <c r="F22" s="163">
        <f>PLANTILLA!W6</f>
        <v>10.794999999999998</v>
      </c>
      <c r="G22" s="163">
        <f>PLANTILLA!X6</f>
        <v>4.6100000000000012</v>
      </c>
      <c r="H22" s="163">
        <f>PLANTILLA!Y6</f>
        <v>4.99</v>
      </c>
      <c r="I22" s="163">
        <f>PLANTILLA!Z6</f>
        <v>6.5444444444444434</v>
      </c>
      <c r="J22" s="163">
        <f>PLANTILLA!AA6</f>
        <v>3.99</v>
      </c>
      <c r="K22" s="163">
        <f>PLANTILLA!AB6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100</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Y19" sqref="Y19"/>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28</v>
      </c>
      <c r="E4" s="163">
        <f>PLANTILLA!V15</f>
        <v>0</v>
      </c>
      <c r="F4" s="163">
        <f>PLANTILLA!W15</f>
        <v>9.1936666666666653</v>
      </c>
      <c r="G4" s="163">
        <f>PLANTILLA!X15</f>
        <v>13.499999999999998</v>
      </c>
      <c r="H4" s="163">
        <f>PLANTILLA!Y15</f>
        <v>12.725000000000001</v>
      </c>
      <c r="I4" s="163">
        <f>PLANTILLA!Z15</f>
        <v>9.6733333333333356</v>
      </c>
      <c r="J4" s="163">
        <f>PLANTILLA!AA15</f>
        <v>5.0296666666666656</v>
      </c>
      <c r="K4" s="163">
        <f>PLANTILLA!AB15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31</v>
      </c>
      <c r="E5" s="163">
        <f>PLANTILLA!V18</f>
        <v>0</v>
      </c>
      <c r="F5" s="163">
        <f>PLANTILLA!W18</f>
        <v>5.2811111111111115</v>
      </c>
      <c r="G5" s="163">
        <f>PLANTILLA!X18</f>
        <v>14.193842857142847</v>
      </c>
      <c r="H5" s="163">
        <f>PLANTILLA!Y18</f>
        <v>3.4924999999999993</v>
      </c>
      <c r="I5" s="163">
        <f>PLANTILLA!Z18</f>
        <v>9.1400000000000041</v>
      </c>
      <c r="J5" s="163">
        <f>PLANTILLA!AA18</f>
        <v>7.4318888888888894</v>
      </c>
      <c r="K5" s="163">
        <f>PLANTILLA!AB18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68</v>
      </c>
      <c r="E6" s="163">
        <f>PLANTILLA!V22</f>
        <v>0</v>
      </c>
      <c r="F6" s="163">
        <f>PLANTILLA!W22</f>
        <v>6.8176190476190497</v>
      </c>
      <c r="G6" s="163">
        <f>PLANTILLA!X22</f>
        <v>8.3125</v>
      </c>
      <c r="H6" s="163">
        <f>PLANTILLA!Y22</f>
        <v>8.7199999999999971</v>
      </c>
      <c r="I6" s="163">
        <f>PLANTILLA!Z22</f>
        <v>9.6900000000000013</v>
      </c>
      <c r="J6" s="163">
        <f>PLANTILLA!AA22</f>
        <v>8.5625000000000018</v>
      </c>
      <c r="K6" s="163">
        <f>PLANTILLA!AB22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58</v>
      </c>
      <c r="E7" s="163">
        <f>PLANTILLA!V21</f>
        <v>0</v>
      </c>
      <c r="F7" s="163">
        <f>PLANTILLA!W21</f>
        <v>2</v>
      </c>
      <c r="G7" s="163">
        <f>PLANTILLA!X21</f>
        <v>14.5</v>
      </c>
      <c r="H7" s="163">
        <f>PLANTILLA!Y21</f>
        <v>12</v>
      </c>
      <c r="I7" s="163">
        <f>PLANTILLA!Z21</f>
        <v>12</v>
      </c>
      <c r="J7" s="163">
        <f>PLANTILLA!AA21</f>
        <v>8</v>
      </c>
      <c r="K7" s="163">
        <f>PLANTILLA!AB21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16</v>
      </c>
      <c r="E8" s="163">
        <f>PLANTILLA!V13</f>
        <v>0</v>
      </c>
      <c r="F8" s="163">
        <f>PLANTILLA!W13</f>
        <v>7.11</v>
      </c>
      <c r="G8" s="163">
        <f>PLANTILLA!X13</f>
        <v>10.250000000000004</v>
      </c>
      <c r="H8" s="163">
        <f>PLANTILLA!Y13</f>
        <v>13.305</v>
      </c>
      <c r="I8" s="163">
        <f>PLANTILLA!Z13</f>
        <v>10.359999999999998</v>
      </c>
      <c r="J8" s="163">
        <f>PLANTILLA!AA13</f>
        <v>5.4050000000000002</v>
      </c>
      <c r="K8" s="163">
        <f>PLANTILLA!AB13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62</v>
      </c>
      <c r="E9" s="163">
        <f>PLANTILLA!V16</f>
        <v>0</v>
      </c>
      <c r="F9" s="163">
        <f>PLANTILLA!W16</f>
        <v>8.6075555555555585</v>
      </c>
      <c r="G9" s="163">
        <f>PLANTILLA!X16</f>
        <v>14.09516031746031</v>
      </c>
      <c r="H9" s="163">
        <f>PLANTILLA!Y16</f>
        <v>9.99</v>
      </c>
      <c r="I9" s="163">
        <f>PLANTILLA!Z16</f>
        <v>10.09</v>
      </c>
      <c r="J9" s="163">
        <f>PLANTILLA!AA16</f>
        <v>4.3999999999999995</v>
      </c>
      <c r="K9" s="163">
        <f>PLANTILLA!AB16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5" t="str">
        <f>PLANTILLA!D14</f>
        <v>S. Zobbe</v>
      </c>
      <c r="C10" s="312">
        <f>PLANTILLA!E14</f>
        <v>27</v>
      </c>
      <c r="D10" s="312">
        <f ca="1">PLANTILLA!F14</f>
        <v>31</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5" t="str">
        <f>PLANTILLA!D12</f>
        <v>E. Romweber</v>
      </c>
      <c r="C11" s="312">
        <f>PLANTILLA!E12</f>
        <v>30</v>
      </c>
      <c r="D11" s="312">
        <f ca="1">PLANTILLA!F12</f>
        <v>69</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41</v>
      </c>
      <c r="E12" s="163">
        <f>PLANTILLA!V8</f>
        <v>0</v>
      </c>
      <c r="F12" s="163">
        <f>PLANTILLA!W8</f>
        <v>11</v>
      </c>
      <c r="G12" s="163">
        <f>PLANTILLA!X8</f>
        <v>6.1594444444444418</v>
      </c>
      <c r="H12" s="163">
        <f>PLANTILLA!Y8</f>
        <v>5.98</v>
      </c>
      <c r="I12" s="163">
        <f>PLANTILLA!Z8</f>
        <v>7.7227777777777789</v>
      </c>
      <c r="J12" s="163">
        <f>PLANTILLA!AA8</f>
        <v>4.383333333333332</v>
      </c>
      <c r="K12" s="163">
        <f>PLANTILLA!AB8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92</v>
      </c>
      <c r="E13" s="163">
        <f>PLANTILLA!V10</f>
        <v>0</v>
      </c>
      <c r="F13" s="163">
        <f>PLANTILLA!W10</f>
        <v>11.649999999999997</v>
      </c>
      <c r="G13" s="163">
        <f>PLANTILLA!X10</f>
        <v>6.6275000000000022</v>
      </c>
      <c r="H13" s="163">
        <f>PLANTILLA!Y10</f>
        <v>7.3600000000000012</v>
      </c>
      <c r="I13" s="163">
        <f>PLANTILLA!Z10</f>
        <v>9.0199999999999978</v>
      </c>
      <c r="J13" s="163">
        <f>PLANTILLA!AA10</f>
        <v>4.6199999999999966</v>
      </c>
      <c r="K13" s="163">
        <f>PLANTILLA!AB10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5" t="str">
        <f>PLANTILLA!D9</f>
        <v>E. Toney</v>
      </c>
      <c r="C14" s="312">
        <f>PLANTILLA!E9</f>
        <v>30</v>
      </c>
      <c r="D14" s="312">
        <f ca="1">PLANTILLA!F9</f>
        <v>107</v>
      </c>
      <c r="E14" s="163">
        <f>PLANTILLA!V9</f>
        <v>0</v>
      </c>
      <c r="F14" s="163">
        <f>PLANTILLA!W9</f>
        <v>12.060000000000004</v>
      </c>
      <c r="G14" s="163">
        <f>PLANTILLA!X9</f>
        <v>13.020999999999999</v>
      </c>
      <c r="H14" s="163">
        <f>PLANTILLA!Y9</f>
        <v>9.7100000000000062</v>
      </c>
      <c r="I14" s="163">
        <f>PLANTILLA!Z9</f>
        <v>9.6</v>
      </c>
      <c r="J14" s="163">
        <f>PLANTILLA!AA9</f>
        <v>3.6816666666666658</v>
      </c>
      <c r="K14" s="163">
        <f>PLANTILLA!AB9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5" t="str">
        <f>PLANTILLA!D23</f>
        <v>L. Calosso</v>
      </c>
      <c r="C15" s="312">
        <f>PLANTILLA!E23</f>
        <v>30</v>
      </c>
      <c r="D15" s="312">
        <f ca="1">PLANTILLA!F23</f>
        <v>25</v>
      </c>
      <c r="E15" s="163">
        <f>PLANTILLA!V23</f>
        <v>0</v>
      </c>
      <c r="F15" s="163">
        <f>PLANTILLA!W23</f>
        <v>2</v>
      </c>
      <c r="G15" s="163">
        <f>PLANTILLA!X23</f>
        <v>14.0938</v>
      </c>
      <c r="H15" s="163">
        <f>PLANTILLA!Y23</f>
        <v>3</v>
      </c>
      <c r="I15" s="163">
        <f>PLANTILLA!Z23</f>
        <v>15.02</v>
      </c>
      <c r="J15" s="163">
        <f>PLANTILLA!AA23</f>
        <v>10</v>
      </c>
      <c r="K15" s="163">
        <f>PLANTILLA!AB23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56</v>
      </c>
      <c r="E16" s="163">
        <f>PLANTILLA!V17</f>
        <v>0</v>
      </c>
      <c r="F16" s="163">
        <f>PLANTILLA!W17</f>
        <v>10.349999999999996</v>
      </c>
      <c r="G16" s="163">
        <f>PLANTILLA!X17</f>
        <v>12.749777777777778</v>
      </c>
      <c r="H16" s="163">
        <f>PLANTILLA!Y17</f>
        <v>5.1199999999999983</v>
      </c>
      <c r="I16" s="163">
        <f>PLANTILLA!Z17</f>
        <v>9.24</v>
      </c>
      <c r="J16" s="163">
        <f>PLANTILLA!AA17</f>
        <v>2.98</v>
      </c>
      <c r="K16" s="163">
        <f>PLANTILLA!AB17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29</v>
      </c>
      <c r="D17" s="312">
        <f ca="1">PLANTILLA!F7</f>
        <v>108</v>
      </c>
      <c r="E17" s="163">
        <f>PLANTILLA!V7</f>
        <v>0</v>
      </c>
      <c r="F17" s="163">
        <f>PLANTILLA!W7</f>
        <v>14.200000000000003</v>
      </c>
      <c r="G17" s="163">
        <f>PLANTILLA!X7</f>
        <v>9.283333333333335</v>
      </c>
      <c r="H17" s="163">
        <f>PLANTILLA!Y7</f>
        <v>14.249999999999996</v>
      </c>
      <c r="I17" s="163">
        <f>PLANTILLA!Z7</f>
        <v>9.4199999999999982</v>
      </c>
      <c r="J17" s="163">
        <f>PLANTILLA!AA7</f>
        <v>1.1428571428571428</v>
      </c>
      <c r="K17" s="163">
        <f>PLANTILLA!AB7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99</v>
      </c>
      <c r="E18" s="163">
        <f>PLANTILLA!V24</f>
        <v>0</v>
      </c>
      <c r="F18" s="163">
        <f>PLANTILLA!W24</f>
        <v>4</v>
      </c>
      <c r="G18" s="163">
        <f>PLANTILLA!X24</f>
        <v>5.5138722222222212</v>
      </c>
      <c r="H18" s="163">
        <f>PLANTILLA!Y24</f>
        <v>5.47</v>
      </c>
      <c r="I18" s="163">
        <f>PLANTILLA!Z24</f>
        <v>10.799999999999999</v>
      </c>
      <c r="J18" s="163">
        <f>PLANTILLA!AA24</f>
        <v>8.384500000000001</v>
      </c>
      <c r="K18" s="163">
        <f>PLANTILLA!AB24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96</v>
      </c>
      <c r="E19" s="163">
        <f>PLANTILLA!V5</f>
        <v>16.666666666666668</v>
      </c>
      <c r="F19" s="163">
        <f>PLANTILLA!W5</f>
        <v>11.832727272727276</v>
      </c>
      <c r="G19" s="163">
        <f>PLANTILLA!X5</f>
        <v>2.0199999999999996</v>
      </c>
      <c r="H19" s="163">
        <f>PLANTILLA!Y5</f>
        <v>2.1199999999999992</v>
      </c>
      <c r="I19" s="163">
        <f>PLANTILLA!Z5</f>
        <v>1.0400000000000003</v>
      </c>
      <c r="J19" s="163">
        <f>PLANTILLA!AA5</f>
        <v>0.14055555555555557</v>
      </c>
      <c r="K19" s="163">
        <f>PLANTILLA!AB5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33</v>
      </c>
      <c r="D20" s="312">
        <f ca="1">PLANTILLA!F6</f>
        <v>105</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3</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93</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100</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4" t="str">
        <f>PLANTILLA!D22</f>
        <v>J. Limon</v>
      </c>
      <c r="C4" s="312">
        <f>PLANTILLA!E22</f>
        <v>29</v>
      </c>
      <c r="D4" s="312">
        <f ca="1">PLANTILLA!F22</f>
        <v>68</v>
      </c>
      <c r="E4" s="163">
        <f>PLANTILLA!V22</f>
        <v>0</v>
      </c>
      <c r="F4" s="163">
        <f>PLANTILLA!W22</f>
        <v>6.8176190476190497</v>
      </c>
      <c r="G4" s="163">
        <f>PLANTILLA!X22</f>
        <v>8.3125</v>
      </c>
      <c r="H4" s="163">
        <f>PLANTILLA!Y22</f>
        <v>8.7199999999999971</v>
      </c>
      <c r="I4" s="163">
        <f>PLANTILLA!Z22</f>
        <v>9.6900000000000013</v>
      </c>
      <c r="J4" s="163">
        <f>PLANTILLA!AA22</f>
        <v>8.5625000000000018</v>
      </c>
      <c r="K4" s="163">
        <f>PLANTILLA!AB22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4" t="str">
        <f>PLANTILLA!D18</f>
        <v>L. Bauman</v>
      </c>
      <c r="C5" s="312">
        <f>PLANTILLA!E18</f>
        <v>30</v>
      </c>
      <c r="D5" s="312">
        <f ca="1">PLANTILLA!F18</f>
        <v>31</v>
      </c>
      <c r="E5" s="163">
        <f>PLANTILLA!V18</f>
        <v>0</v>
      </c>
      <c r="F5" s="163">
        <f>PLANTILLA!W18</f>
        <v>5.2811111111111115</v>
      </c>
      <c r="G5" s="163">
        <f>PLANTILLA!X18</f>
        <v>14.193842857142847</v>
      </c>
      <c r="H5" s="163">
        <f>PLANTILLA!Y18</f>
        <v>3.4924999999999993</v>
      </c>
      <c r="I5" s="163">
        <f>PLANTILLA!Z18</f>
        <v>9.1400000000000041</v>
      </c>
      <c r="J5" s="163">
        <f>PLANTILLA!AA18</f>
        <v>7.4318888888888894</v>
      </c>
      <c r="K5" s="163">
        <f>PLANTILLA!AB18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4" t="str">
        <f>PLANTILLA!D15</f>
        <v>S. Buschelman</v>
      </c>
      <c r="C6" s="312">
        <f>PLANTILLA!E15</f>
        <v>29</v>
      </c>
      <c r="D6" s="312">
        <f ca="1">PLANTILLA!F15</f>
        <v>28</v>
      </c>
      <c r="E6" s="163">
        <f>PLANTILLA!V15</f>
        <v>0</v>
      </c>
      <c r="F6" s="163">
        <f>PLANTILLA!W15</f>
        <v>9.1936666666666653</v>
      </c>
      <c r="G6" s="163">
        <f>PLANTILLA!X15</f>
        <v>13.499999999999998</v>
      </c>
      <c r="H6" s="163">
        <f>PLANTILLA!Y15</f>
        <v>12.725000000000001</v>
      </c>
      <c r="I6" s="163">
        <f>PLANTILLA!Z15</f>
        <v>9.6733333333333356</v>
      </c>
      <c r="J6" s="163">
        <f>PLANTILLA!AA15</f>
        <v>5.0296666666666656</v>
      </c>
      <c r="K6" s="163">
        <f>PLANTILLA!AB15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4" t="str">
        <f>PLANTILLA!D21</f>
        <v>G. Kerschl</v>
      </c>
      <c r="C7" s="312">
        <f>PLANTILLA!E21</f>
        <v>28</v>
      </c>
      <c r="D7" s="312">
        <f ca="1">PLANTILLA!F21</f>
        <v>58</v>
      </c>
      <c r="E7" s="163">
        <f>PLANTILLA!V21</f>
        <v>0</v>
      </c>
      <c r="F7" s="163">
        <f>PLANTILLA!W21</f>
        <v>2</v>
      </c>
      <c r="G7" s="163">
        <f>PLANTILLA!X21</f>
        <v>14.5</v>
      </c>
      <c r="H7" s="163">
        <f>PLANTILLA!Y21</f>
        <v>12</v>
      </c>
      <c r="I7" s="163">
        <f>PLANTILLA!Z21</f>
        <v>12</v>
      </c>
      <c r="J7" s="163">
        <f>PLANTILLA!AA21</f>
        <v>8</v>
      </c>
      <c r="K7" s="163">
        <f>PLANTILLA!AB21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4" t="str">
        <f>PLANTILLA!D16</f>
        <v>C. Rojas</v>
      </c>
      <c r="C8" s="312">
        <f>PLANTILLA!E16</f>
        <v>31</v>
      </c>
      <c r="D8" s="312">
        <f ca="1">PLANTILLA!F16</f>
        <v>62</v>
      </c>
      <c r="E8" s="163">
        <f>PLANTILLA!V16</f>
        <v>0</v>
      </c>
      <c r="F8" s="163">
        <f>PLANTILLA!W16</f>
        <v>8.6075555555555585</v>
      </c>
      <c r="G8" s="163">
        <f>PLANTILLA!X16</f>
        <v>14.09516031746031</v>
      </c>
      <c r="H8" s="163">
        <f>PLANTILLA!Y16</f>
        <v>9.99</v>
      </c>
      <c r="I8" s="163">
        <f>PLANTILLA!Z16</f>
        <v>10.09</v>
      </c>
      <c r="J8" s="163">
        <f>PLANTILLA!AA16</f>
        <v>4.3999999999999995</v>
      </c>
      <c r="K8" s="163">
        <f>PLANTILLA!AB16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4" t="str">
        <f>PLANTILLA!D13</f>
        <v>K. Helms</v>
      </c>
      <c r="C9" s="312">
        <f>PLANTILLA!E13</f>
        <v>30</v>
      </c>
      <c r="D9" s="312">
        <f ca="1">PLANTILLA!F13</f>
        <v>16</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4" t="str">
        <f>PLANTILLA!D14</f>
        <v>S. Zobbe</v>
      </c>
      <c r="C10" s="312">
        <f>PLANTILLA!E14</f>
        <v>27</v>
      </c>
      <c r="D10" s="312">
        <f ca="1">PLANTILLA!F14</f>
        <v>31</v>
      </c>
      <c r="E10" s="163">
        <f>PLANTILLA!V14</f>
        <v>0</v>
      </c>
      <c r="F10" s="163">
        <f>PLANTILLA!W14</f>
        <v>8.1199999999999992</v>
      </c>
      <c r="G10" s="163">
        <f>PLANTILLA!X14</f>
        <v>11.958412698412697</v>
      </c>
      <c r="H10" s="163">
        <f>PLANTILLA!Y14</f>
        <v>12.13</v>
      </c>
      <c r="I10" s="163">
        <f>PLANTILLA!Z14</f>
        <v>10.24</v>
      </c>
      <c r="J10" s="163">
        <f>PLANTILLA!AA14</f>
        <v>7.4766666666666666</v>
      </c>
      <c r="K10" s="163">
        <f>PLANTILLA!AB14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4" t="str">
        <f>PLANTILLA!D12</f>
        <v>E. Romweber</v>
      </c>
      <c r="C11" s="312">
        <f>PLANTILLA!E12</f>
        <v>30</v>
      </c>
      <c r="D11" s="312">
        <f ca="1">PLANTILLA!F12</f>
        <v>69</v>
      </c>
      <c r="E11" s="163">
        <f>PLANTILLA!V12</f>
        <v>0</v>
      </c>
      <c r="F11" s="163">
        <f>PLANTILLA!W12</f>
        <v>11.99</v>
      </c>
      <c r="G11" s="163">
        <f>PLANTILLA!X12</f>
        <v>12.399111111111115</v>
      </c>
      <c r="H11" s="163">
        <f>PLANTILLA!Y12</f>
        <v>13.05</v>
      </c>
      <c r="I11" s="163">
        <f>PLANTILLA!Z12</f>
        <v>10.91</v>
      </c>
      <c r="J11" s="163">
        <f>PLANTILLA!AA12</f>
        <v>7.7700000000000005</v>
      </c>
      <c r="K11" s="163">
        <f>PLANTILLA!AB12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4" t="str">
        <f>PLANTILLA!D23</f>
        <v>L. Calosso</v>
      </c>
      <c r="C12" s="312">
        <f>PLANTILLA!E23</f>
        <v>30</v>
      </c>
      <c r="D12" s="312">
        <f ca="1">PLANTILLA!F23</f>
        <v>25</v>
      </c>
      <c r="E12" s="163">
        <f>PLANTILLA!V23</f>
        <v>0</v>
      </c>
      <c r="F12" s="163">
        <f>PLANTILLA!W23</f>
        <v>2</v>
      </c>
      <c r="G12" s="163">
        <f>PLANTILLA!X23</f>
        <v>14.0938</v>
      </c>
      <c r="H12" s="163">
        <f>PLANTILLA!Y23</f>
        <v>3</v>
      </c>
      <c r="I12" s="163">
        <f>PLANTILLA!Z23</f>
        <v>15.02</v>
      </c>
      <c r="J12" s="163">
        <f>PLANTILLA!AA23</f>
        <v>10</v>
      </c>
      <c r="K12" s="163">
        <f>PLANTILLA!AB23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4" t="str">
        <f>PLANTILLA!D24</f>
        <v>P .Trivadi</v>
      </c>
      <c r="C13" s="312">
        <f>PLANTILLA!E24</f>
        <v>26</v>
      </c>
      <c r="D13" s="312">
        <f ca="1">PLANTILLA!F24</f>
        <v>99</v>
      </c>
      <c r="E13" s="163">
        <f>PLANTILLA!V24</f>
        <v>0</v>
      </c>
      <c r="F13" s="163">
        <f>PLANTILLA!W24</f>
        <v>4</v>
      </c>
      <c r="G13" s="163">
        <f>PLANTILLA!X24</f>
        <v>5.5138722222222212</v>
      </c>
      <c r="H13" s="163">
        <f>PLANTILLA!Y24</f>
        <v>5.47</v>
      </c>
      <c r="I13" s="163">
        <f>PLANTILLA!Z24</f>
        <v>10.799999999999999</v>
      </c>
      <c r="J13" s="163">
        <f>PLANTILLA!AA24</f>
        <v>8.384500000000001</v>
      </c>
      <c r="K13" s="163">
        <f>PLANTILLA!AB24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96</v>
      </c>
      <c r="E14" s="163">
        <f>PLANTILLA!V5</f>
        <v>16.666666666666668</v>
      </c>
      <c r="F14" s="163">
        <f>PLANTILLA!W5</f>
        <v>11.832727272727276</v>
      </c>
      <c r="G14" s="163">
        <f>PLANTILLA!X5</f>
        <v>2.0199999999999996</v>
      </c>
      <c r="H14" s="163">
        <f>PLANTILLA!Y5</f>
        <v>2.1199999999999992</v>
      </c>
      <c r="I14" s="163">
        <f>PLANTILLA!Z5</f>
        <v>1.0400000000000003</v>
      </c>
      <c r="J14" s="163">
        <f>PLANTILLA!AA5</f>
        <v>0.14055555555555557</v>
      </c>
      <c r="K14" s="163">
        <f>PLANTILLA!AB5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4" t="str">
        <f>PLANTILLA!D7</f>
        <v>B. Pinczehelyi</v>
      </c>
      <c r="C15" s="312">
        <f>PLANTILLA!E7</f>
        <v>29</v>
      </c>
      <c r="D15" s="312">
        <f ca="1">PLANTILLA!F7</f>
        <v>108</v>
      </c>
      <c r="E15" s="163">
        <f>PLANTILLA!V7</f>
        <v>0</v>
      </c>
      <c r="F15" s="163">
        <f>PLANTILLA!W7</f>
        <v>14.200000000000003</v>
      </c>
      <c r="G15" s="163">
        <f>PLANTILLA!X7</f>
        <v>9.283333333333335</v>
      </c>
      <c r="H15" s="163">
        <f>PLANTILLA!Y7</f>
        <v>14.249999999999996</v>
      </c>
      <c r="I15" s="163">
        <f>PLANTILLA!Z7</f>
        <v>9.4199999999999982</v>
      </c>
      <c r="J15" s="163">
        <f>PLANTILLA!AA7</f>
        <v>1.1428571428571428</v>
      </c>
      <c r="K15" s="163">
        <f>PLANTILLA!AB7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4" t="str">
        <f>PLANTILLA!D8</f>
        <v>D. Toh</v>
      </c>
      <c r="C16" s="312">
        <f>PLANTILLA!E8</f>
        <v>31</v>
      </c>
      <c r="D16" s="312">
        <f ca="1">PLANTILLA!F8</f>
        <v>41</v>
      </c>
      <c r="E16" s="163">
        <f>PLANTILLA!V8</f>
        <v>0</v>
      </c>
      <c r="F16" s="163">
        <f>PLANTILLA!W8</f>
        <v>11</v>
      </c>
      <c r="G16" s="163">
        <f>PLANTILLA!X8</f>
        <v>6.1594444444444418</v>
      </c>
      <c r="H16" s="163">
        <f>PLANTILLA!Y8</f>
        <v>5.98</v>
      </c>
      <c r="I16" s="163">
        <f>PLANTILLA!Z8</f>
        <v>7.7227777777777789</v>
      </c>
      <c r="J16" s="163">
        <f>PLANTILLA!AA8</f>
        <v>4.383333333333332</v>
      </c>
      <c r="K16" s="163">
        <f>PLANTILLA!AB8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4" t="str">
        <f>PLANTILLA!D9</f>
        <v>E. Toney</v>
      </c>
      <c r="C17" s="312">
        <f>PLANTILLA!E9</f>
        <v>30</v>
      </c>
      <c r="D17" s="312">
        <f ca="1">PLANTILLA!F9</f>
        <v>107</v>
      </c>
      <c r="E17" s="163">
        <f>PLANTILLA!V9</f>
        <v>0</v>
      </c>
      <c r="F17" s="163">
        <f>PLANTILLA!W9</f>
        <v>12.060000000000004</v>
      </c>
      <c r="G17" s="163">
        <f>PLANTILLA!X9</f>
        <v>13.020999999999999</v>
      </c>
      <c r="H17" s="163">
        <f>PLANTILLA!Y9</f>
        <v>9.7100000000000062</v>
      </c>
      <c r="I17" s="163">
        <f>PLANTILLA!Z9</f>
        <v>9.6</v>
      </c>
      <c r="J17" s="163">
        <f>PLANTILLA!AA9</f>
        <v>3.6816666666666658</v>
      </c>
      <c r="K17" s="163">
        <f>PLANTILLA!AB9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4" t="str">
        <f>PLANTILLA!D17</f>
        <v>E. Gross</v>
      </c>
      <c r="C18" s="312">
        <f>PLANTILLA!E17</f>
        <v>30</v>
      </c>
      <c r="D18" s="312">
        <f ca="1">PLANTILLA!F17</f>
        <v>56</v>
      </c>
      <c r="E18" s="163">
        <f>PLANTILLA!V17</f>
        <v>0</v>
      </c>
      <c r="F18" s="163">
        <f>PLANTILLA!W17</f>
        <v>10.349999999999996</v>
      </c>
      <c r="G18" s="163">
        <f>PLANTILLA!X17</f>
        <v>12.749777777777778</v>
      </c>
      <c r="H18" s="163">
        <f>PLANTILLA!Y17</f>
        <v>5.1199999999999983</v>
      </c>
      <c r="I18" s="163">
        <f>PLANTILLA!Z17</f>
        <v>9.24</v>
      </c>
      <c r="J18" s="163">
        <f>PLANTILLA!AA17</f>
        <v>2.98</v>
      </c>
      <c r="K18" s="163">
        <f>PLANTILLA!AB17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4" t="str">
        <f>PLANTILLA!D10</f>
        <v>B. Bartolache</v>
      </c>
      <c r="C19" s="312">
        <f>PLANTILLA!E10</f>
        <v>30</v>
      </c>
      <c r="D19" s="312">
        <f ca="1">PLANTILLA!F10</f>
        <v>92</v>
      </c>
      <c r="E19" s="163">
        <f>PLANTILLA!V10</f>
        <v>0</v>
      </c>
      <c r="F19" s="163">
        <f>PLANTILLA!W10</f>
        <v>11.649999999999997</v>
      </c>
      <c r="G19" s="163">
        <f>PLANTILLA!X10</f>
        <v>6.6275000000000022</v>
      </c>
      <c r="H19" s="163">
        <f>PLANTILLA!Y10</f>
        <v>7.3600000000000012</v>
      </c>
      <c r="I19" s="163">
        <f>PLANTILLA!Z10</f>
        <v>9.0199999999999978</v>
      </c>
      <c r="J19" s="163">
        <f>PLANTILLA!AA10</f>
        <v>4.6199999999999966</v>
      </c>
      <c r="K19" s="163">
        <f>PLANTILLA!AB10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33</v>
      </c>
      <c r="D20" s="312">
        <f ca="1">PLANTILLA!F6</f>
        <v>105</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3</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93</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100</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AA10" sqref="AA1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4" t="str">
        <f>PLANTILLA!D8</f>
        <v>D. Toh</v>
      </c>
      <c r="C4" s="312">
        <f>PLANTILLA!E8</f>
        <v>31</v>
      </c>
      <c r="D4" s="312">
        <f ca="1">PLANTILLA!F8</f>
        <v>41</v>
      </c>
      <c r="E4" s="163">
        <f>PLANTILLA!V8</f>
        <v>0</v>
      </c>
      <c r="F4" s="163">
        <f>PLANTILLA!W8</f>
        <v>11</v>
      </c>
      <c r="G4" s="163">
        <f>PLANTILLA!X8</f>
        <v>6.1594444444444418</v>
      </c>
      <c r="H4" s="163">
        <f>PLANTILLA!Y8</f>
        <v>5.98</v>
      </c>
      <c r="I4" s="163">
        <f>PLANTILLA!Z8</f>
        <v>7.7227777777777789</v>
      </c>
      <c r="J4" s="163">
        <f>PLANTILLA!AA8</f>
        <v>4.383333333333332</v>
      </c>
      <c r="K4" s="163">
        <f>PLANTILLA!AB8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4" t="str">
        <f>PLANTILLA!D10</f>
        <v>B. Bartolache</v>
      </c>
      <c r="C5" s="312">
        <f>PLANTILLA!E10</f>
        <v>30</v>
      </c>
      <c r="D5" s="312">
        <f ca="1">PLANTILLA!F10</f>
        <v>92</v>
      </c>
      <c r="E5" s="163">
        <f>PLANTILLA!V10</f>
        <v>0</v>
      </c>
      <c r="F5" s="163">
        <f>PLANTILLA!W10</f>
        <v>11.649999999999997</v>
      </c>
      <c r="G5" s="163">
        <f>PLANTILLA!X10</f>
        <v>6.6275000000000022</v>
      </c>
      <c r="H5" s="163">
        <f>PLANTILLA!Y10</f>
        <v>7.3600000000000012</v>
      </c>
      <c r="I5" s="163">
        <f>PLANTILLA!Z10</f>
        <v>9.0199999999999978</v>
      </c>
      <c r="J5" s="163">
        <f>PLANTILLA!AA10</f>
        <v>4.6199999999999966</v>
      </c>
      <c r="K5" s="163">
        <f>PLANTILLA!AB10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4" t="str">
        <f>PLANTILLA!D14</f>
        <v>S. Zobbe</v>
      </c>
      <c r="C6" s="312">
        <f>PLANTILLA!E14</f>
        <v>27</v>
      </c>
      <c r="D6" s="312">
        <f ca="1">PLANTILLA!F14</f>
        <v>31</v>
      </c>
      <c r="E6" s="163">
        <f>PLANTILLA!V14</f>
        <v>0</v>
      </c>
      <c r="F6" s="163">
        <f>PLANTILLA!W14</f>
        <v>8.1199999999999992</v>
      </c>
      <c r="G6" s="163">
        <f>PLANTILLA!X14</f>
        <v>11.958412698412697</v>
      </c>
      <c r="H6" s="163">
        <f>PLANTILLA!Y14</f>
        <v>12.13</v>
      </c>
      <c r="I6" s="163">
        <f>PLANTILLA!Z14</f>
        <v>10.24</v>
      </c>
      <c r="J6" s="163">
        <f>PLANTILLA!AA14</f>
        <v>7.4766666666666666</v>
      </c>
      <c r="K6" s="163">
        <f>PLANTILLA!AB14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4" t="str">
        <f>PLANTILLA!D9</f>
        <v>E. Toney</v>
      </c>
      <c r="C7" s="312">
        <f>PLANTILLA!E9</f>
        <v>30</v>
      </c>
      <c r="D7" s="312">
        <f ca="1">PLANTILLA!F9</f>
        <v>107</v>
      </c>
      <c r="E7" s="163">
        <f>PLANTILLA!V9</f>
        <v>0</v>
      </c>
      <c r="F7" s="163">
        <f>PLANTILLA!W9</f>
        <v>12.060000000000004</v>
      </c>
      <c r="G7" s="163">
        <f>PLANTILLA!X9</f>
        <v>13.020999999999999</v>
      </c>
      <c r="H7" s="163">
        <f>PLANTILLA!Y9</f>
        <v>9.7100000000000062</v>
      </c>
      <c r="I7" s="163">
        <f>PLANTILLA!Z9</f>
        <v>9.6</v>
      </c>
      <c r="J7" s="163">
        <f>PLANTILLA!AA9</f>
        <v>3.6816666666666658</v>
      </c>
      <c r="K7" s="163">
        <f>PLANTILLA!AB9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5" t="str">
        <f>PLANTILLA!D12</f>
        <v>E. Romweber</v>
      </c>
      <c r="C8" s="312">
        <f>PLANTILLA!E12</f>
        <v>30</v>
      </c>
      <c r="D8" s="312">
        <f ca="1">PLANTILLA!F12</f>
        <v>69</v>
      </c>
      <c r="E8" s="163">
        <f>PLANTILLA!V12</f>
        <v>0</v>
      </c>
      <c r="F8" s="163">
        <f>PLANTILLA!W12</f>
        <v>11.99</v>
      </c>
      <c r="G8" s="163">
        <f>PLANTILLA!X12</f>
        <v>12.399111111111115</v>
      </c>
      <c r="H8" s="163">
        <f>PLANTILLA!Y12</f>
        <v>13.05</v>
      </c>
      <c r="I8" s="163">
        <f>PLANTILLA!Z12</f>
        <v>10.91</v>
      </c>
      <c r="J8" s="163">
        <f>PLANTILLA!AA12</f>
        <v>7.7700000000000005</v>
      </c>
      <c r="K8" s="163">
        <f>PLANTILLA!AB12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5" t="str">
        <f>PLANTILLA!D13</f>
        <v>K. Helms</v>
      </c>
      <c r="C9" s="312">
        <f>PLANTILLA!E13</f>
        <v>30</v>
      </c>
      <c r="D9" s="312">
        <f ca="1">PLANTILLA!F13</f>
        <v>16</v>
      </c>
      <c r="E9" s="163">
        <f>PLANTILLA!V13</f>
        <v>0</v>
      </c>
      <c r="F9" s="163">
        <f>PLANTILLA!W13</f>
        <v>7.11</v>
      </c>
      <c r="G9" s="163">
        <f>PLANTILLA!X13</f>
        <v>10.250000000000004</v>
      </c>
      <c r="H9" s="163">
        <f>PLANTILLA!Y13</f>
        <v>13.305</v>
      </c>
      <c r="I9" s="163">
        <f>PLANTILLA!Z13</f>
        <v>10.359999999999998</v>
      </c>
      <c r="J9" s="163">
        <f>PLANTILLA!AA13</f>
        <v>5.4050000000000002</v>
      </c>
      <c r="K9" s="163">
        <f>PLANTILLA!AB13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5" t="str">
        <f>PLANTILLA!D16</f>
        <v>C. Rojas</v>
      </c>
      <c r="C10" s="312">
        <f>PLANTILLA!E16</f>
        <v>31</v>
      </c>
      <c r="D10" s="312">
        <f ca="1">PLANTILLA!F16</f>
        <v>62</v>
      </c>
      <c r="E10" s="163">
        <f>PLANTILLA!V16</f>
        <v>0</v>
      </c>
      <c r="F10" s="163">
        <f>PLANTILLA!W16</f>
        <v>8.6075555555555585</v>
      </c>
      <c r="G10" s="163">
        <f>PLANTILLA!X16</f>
        <v>14.09516031746031</v>
      </c>
      <c r="H10" s="163">
        <f>PLANTILLA!Y16</f>
        <v>9.99</v>
      </c>
      <c r="I10" s="163">
        <f>PLANTILLA!Z16</f>
        <v>10.09</v>
      </c>
      <c r="J10" s="163">
        <f>PLANTILLA!AA16</f>
        <v>4.3999999999999995</v>
      </c>
      <c r="K10" s="163">
        <f>PLANTILLA!AB16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5" t="str">
        <f>PLANTILLA!D15</f>
        <v>S. Buschelman</v>
      </c>
      <c r="C11" s="312">
        <f>PLANTILLA!E15</f>
        <v>29</v>
      </c>
      <c r="D11" s="312">
        <f ca="1">PLANTILLA!F15</f>
        <v>28</v>
      </c>
      <c r="E11" s="163">
        <f>PLANTILLA!V15</f>
        <v>0</v>
      </c>
      <c r="F11" s="163">
        <f>PLANTILLA!W15</f>
        <v>9.1936666666666653</v>
      </c>
      <c r="G11" s="163">
        <f>PLANTILLA!X15</f>
        <v>13.499999999999998</v>
      </c>
      <c r="H11" s="163">
        <f>PLANTILLA!Y15</f>
        <v>12.725000000000001</v>
      </c>
      <c r="I11" s="163">
        <f>PLANTILLA!Z15</f>
        <v>9.6733333333333356</v>
      </c>
      <c r="J11" s="163">
        <f>PLANTILLA!AA15</f>
        <v>5.0296666666666656</v>
      </c>
      <c r="K11" s="163">
        <f>PLANTILLA!AB15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58</v>
      </c>
      <c r="E12" s="163">
        <f>PLANTILLA!V21</f>
        <v>0</v>
      </c>
      <c r="F12" s="163">
        <f>PLANTILLA!W21</f>
        <v>2</v>
      </c>
      <c r="G12" s="163">
        <f>PLANTILLA!X21</f>
        <v>14.5</v>
      </c>
      <c r="H12" s="163">
        <f>PLANTILLA!Y21</f>
        <v>12</v>
      </c>
      <c r="I12" s="163">
        <f>PLANTILLA!Z21</f>
        <v>12</v>
      </c>
      <c r="J12" s="163">
        <f>PLANTILLA!AA21</f>
        <v>8</v>
      </c>
      <c r="K12" s="163">
        <f>PLANTILLA!AB21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25</v>
      </c>
      <c r="E13" s="163">
        <f>PLANTILLA!V23</f>
        <v>0</v>
      </c>
      <c r="F13" s="163">
        <f>PLANTILLA!W23</f>
        <v>2</v>
      </c>
      <c r="G13" s="163">
        <f>PLANTILLA!X23</f>
        <v>14.0938</v>
      </c>
      <c r="H13" s="163">
        <f>PLANTILLA!Y23</f>
        <v>3</v>
      </c>
      <c r="I13" s="163">
        <f>PLANTILLA!Z23</f>
        <v>15.02</v>
      </c>
      <c r="J13" s="163">
        <f>PLANTILLA!AA23</f>
        <v>10</v>
      </c>
      <c r="K13" s="163">
        <f>PLANTILLA!AB23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31</v>
      </c>
      <c r="E14" s="163">
        <f>PLANTILLA!V18</f>
        <v>0</v>
      </c>
      <c r="F14" s="163">
        <f>PLANTILLA!W18</f>
        <v>5.2811111111111115</v>
      </c>
      <c r="G14" s="163">
        <f>PLANTILLA!X18</f>
        <v>14.193842857142847</v>
      </c>
      <c r="H14" s="163">
        <f>PLANTILLA!Y18</f>
        <v>3.4924999999999993</v>
      </c>
      <c r="I14" s="163">
        <f>PLANTILLA!Z18</f>
        <v>9.1400000000000041</v>
      </c>
      <c r="J14" s="163">
        <f>PLANTILLA!AA18</f>
        <v>7.4318888888888894</v>
      </c>
      <c r="K14" s="163">
        <f>PLANTILLA!AB18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29</v>
      </c>
      <c r="D15" s="312">
        <f ca="1">PLANTILLA!F7</f>
        <v>108</v>
      </c>
      <c r="E15" s="163">
        <f>PLANTILLA!V7</f>
        <v>0</v>
      </c>
      <c r="F15" s="163">
        <f>PLANTILLA!W7</f>
        <v>14.200000000000003</v>
      </c>
      <c r="G15" s="163">
        <f>PLANTILLA!X7</f>
        <v>9.283333333333335</v>
      </c>
      <c r="H15" s="163">
        <f>PLANTILLA!Y7</f>
        <v>14.249999999999996</v>
      </c>
      <c r="I15" s="163">
        <f>PLANTILLA!Z7</f>
        <v>9.4199999999999982</v>
      </c>
      <c r="J15" s="163">
        <f>PLANTILLA!AA7</f>
        <v>1.1428571428571428</v>
      </c>
      <c r="K15" s="163">
        <f>PLANTILLA!AB7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68</v>
      </c>
      <c r="E16" s="163">
        <f>PLANTILLA!V22</f>
        <v>0</v>
      </c>
      <c r="F16" s="163">
        <f>PLANTILLA!W22</f>
        <v>6.8176190476190497</v>
      </c>
      <c r="G16" s="163">
        <f>PLANTILLA!X22</f>
        <v>8.3125</v>
      </c>
      <c r="H16" s="163">
        <f>PLANTILLA!Y22</f>
        <v>8.7199999999999971</v>
      </c>
      <c r="I16" s="163">
        <f>PLANTILLA!Z22</f>
        <v>9.6900000000000013</v>
      </c>
      <c r="J16" s="163">
        <f>PLANTILLA!AA22</f>
        <v>8.5625000000000018</v>
      </c>
      <c r="K16" s="163">
        <f>PLANTILLA!AB22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99</v>
      </c>
      <c r="E17" s="163">
        <f>PLANTILLA!V24</f>
        <v>0</v>
      </c>
      <c r="F17" s="163">
        <f>PLANTILLA!W24</f>
        <v>4</v>
      </c>
      <c r="G17" s="163">
        <f>PLANTILLA!X24</f>
        <v>5.5138722222222212</v>
      </c>
      <c r="H17" s="163">
        <f>PLANTILLA!Y24</f>
        <v>5.47</v>
      </c>
      <c r="I17" s="163">
        <f>PLANTILLA!Z24</f>
        <v>10.799999999999999</v>
      </c>
      <c r="J17" s="163">
        <f>PLANTILLA!AA24</f>
        <v>8.384500000000001</v>
      </c>
      <c r="K17" s="163">
        <f>PLANTILLA!AB24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96</v>
      </c>
      <c r="E18" s="163">
        <f>PLANTILLA!V5</f>
        <v>16.666666666666668</v>
      </c>
      <c r="F18" s="163">
        <f>PLANTILLA!W5</f>
        <v>11.832727272727276</v>
      </c>
      <c r="G18" s="163">
        <f>PLANTILLA!X5</f>
        <v>2.0199999999999996</v>
      </c>
      <c r="H18" s="163">
        <f>PLANTILLA!Y5</f>
        <v>2.1199999999999992</v>
      </c>
      <c r="I18" s="163">
        <f>PLANTILLA!Z5</f>
        <v>1.0400000000000003</v>
      </c>
      <c r="J18" s="163">
        <f>PLANTILLA!AA5</f>
        <v>0.14055555555555557</v>
      </c>
      <c r="K18" s="163">
        <f>PLANTILLA!AB5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56</v>
      </c>
      <c r="E19" s="163">
        <f>PLANTILLA!V17</f>
        <v>0</v>
      </c>
      <c r="F19" s="163">
        <f>PLANTILLA!W17</f>
        <v>10.349999999999996</v>
      </c>
      <c r="G19" s="163">
        <f>PLANTILLA!X17</f>
        <v>12.749777777777778</v>
      </c>
      <c r="H19" s="163">
        <f>PLANTILLA!Y17</f>
        <v>5.1199999999999983</v>
      </c>
      <c r="I19" s="163">
        <f>PLANTILLA!Z17</f>
        <v>9.24</v>
      </c>
      <c r="J19" s="163">
        <f>PLANTILLA!AA17</f>
        <v>2.98</v>
      </c>
      <c r="K19" s="163">
        <f>PLANTILLA!AB17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33</v>
      </c>
      <c r="D20" s="312">
        <f ca="1">PLANTILLA!F6</f>
        <v>105</v>
      </c>
      <c r="E20" s="163">
        <f>PLANTILLA!V6</f>
        <v>10.3</v>
      </c>
      <c r="F20" s="163">
        <f>PLANTILLA!W6</f>
        <v>10.794999999999998</v>
      </c>
      <c r="G20" s="163">
        <f>PLANTILLA!X6</f>
        <v>4.6100000000000012</v>
      </c>
      <c r="H20" s="163">
        <f>PLANTILLA!Y6</f>
        <v>4.99</v>
      </c>
      <c r="I20" s="163">
        <f>PLANTILLA!Z6</f>
        <v>6.5444444444444434</v>
      </c>
      <c r="J20" s="163">
        <f>PLANTILLA!AA6</f>
        <v>3.99</v>
      </c>
      <c r="K20" s="163">
        <f>PLANTILLA!AB6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3</v>
      </c>
      <c r="E21" s="163">
        <f>PLANTILLA!V11</f>
        <v>0</v>
      </c>
      <c r="F21" s="163">
        <f>PLANTILLA!W11</f>
        <v>9.5796666666666663</v>
      </c>
      <c r="G21" s="163">
        <f>PLANTILLA!X11</f>
        <v>7.7107222222222234</v>
      </c>
      <c r="H21" s="163">
        <f>PLANTILLA!Y11</f>
        <v>6.129999999999999</v>
      </c>
      <c r="I21" s="163">
        <f>PLANTILLA!Z11</f>
        <v>8.8633333333333315</v>
      </c>
      <c r="J21" s="163">
        <f>PLANTILLA!AA11</f>
        <v>3.2566666666666673</v>
      </c>
      <c r="K21" s="163">
        <f>PLANTILLA!AB11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93</v>
      </c>
      <c r="E22" s="163">
        <f>PLANTILLA!V19</f>
        <v>0</v>
      </c>
      <c r="F22" s="163">
        <f>PLANTILLA!W19</f>
        <v>5.6315555555555523</v>
      </c>
      <c r="G22" s="163">
        <f>PLANTILLA!X19</f>
        <v>9.8263388888888876</v>
      </c>
      <c r="H22" s="163">
        <f>PLANTILLA!Y19</f>
        <v>7.0526666666666671</v>
      </c>
      <c r="I22" s="163">
        <f>PLANTILLA!Z19</f>
        <v>9.2666666666666639</v>
      </c>
      <c r="J22" s="163">
        <f>PLANTILLA!AA19</f>
        <v>3.5417777777777766</v>
      </c>
      <c r="K22" s="163">
        <f>PLANTILLA!AB19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100</v>
      </c>
      <c r="E23" s="163">
        <f>PLANTILLA!V20</f>
        <v>0</v>
      </c>
      <c r="F23" s="163">
        <f>PLANTILLA!W20</f>
        <v>2.47611111111111</v>
      </c>
      <c r="G23" s="163">
        <f>PLANTILLA!X20</f>
        <v>7.2899999999999983</v>
      </c>
      <c r="H23" s="163">
        <f>PLANTILLA!Y20</f>
        <v>4.1588235294117641</v>
      </c>
      <c r="I23" s="163">
        <f>PLANTILLA!Z20</f>
        <v>7.2649999999999988</v>
      </c>
      <c r="J23" s="163">
        <f>PLANTILLA!AA20</f>
        <v>4.3299999999999983</v>
      </c>
      <c r="K23" s="163">
        <f>PLANTILLA!AB20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6"/>
  <sheetViews>
    <sheetView zoomScale="90" zoomScaleNormal="90" workbookViewId="0"/>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9"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43059</v>
      </c>
      <c r="F2" s="318"/>
      <c r="G2" s="723" t="s">
        <v>517</v>
      </c>
      <c r="H2" s="723"/>
      <c r="J2" s="318"/>
      <c r="K2" s="318"/>
      <c r="L2" s="723" t="s">
        <v>1028</v>
      </c>
      <c r="M2" s="723"/>
      <c r="N2" s="723"/>
      <c r="O2" s="663"/>
      <c r="P2" s="336"/>
      <c r="Q2" s="336"/>
      <c r="R2" s="723" t="s">
        <v>519</v>
      </c>
      <c r="S2" s="723"/>
      <c r="U2" s="4" t="s">
        <v>1039</v>
      </c>
      <c r="V2" s="3" t="s">
        <v>178</v>
      </c>
      <c r="W2" s="318"/>
      <c r="X2" s="318"/>
    </row>
    <row r="3" spans="1:24" x14ac:dyDescent="0.25">
      <c r="F3">
        <v>1</v>
      </c>
      <c r="G3" s="3">
        <v>53</v>
      </c>
      <c r="H3" t="s">
        <v>209</v>
      </c>
      <c r="I3" s="317" t="s">
        <v>1</v>
      </c>
      <c r="K3" s="653">
        <v>1</v>
      </c>
      <c r="L3" s="3">
        <v>272</v>
      </c>
      <c r="M3" t="s">
        <v>534</v>
      </c>
      <c r="N3" t="s">
        <v>533</v>
      </c>
      <c r="O3" s="400">
        <f t="shared" ref="O3:O22" si="0">L3/$G$22</f>
        <v>0.88025889967637538</v>
      </c>
      <c r="Q3" s="653">
        <v>1</v>
      </c>
      <c r="R3" s="3">
        <v>184</v>
      </c>
      <c r="S3" t="s">
        <v>520</v>
      </c>
      <c r="T3" t="s">
        <v>215</v>
      </c>
      <c r="U3" s="159">
        <f>R3/L7</f>
        <v>0.84792626728110598</v>
      </c>
      <c r="V3" s="47">
        <f>R3/$R$31</f>
        <v>0.18326693227091634</v>
      </c>
    </row>
    <row r="4" spans="1:24" s="318" customFormat="1" ht="18.75" x14ac:dyDescent="0.3">
      <c r="A4" s="318" t="s">
        <v>514</v>
      </c>
      <c r="F4">
        <v>1</v>
      </c>
      <c r="G4" s="3">
        <v>53</v>
      </c>
      <c r="H4" t="s">
        <v>929</v>
      </c>
      <c r="I4" t="s">
        <v>1</v>
      </c>
      <c r="J4"/>
      <c r="K4" s="653">
        <v>2</v>
      </c>
      <c r="L4" s="3">
        <v>269</v>
      </c>
      <c r="M4" t="s">
        <v>548</v>
      </c>
      <c r="N4" s="317" t="s">
        <v>507</v>
      </c>
      <c r="O4" s="400">
        <f t="shared" si="0"/>
        <v>0.87055016181229772</v>
      </c>
      <c r="P4"/>
      <c r="Q4" s="653">
        <v>2</v>
      </c>
      <c r="R4" s="3">
        <v>86</v>
      </c>
      <c r="S4" t="s">
        <v>640</v>
      </c>
      <c r="T4" t="s">
        <v>66</v>
      </c>
      <c r="U4" s="159">
        <f>R4/L13</f>
        <v>0.47513812154696133</v>
      </c>
      <c r="V4" s="47">
        <f t="shared" ref="V4:V24" si="1">R4/$R$31</f>
        <v>8.565737051792828E-2</v>
      </c>
      <c r="W4"/>
      <c r="X4"/>
    </row>
    <row r="5" spans="1:24" x14ac:dyDescent="0.25">
      <c r="A5" s="180" t="s">
        <v>515</v>
      </c>
      <c r="B5" s="700" t="s">
        <v>1033</v>
      </c>
      <c r="C5" s="317">
        <v>43031</v>
      </c>
      <c r="D5" t="s">
        <v>1034</v>
      </c>
      <c r="F5">
        <v>3</v>
      </c>
      <c r="G5" s="698">
        <v>46</v>
      </c>
      <c r="H5" s="696" t="s">
        <v>207</v>
      </c>
      <c r="I5" s="697" t="s">
        <v>1</v>
      </c>
      <c r="K5" s="665">
        <v>3</v>
      </c>
      <c r="L5" s="3">
        <v>241</v>
      </c>
      <c r="M5" t="s">
        <v>522</v>
      </c>
      <c r="N5" s="317" t="s">
        <v>65</v>
      </c>
      <c r="O5" s="400">
        <f t="shared" si="0"/>
        <v>0.7799352750809061</v>
      </c>
      <c r="Q5" s="653">
        <v>3</v>
      </c>
      <c r="R5" s="3">
        <v>79</v>
      </c>
      <c r="S5" t="s">
        <v>522</v>
      </c>
      <c r="T5" t="s">
        <v>65</v>
      </c>
      <c r="U5" s="159">
        <f>R5/L5</f>
        <v>0.32780082987551867</v>
      </c>
      <c r="V5" s="47">
        <f t="shared" si="1"/>
        <v>7.8685258964143426E-2</v>
      </c>
    </row>
    <row r="6" spans="1:24" ht="18.75" x14ac:dyDescent="0.3">
      <c r="A6" s="180" t="s">
        <v>1026</v>
      </c>
      <c r="B6" s="396" t="s">
        <v>1035</v>
      </c>
      <c r="C6" s="317">
        <v>43055</v>
      </c>
      <c r="D6" t="s">
        <v>1036</v>
      </c>
      <c r="F6">
        <v>4</v>
      </c>
      <c r="G6" s="698">
        <v>2</v>
      </c>
      <c r="H6" s="696" t="s">
        <v>203</v>
      </c>
      <c r="I6" s="696" t="s">
        <v>1</v>
      </c>
      <c r="J6" s="318"/>
      <c r="K6" s="665">
        <v>4</v>
      </c>
      <c r="L6" s="372">
        <v>224</v>
      </c>
      <c r="M6" t="s">
        <v>591</v>
      </c>
      <c r="N6" s="317" t="s">
        <v>65</v>
      </c>
      <c r="O6" s="400">
        <f>L6/$G$22</f>
        <v>0.72491909385113273</v>
      </c>
      <c r="P6" s="318"/>
      <c r="Q6" s="653">
        <v>4</v>
      </c>
      <c r="R6" s="348">
        <v>70</v>
      </c>
      <c r="S6" t="s">
        <v>534</v>
      </c>
      <c r="T6" t="s">
        <v>533</v>
      </c>
      <c r="U6" s="159">
        <f>R6/L3</f>
        <v>0.25735294117647056</v>
      </c>
      <c r="V6" s="47">
        <f t="shared" si="1"/>
        <v>6.9721115537848599E-2</v>
      </c>
      <c r="X6" s="318"/>
    </row>
    <row r="7" spans="1:24" ht="18.75" x14ac:dyDescent="0.3">
      <c r="F7">
        <v>5</v>
      </c>
      <c r="G7" s="3">
        <v>1</v>
      </c>
      <c r="H7" t="s">
        <v>521</v>
      </c>
      <c r="I7" t="s">
        <v>2</v>
      </c>
      <c r="K7" s="665">
        <v>5</v>
      </c>
      <c r="L7" s="372">
        <v>217</v>
      </c>
      <c r="M7" t="s">
        <v>589</v>
      </c>
      <c r="N7" s="317" t="s">
        <v>215</v>
      </c>
      <c r="O7" s="400">
        <f t="shared" si="0"/>
        <v>0.70226537216828477</v>
      </c>
      <c r="Q7" s="653">
        <v>5</v>
      </c>
      <c r="R7" s="410">
        <v>62</v>
      </c>
      <c r="S7" t="s">
        <v>590</v>
      </c>
      <c r="T7" s="317" t="s">
        <v>66</v>
      </c>
      <c r="U7" s="159">
        <f>R7/L10</f>
        <v>0.29951690821256038</v>
      </c>
      <c r="V7" s="47">
        <f t="shared" si="1"/>
        <v>6.1752988047808766E-2</v>
      </c>
      <c r="W7" s="318"/>
    </row>
    <row r="8" spans="1:24" s="318" customFormat="1" ht="18.75" x14ac:dyDescent="0.3">
      <c r="A8" s="723" t="s">
        <v>1027</v>
      </c>
      <c r="B8" s="723"/>
      <c r="F8">
        <v>5</v>
      </c>
      <c r="G8" s="698">
        <v>1</v>
      </c>
      <c r="H8" s="696" t="s">
        <v>536</v>
      </c>
      <c r="I8" s="696" t="s">
        <v>507</v>
      </c>
      <c r="J8"/>
      <c r="K8" s="665">
        <v>6</v>
      </c>
      <c r="L8" s="344">
        <v>214</v>
      </c>
      <c r="M8" t="s">
        <v>531</v>
      </c>
      <c r="N8" s="317" t="s">
        <v>65</v>
      </c>
      <c r="O8" s="400">
        <f>L8/$G$22</f>
        <v>0.69255663430420711</v>
      </c>
      <c r="P8"/>
      <c r="Q8" s="653">
        <v>6</v>
      </c>
      <c r="R8" s="348">
        <v>58</v>
      </c>
      <c r="S8" t="s">
        <v>548</v>
      </c>
      <c r="T8" s="317" t="s">
        <v>507</v>
      </c>
      <c r="U8" s="159">
        <f>R8/L4</f>
        <v>0.21561338289962825</v>
      </c>
      <c r="V8" s="47">
        <f t="shared" si="1"/>
        <v>5.7768924302788842E-2</v>
      </c>
      <c r="W8"/>
      <c r="X8"/>
    </row>
    <row r="9" spans="1:24" ht="18.75" x14ac:dyDescent="0.3">
      <c r="A9" s="693" t="s">
        <v>1030</v>
      </c>
      <c r="B9" t="s">
        <v>1024</v>
      </c>
      <c r="C9" s="317" t="s">
        <v>67</v>
      </c>
      <c r="K9" s="665">
        <v>7</v>
      </c>
      <c r="L9" s="344">
        <v>213</v>
      </c>
      <c r="M9" t="s">
        <v>535</v>
      </c>
      <c r="N9" s="317" t="s">
        <v>507</v>
      </c>
      <c r="O9" s="400">
        <f>L9/$G$22</f>
        <v>0.68932038834951459</v>
      </c>
      <c r="Q9" s="653">
        <v>7</v>
      </c>
      <c r="R9" s="344">
        <v>52</v>
      </c>
      <c r="S9" t="s">
        <v>591</v>
      </c>
      <c r="T9" s="317" t="s">
        <v>65</v>
      </c>
      <c r="U9" s="159">
        <f>R9/L6</f>
        <v>0.23214285714285715</v>
      </c>
      <c r="V9" s="47">
        <f t="shared" si="1"/>
        <v>5.1792828685258967E-2</v>
      </c>
      <c r="W9" s="318"/>
    </row>
    <row r="10" spans="1:24" ht="18.75" x14ac:dyDescent="0.3">
      <c r="A10" s="601" t="s">
        <v>1031</v>
      </c>
      <c r="B10" t="s">
        <v>929</v>
      </c>
      <c r="C10" t="s">
        <v>1</v>
      </c>
      <c r="F10" s="318"/>
      <c r="G10" s="723" t="s">
        <v>518</v>
      </c>
      <c r="H10" s="723"/>
      <c r="J10" s="318"/>
      <c r="K10" s="665">
        <v>8</v>
      </c>
      <c r="L10" s="372">
        <v>207</v>
      </c>
      <c r="M10" t="s">
        <v>590</v>
      </c>
      <c r="N10" s="317" t="s">
        <v>66</v>
      </c>
      <c r="O10" s="400">
        <f>L10/$G$22</f>
        <v>0.66990291262135926</v>
      </c>
      <c r="P10" s="318"/>
      <c r="Q10" s="653">
        <v>8</v>
      </c>
      <c r="R10" s="411">
        <v>50</v>
      </c>
      <c r="S10" t="s">
        <v>643</v>
      </c>
      <c r="T10" s="317" t="s">
        <v>215</v>
      </c>
      <c r="U10" s="159">
        <f>R10/L17</f>
        <v>0.47169811320754718</v>
      </c>
      <c r="V10" s="47">
        <f t="shared" si="1"/>
        <v>4.9800796812749001E-2</v>
      </c>
      <c r="X10" s="318"/>
    </row>
    <row r="11" spans="1:24" x14ac:dyDescent="0.25">
      <c r="A11" s="412" t="s">
        <v>937</v>
      </c>
      <c r="B11" t="s">
        <v>534</v>
      </c>
      <c r="C11" t="s">
        <v>533</v>
      </c>
      <c r="F11">
        <v>1</v>
      </c>
      <c r="G11" s="476">
        <v>106</v>
      </c>
      <c r="H11" t="s">
        <v>929</v>
      </c>
      <c r="I11" t="s">
        <v>1</v>
      </c>
      <c r="K11" s="665">
        <v>9</v>
      </c>
      <c r="L11" s="344">
        <v>185</v>
      </c>
      <c r="M11" t="s">
        <v>551</v>
      </c>
      <c r="N11" s="317" t="s">
        <v>65</v>
      </c>
      <c r="O11" s="400">
        <f>L11/$G$22</f>
        <v>0.59870550161812297</v>
      </c>
      <c r="Q11" s="653">
        <v>8</v>
      </c>
      <c r="R11" s="390">
        <v>50</v>
      </c>
      <c r="S11" t="s">
        <v>551</v>
      </c>
      <c r="T11" s="317" t="s">
        <v>65</v>
      </c>
      <c r="U11" s="159">
        <f>R11/L11</f>
        <v>0.27027027027027029</v>
      </c>
      <c r="V11" s="47">
        <f t="shared" si="1"/>
        <v>4.9800796812749001E-2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0.59546925566343045</v>
      </c>
      <c r="P12"/>
      <c r="Q12" s="653">
        <v>10</v>
      </c>
      <c r="R12" s="344">
        <v>47</v>
      </c>
      <c r="S12" t="s">
        <v>521</v>
      </c>
      <c r="T12" t="s">
        <v>2</v>
      </c>
      <c r="U12" s="159">
        <f>R12/L14</f>
        <v>0.28834355828220859</v>
      </c>
      <c r="V12" s="47">
        <f t="shared" si="1"/>
        <v>4.6812749003984064E-2</v>
      </c>
      <c r="W12"/>
      <c r="X12"/>
    </row>
    <row r="13" spans="1:24" x14ac:dyDescent="0.25">
      <c r="A13" s="689" t="s">
        <v>937</v>
      </c>
      <c r="B13" t="s">
        <v>1021</v>
      </c>
      <c r="C13" t="s">
        <v>2</v>
      </c>
      <c r="F13">
        <v>3</v>
      </c>
      <c r="G13" s="344">
        <v>68</v>
      </c>
      <c r="H13" t="s">
        <v>548</v>
      </c>
      <c r="I13" s="317" t="s">
        <v>507</v>
      </c>
      <c r="K13" s="665">
        <v>11</v>
      </c>
      <c r="L13" s="476">
        <v>181</v>
      </c>
      <c r="M13" t="s">
        <v>640</v>
      </c>
      <c r="N13" t="s">
        <v>66</v>
      </c>
      <c r="O13" s="400">
        <f t="shared" si="0"/>
        <v>0.58576051779935279</v>
      </c>
      <c r="Q13" s="653">
        <v>10</v>
      </c>
      <c r="R13" s="348">
        <v>47</v>
      </c>
      <c r="S13" t="s">
        <v>535</v>
      </c>
      <c r="T13" s="317" t="s">
        <v>507</v>
      </c>
      <c r="U13" s="159">
        <f>R13/L9</f>
        <v>0.22065727699530516</v>
      </c>
      <c r="V13" s="47">
        <f t="shared" si="1"/>
        <v>4.6812749003984064E-2</v>
      </c>
    </row>
    <row r="14" spans="1:24" x14ac:dyDescent="0.25">
      <c r="A14" s="412" t="s">
        <v>937</v>
      </c>
      <c r="B14" t="s">
        <v>522</v>
      </c>
      <c r="C14" s="317" t="s">
        <v>65</v>
      </c>
      <c r="F14">
        <v>4</v>
      </c>
      <c r="G14" s="695">
        <v>21</v>
      </c>
      <c r="H14" s="696" t="s">
        <v>193</v>
      </c>
      <c r="I14" s="696" t="s">
        <v>66</v>
      </c>
      <c r="K14" s="665">
        <v>12</v>
      </c>
      <c r="L14" s="344">
        <v>163</v>
      </c>
      <c r="M14" t="s">
        <v>521</v>
      </c>
      <c r="N14" s="317" t="s">
        <v>507</v>
      </c>
      <c r="O14" s="400">
        <f>L14/$G$22</f>
        <v>0.52750809061488668</v>
      </c>
      <c r="Q14" s="653">
        <v>12</v>
      </c>
      <c r="R14" s="348">
        <v>36</v>
      </c>
      <c r="S14" t="s">
        <v>531</v>
      </c>
      <c r="T14" t="s">
        <v>65</v>
      </c>
      <c r="U14" s="159">
        <f>R14/L8</f>
        <v>0.16822429906542055</v>
      </c>
      <c r="V14" s="47">
        <f t="shared" si="1"/>
        <v>3.5856573705179286E-2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0.47249190938511326</v>
      </c>
      <c r="Q15" s="653">
        <v>13</v>
      </c>
      <c r="R15" s="476">
        <v>27</v>
      </c>
      <c r="S15" s="264" t="s">
        <v>1024</v>
      </c>
      <c r="T15" s="264" t="s">
        <v>67</v>
      </c>
      <c r="U15" s="159">
        <f>R15/L23</f>
        <v>0.67500000000000004</v>
      </c>
      <c r="V15" s="47">
        <f t="shared" si="1"/>
        <v>2.6892430278884463E-2</v>
      </c>
      <c r="W15">
        <v>103</v>
      </c>
    </row>
    <row r="16" spans="1:24" x14ac:dyDescent="0.25">
      <c r="A16" s="410" t="s">
        <v>983</v>
      </c>
      <c r="B16" t="s">
        <v>548</v>
      </c>
      <c r="C16" s="317" t="s">
        <v>507</v>
      </c>
      <c r="F16">
        <v>6</v>
      </c>
      <c r="G16" s="695">
        <v>6</v>
      </c>
      <c r="H16" s="696" t="s">
        <v>197</v>
      </c>
      <c r="I16" s="697" t="s">
        <v>65</v>
      </c>
      <c r="K16" s="665">
        <v>14</v>
      </c>
      <c r="L16" s="476">
        <v>118</v>
      </c>
      <c r="M16" t="s">
        <v>929</v>
      </c>
      <c r="N16" t="s">
        <v>1</v>
      </c>
      <c r="O16" s="400">
        <f>L16/$G$22</f>
        <v>0.3818770226537217</v>
      </c>
      <c r="Q16" s="653">
        <v>14</v>
      </c>
      <c r="R16" s="344">
        <v>20</v>
      </c>
      <c r="S16" t="s">
        <v>606</v>
      </c>
      <c r="T16" t="s">
        <v>65</v>
      </c>
      <c r="U16" s="159">
        <f>R16/L18</f>
        <v>0.21052631578947367</v>
      </c>
      <c r="V16" s="47">
        <f t="shared" si="1"/>
        <v>1.9920318725099601E-2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L17/$G$22</f>
        <v>0.34304207119741098</v>
      </c>
      <c r="Q17" s="653">
        <v>14</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95</v>
      </c>
      <c r="M18" t="s">
        <v>606</v>
      </c>
      <c r="N18" t="s">
        <v>65</v>
      </c>
      <c r="O18" s="400">
        <f>L18/$G$22</f>
        <v>0.30744336569579289</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0.28802588996763756</v>
      </c>
      <c r="Q19" s="653">
        <v>17</v>
      </c>
      <c r="R19" s="344">
        <v>12</v>
      </c>
      <c r="S19" t="s">
        <v>626</v>
      </c>
      <c r="T19" t="s">
        <v>215</v>
      </c>
      <c r="U19" s="159">
        <f>R19/L25</f>
        <v>0.375</v>
      </c>
      <c r="V19" s="47">
        <f t="shared" si="1"/>
        <v>1.1952191235059761E-2</v>
      </c>
    </row>
    <row r="20" spans="1:23" x14ac:dyDescent="0.25">
      <c r="A20" s="412" t="s">
        <v>938</v>
      </c>
      <c r="B20" t="s">
        <v>531</v>
      </c>
      <c r="C20" s="317" t="s">
        <v>65</v>
      </c>
      <c r="F20">
        <v>10</v>
      </c>
      <c r="G20" s="698">
        <v>1</v>
      </c>
      <c r="H20" s="696" t="s">
        <v>208</v>
      </c>
      <c r="I20" s="697" t="s">
        <v>525</v>
      </c>
      <c r="K20" s="665">
        <v>18</v>
      </c>
      <c r="L20" s="476">
        <v>69</v>
      </c>
      <c r="M20" t="s">
        <v>1021</v>
      </c>
      <c r="N20" t="s">
        <v>2</v>
      </c>
      <c r="O20" s="400">
        <f>L20/$G$22</f>
        <v>0.22330097087378642</v>
      </c>
      <c r="Q20" s="653">
        <v>18</v>
      </c>
      <c r="R20" s="348">
        <v>11</v>
      </c>
      <c r="S20" t="s">
        <v>209</v>
      </c>
      <c r="T20" s="317" t="s">
        <v>1</v>
      </c>
      <c r="U20" s="159">
        <f>R20/L12</f>
        <v>5.9782608695652176E-2</v>
      </c>
      <c r="V20" s="47">
        <f t="shared" si="1"/>
        <v>1.0956175298804782E-2</v>
      </c>
    </row>
    <row r="21" spans="1:23" x14ac:dyDescent="0.25">
      <c r="A21" s="412" t="s">
        <v>853</v>
      </c>
      <c r="B21" t="s">
        <v>643</v>
      </c>
      <c r="C21" s="317" t="s">
        <v>215</v>
      </c>
      <c r="F21">
        <v>10</v>
      </c>
      <c r="G21" s="3">
        <v>1</v>
      </c>
      <c r="H21" t="s">
        <v>521</v>
      </c>
      <c r="I21" t="s">
        <v>2</v>
      </c>
      <c r="K21" s="665">
        <v>19</v>
      </c>
      <c r="L21" s="638">
        <v>63</v>
      </c>
      <c r="M21" t="s">
        <v>769</v>
      </c>
      <c r="N21" t="s">
        <v>507</v>
      </c>
      <c r="O21" s="400">
        <f t="shared" si="0"/>
        <v>0.20388349514563106</v>
      </c>
      <c r="Q21" s="653">
        <v>18</v>
      </c>
      <c r="R21" s="344">
        <v>11</v>
      </c>
      <c r="S21" t="s">
        <v>769</v>
      </c>
      <c r="T21" t="s">
        <v>2</v>
      </c>
      <c r="U21" s="159">
        <f>R21/L21</f>
        <v>0.17460317460317459</v>
      </c>
      <c r="V21" s="47">
        <f t="shared" si="1"/>
        <v>1.0956175298804782E-2</v>
      </c>
    </row>
    <row r="22" spans="1:23" x14ac:dyDescent="0.25">
      <c r="A22" s="353" t="s">
        <v>1032</v>
      </c>
      <c r="B22" t="s">
        <v>535</v>
      </c>
      <c r="C22" s="317" t="s">
        <v>507</v>
      </c>
      <c r="G22" s="701">
        <f>SUM(G11:G21)</f>
        <v>309</v>
      </c>
      <c r="K22" s="665">
        <v>20</v>
      </c>
      <c r="L22" s="695">
        <v>55</v>
      </c>
      <c r="M22" s="696" t="s">
        <v>208</v>
      </c>
      <c r="N22" s="697" t="s">
        <v>525</v>
      </c>
      <c r="O22" s="699">
        <f t="shared" si="0"/>
        <v>0.17799352750809061</v>
      </c>
      <c r="Q22" s="653">
        <v>20</v>
      </c>
      <c r="R22" s="695">
        <v>10</v>
      </c>
      <c r="S22" s="696" t="s">
        <v>536</v>
      </c>
      <c r="T22" s="697" t="s">
        <v>507</v>
      </c>
      <c r="U22" s="159"/>
      <c r="V22" s="47"/>
    </row>
    <row r="23" spans="1:23" x14ac:dyDescent="0.25">
      <c r="A23" s="412" t="s">
        <v>708</v>
      </c>
      <c r="B23" t="s">
        <v>209</v>
      </c>
      <c r="C23" s="317" t="s">
        <v>1</v>
      </c>
      <c r="K23" s="665">
        <v>21</v>
      </c>
      <c r="L23" s="476">
        <v>40</v>
      </c>
      <c r="M23" t="s">
        <v>1024</v>
      </c>
      <c r="N23" t="s">
        <v>67</v>
      </c>
      <c r="O23" s="400">
        <f t="shared" ref="O23" si="2">L23/$G$22</f>
        <v>0.12944983818770225</v>
      </c>
      <c r="Q23" s="653">
        <v>20</v>
      </c>
      <c r="R23" s="695">
        <v>10</v>
      </c>
      <c r="S23" s="696" t="s">
        <v>641</v>
      </c>
      <c r="T23" s="697" t="s">
        <v>215</v>
      </c>
      <c r="U23" s="536"/>
      <c r="V23" s="47"/>
    </row>
    <row r="24" spans="1:23" x14ac:dyDescent="0.25">
      <c r="A24" s="695" t="s">
        <v>708</v>
      </c>
      <c r="B24" s="696" t="s">
        <v>207</v>
      </c>
      <c r="C24" s="697" t="s">
        <v>1</v>
      </c>
      <c r="K24" s="665"/>
      <c r="L24" s="638" t="s">
        <v>957</v>
      </c>
      <c r="M24" t="s">
        <v>957</v>
      </c>
      <c r="N24" t="s">
        <v>957</v>
      </c>
      <c r="O24" s="662" t="s">
        <v>957</v>
      </c>
      <c r="Q24" s="653">
        <v>20</v>
      </c>
      <c r="R24" s="627">
        <v>10</v>
      </c>
      <c r="S24" t="s">
        <v>1021</v>
      </c>
      <c r="T24" t="s">
        <v>2</v>
      </c>
      <c r="U24" s="159">
        <f>R24/L23</f>
        <v>0.25</v>
      </c>
      <c r="V24" s="47">
        <f t="shared" si="1"/>
        <v>9.9601593625498006E-3</v>
      </c>
      <c r="W24">
        <v>56</v>
      </c>
    </row>
    <row r="25" spans="1:23" x14ac:dyDescent="0.25">
      <c r="A25" s="410" t="s">
        <v>708</v>
      </c>
      <c r="B25" t="s">
        <v>606</v>
      </c>
      <c r="C25" t="s">
        <v>65</v>
      </c>
      <c r="K25" s="665"/>
      <c r="L25" s="638">
        <v>32</v>
      </c>
      <c r="M25" t="s">
        <v>626</v>
      </c>
      <c r="N25" t="s">
        <v>215</v>
      </c>
      <c r="O25" s="400">
        <f>L25/$G$22</f>
        <v>0.10355987055016182</v>
      </c>
      <c r="Q25" s="653">
        <v>23</v>
      </c>
      <c r="R25" s="695">
        <v>9</v>
      </c>
      <c r="S25" s="696" t="s">
        <v>538</v>
      </c>
      <c r="T25" s="696" t="s">
        <v>215</v>
      </c>
      <c r="U25" s="159"/>
      <c r="V25" s="47"/>
    </row>
    <row r="26" spans="1:23" x14ac:dyDescent="0.25">
      <c r="A26" s="695" t="s">
        <v>532</v>
      </c>
      <c r="B26" s="696" t="s">
        <v>427</v>
      </c>
      <c r="C26" s="697" t="s">
        <v>215</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695" t="s">
        <v>605</v>
      </c>
      <c r="B30" s="696" t="s">
        <v>641</v>
      </c>
      <c r="C30" s="697" t="s">
        <v>215</v>
      </c>
      <c r="Q30" s="693">
        <v>27</v>
      </c>
      <c r="R30" s="695">
        <v>3</v>
      </c>
      <c r="S30" s="696" t="s">
        <v>777</v>
      </c>
      <c r="T30" s="696" t="s">
        <v>65</v>
      </c>
      <c r="U30" s="159"/>
      <c r="V30" s="47"/>
    </row>
    <row r="31" spans="1:23" x14ac:dyDescent="0.25">
      <c r="A31" s="425" t="s">
        <v>605</v>
      </c>
      <c r="B31" t="s">
        <v>626</v>
      </c>
      <c r="C31" t="s">
        <v>215</v>
      </c>
      <c r="R31" s="702">
        <f>SUM(R3:R30)</f>
        <v>1004</v>
      </c>
    </row>
    <row r="32" spans="1:23" x14ac:dyDescent="0.25">
      <c r="A32" s="347"/>
      <c r="B32" s="345"/>
      <c r="C32" s="346"/>
    </row>
    <row r="33" spans="1:3" x14ac:dyDescent="0.25">
      <c r="A33" s="347"/>
      <c r="B33" s="345"/>
      <c r="C33" s="346"/>
    </row>
    <row r="34" spans="1:3" x14ac:dyDescent="0.25">
      <c r="A34" s="347"/>
      <c r="B34" s="345"/>
      <c r="C34" s="346"/>
    </row>
    <row r="35" spans="1:3" x14ac:dyDescent="0.25">
      <c r="A35" s="347"/>
      <c r="B35" s="345"/>
      <c r="C35" s="345"/>
    </row>
    <row r="36" spans="1:3" x14ac:dyDescent="0.25">
      <c r="A36"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08" t="s">
        <v>270</v>
      </c>
      <c r="C59" s="213" t="s">
        <v>179</v>
      </c>
      <c r="D59" s="709" t="s">
        <v>271</v>
      </c>
      <c r="E59" s="709" t="s">
        <v>271</v>
      </c>
      <c r="F59" s="214" t="s">
        <v>272</v>
      </c>
      <c r="H59" s="299" t="s">
        <v>273</v>
      </c>
    </row>
    <row r="60" spans="1:24" ht="23.25" x14ac:dyDescent="0.25">
      <c r="A60" s="215">
        <v>18</v>
      </c>
      <c r="B60" s="708"/>
      <c r="C60" s="213" t="s">
        <v>274</v>
      </c>
      <c r="D60" s="709"/>
      <c r="E60" s="709"/>
      <c r="F60" s="214" t="s">
        <v>275</v>
      </c>
      <c r="H60" s="298" t="s">
        <v>276</v>
      </c>
    </row>
    <row r="61" spans="1:24" x14ac:dyDescent="0.25">
      <c r="A61" s="212">
        <v>19</v>
      </c>
      <c r="B61" s="708"/>
      <c r="C61" s="216"/>
      <c r="D61" s="709"/>
      <c r="E61" s="709"/>
      <c r="F61" s="217"/>
      <c r="H61" s="298" t="s">
        <v>277</v>
      </c>
      <c r="I61" s="158"/>
    </row>
    <row r="62" spans="1:24" ht="23.25" x14ac:dyDescent="0.25">
      <c r="A62" s="215">
        <v>20</v>
      </c>
      <c r="B62" s="708"/>
      <c r="C62" s="214" t="s">
        <v>271</v>
      </c>
      <c r="D62" s="710" t="s">
        <v>272</v>
      </c>
      <c r="E62" s="214" t="s">
        <v>272</v>
      </c>
      <c r="F62" s="217"/>
      <c r="H62" s="298" t="s">
        <v>278</v>
      </c>
    </row>
    <row r="63" spans="1:24" ht="23.25" x14ac:dyDescent="0.25">
      <c r="A63" s="212">
        <v>21</v>
      </c>
      <c r="B63" s="711" t="s">
        <v>179</v>
      </c>
      <c r="C63" s="214" t="s">
        <v>279</v>
      </c>
      <c r="D63" s="710"/>
      <c r="E63" s="214" t="s">
        <v>275</v>
      </c>
      <c r="F63" s="217"/>
      <c r="H63" s="298" t="s">
        <v>280</v>
      </c>
    </row>
    <row r="64" spans="1:24" x14ac:dyDescent="0.25">
      <c r="A64" s="215">
        <v>22</v>
      </c>
      <c r="B64" s="711"/>
      <c r="C64" s="217"/>
      <c r="D64" s="710"/>
      <c r="E64" s="217"/>
      <c r="F64" s="217"/>
      <c r="H64" s="298" t="s">
        <v>281</v>
      </c>
    </row>
    <row r="65" spans="1:8" x14ac:dyDescent="0.25">
      <c r="A65" s="212">
        <v>23</v>
      </c>
      <c r="B65" s="711"/>
      <c r="C65" s="217"/>
      <c r="D65" s="710"/>
      <c r="E65" s="217"/>
      <c r="F65" s="217"/>
    </row>
    <row r="66" spans="1:8" x14ac:dyDescent="0.25">
      <c r="A66" s="215">
        <v>24</v>
      </c>
      <c r="B66" s="711"/>
      <c r="C66" s="217"/>
      <c r="D66" s="710"/>
      <c r="E66" s="217"/>
      <c r="F66" s="217"/>
      <c r="H66" s="298" t="s">
        <v>282</v>
      </c>
    </row>
    <row r="67" spans="1:8" x14ac:dyDescent="0.25">
      <c r="A67" s="212">
        <v>25</v>
      </c>
      <c r="B67" s="711"/>
      <c r="C67" s="217"/>
      <c r="D67" s="709" t="s">
        <v>271</v>
      </c>
      <c r="E67" s="217"/>
      <c r="F67" s="217"/>
      <c r="H67" s="298" t="s">
        <v>283</v>
      </c>
    </row>
    <row r="68" spans="1:8" x14ac:dyDescent="0.25">
      <c r="A68" s="215">
        <v>26</v>
      </c>
      <c r="B68" s="711"/>
      <c r="C68" s="709" t="s">
        <v>271</v>
      </c>
      <c r="D68" s="709"/>
      <c r="E68" s="217"/>
      <c r="F68" s="217"/>
    </row>
    <row r="69" spans="1:8" x14ac:dyDescent="0.25">
      <c r="A69" s="212">
        <v>27</v>
      </c>
      <c r="B69" s="708" t="s">
        <v>270</v>
      </c>
      <c r="C69" s="709"/>
      <c r="D69" s="709"/>
      <c r="E69" s="217"/>
      <c r="F69" s="217"/>
    </row>
    <row r="70" spans="1:8" x14ac:dyDescent="0.25">
      <c r="A70" s="215">
        <v>28</v>
      </c>
      <c r="B70" s="708"/>
      <c r="C70" s="711" t="s">
        <v>179</v>
      </c>
      <c r="D70" s="709"/>
      <c r="E70" s="217"/>
      <c r="F70" s="217"/>
      <c r="H70" s="298" t="s">
        <v>284</v>
      </c>
    </row>
    <row r="71" spans="1:8" x14ac:dyDescent="0.25">
      <c r="A71" s="212">
        <v>29</v>
      </c>
      <c r="B71" s="708"/>
      <c r="C71" s="711"/>
      <c r="D71" s="709"/>
      <c r="E71" s="217"/>
      <c r="F71" s="217"/>
    </row>
    <row r="72" spans="1:8" x14ac:dyDescent="0.25">
      <c r="A72" s="215">
        <v>30</v>
      </c>
      <c r="B72" s="708"/>
      <c r="C72" s="711"/>
      <c r="D72" s="711" t="s">
        <v>179</v>
      </c>
      <c r="E72" s="217"/>
      <c r="F72" s="217"/>
      <c r="H72" s="298" t="s">
        <v>285</v>
      </c>
    </row>
    <row r="73" spans="1:8" x14ac:dyDescent="0.25">
      <c r="A73" s="212">
        <v>31</v>
      </c>
      <c r="B73" s="708"/>
      <c r="C73" s="711"/>
      <c r="D73" s="711"/>
      <c r="E73" s="214" t="s">
        <v>271</v>
      </c>
      <c r="F73" s="217"/>
    </row>
    <row r="74" spans="1:8" ht="23.25" x14ac:dyDescent="0.25">
      <c r="A74" s="215">
        <v>32</v>
      </c>
      <c r="B74" s="708"/>
      <c r="C74" s="711"/>
      <c r="D74" s="711"/>
      <c r="E74" s="214" t="s">
        <v>279</v>
      </c>
      <c r="F74" s="217"/>
      <c r="H74" s="298" t="s">
        <v>286</v>
      </c>
    </row>
    <row r="75" spans="1:8" ht="23.25" x14ac:dyDescent="0.25">
      <c r="A75" s="212">
        <v>33</v>
      </c>
      <c r="B75" s="708"/>
      <c r="C75" s="708" t="s">
        <v>270</v>
      </c>
      <c r="D75" s="711"/>
      <c r="E75" s="213" t="s">
        <v>179</v>
      </c>
      <c r="F75" s="213" t="s">
        <v>179</v>
      </c>
    </row>
    <row r="76" spans="1:8" x14ac:dyDescent="0.25">
      <c r="A76" s="215">
        <v>34</v>
      </c>
      <c r="B76" s="712" t="s">
        <v>287</v>
      </c>
      <c r="C76" s="708"/>
      <c r="D76" s="711"/>
      <c r="E76" s="213" t="s">
        <v>274</v>
      </c>
      <c r="F76" s="213" t="s">
        <v>274</v>
      </c>
      <c r="H76" s="298" t="s">
        <v>288</v>
      </c>
    </row>
    <row r="77" spans="1:8" x14ac:dyDescent="0.25">
      <c r="A77" s="212">
        <v>35</v>
      </c>
      <c r="B77" s="712"/>
      <c r="C77" s="712" t="s">
        <v>287</v>
      </c>
      <c r="D77" s="708" t="s">
        <v>270</v>
      </c>
      <c r="E77" s="708" t="s">
        <v>270</v>
      </c>
      <c r="F77" s="216"/>
    </row>
    <row r="78" spans="1:8" ht="23.25" x14ac:dyDescent="0.25">
      <c r="A78" s="215">
        <v>36</v>
      </c>
      <c r="B78" s="712"/>
      <c r="C78" s="712"/>
      <c r="D78" s="708"/>
      <c r="E78" s="708"/>
      <c r="F78" s="218" t="s">
        <v>270</v>
      </c>
      <c r="H78" s="298" t="s">
        <v>289</v>
      </c>
    </row>
    <row r="79" spans="1:8" x14ac:dyDescent="0.25">
      <c r="A79" s="707" t="s">
        <v>290</v>
      </c>
      <c r="B79" s="707"/>
      <c r="C79" s="707"/>
      <c r="D79" s="707"/>
      <c r="E79" s="707"/>
      <c r="F79" s="707"/>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24" t="s">
        <v>11</v>
      </c>
      <c r="E2" s="724"/>
      <c r="F2" s="725" t="s">
        <v>12</v>
      </c>
      <c r="G2" s="725"/>
      <c r="H2" s="726" t="s">
        <v>13</v>
      </c>
      <c r="I2" s="72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27" t="s">
        <v>461</v>
      </c>
      <c r="C1" s="727"/>
      <c r="D1" s="727"/>
      <c r="E1" s="727"/>
      <c r="F1" s="727"/>
      <c r="G1" s="727"/>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28"/>
      <c r="N27" s="716"/>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28"/>
      <c r="N29" s="716"/>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28"/>
      <c r="M27" s="716"/>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28"/>
      <c r="M29" s="716"/>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27" t="s">
        <v>461</v>
      </c>
      <c r="C1" s="727"/>
      <c r="D1" s="727"/>
      <c r="E1" s="727"/>
      <c r="F1" s="727"/>
      <c r="G1" s="727"/>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28"/>
      <c r="N27" s="716"/>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28"/>
      <c r="N29" s="716"/>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27" t="s">
        <v>461</v>
      </c>
      <c r="C1" s="727"/>
      <c r="D1" s="727"/>
      <c r="E1" s="727"/>
      <c r="F1" s="727"/>
      <c r="G1" s="727"/>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28"/>
      <c r="Q27" s="716"/>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28"/>
      <c r="Q29" s="716"/>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35"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36"/>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37">
        <f>C13</f>
        <v>1504841</v>
      </c>
      <c r="AA14" s="738"/>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39" t="s">
        <v>94</v>
      </c>
      <c r="B26" s="73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0" t="s">
        <v>95</v>
      </c>
      <c r="B27" s="73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1" t="s">
        <v>96</v>
      </c>
      <c r="B28" s="73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39" t="s">
        <v>97</v>
      </c>
      <c r="B29" s="73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0" t="s">
        <v>98</v>
      </c>
      <c r="B30" s="73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1" t="s">
        <v>99</v>
      </c>
      <c r="B31" s="73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0"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2">
        <f>C23</f>
        <v>1482625</v>
      </c>
      <c r="AA33" s="733"/>
    </row>
    <row r="34" spans="1:27" x14ac:dyDescent="0.25">
      <c r="A34" s="57"/>
      <c r="B34" s="740"/>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0"/>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0"/>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0"/>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0"/>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4"/>
      <c r="I40" s="734"/>
      <c r="J40" s="734"/>
      <c r="K40" s="73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29"/>
      <c r="I49" s="729"/>
      <c r="J49" s="729"/>
      <c r="K49" s="729"/>
    </row>
    <row r="50" spans="8:11" x14ac:dyDescent="0.25">
      <c r="H50" s="103"/>
      <c r="I50" s="103"/>
      <c r="J50" s="103"/>
      <c r="K50" s="103"/>
    </row>
    <row r="51" spans="8:11" x14ac:dyDescent="0.25">
      <c r="H51" s="729"/>
      <c r="I51" s="729"/>
      <c r="J51" s="729"/>
      <c r="K51" s="729"/>
    </row>
    <row r="52" spans="8:11" ht="15" customHeight="1" x14ac:dyDescent="0.25">
      <c r="H52" s="729"/>
      <c r="I52" s="729"/>
      <c r="J52" s="729"/>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211</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37">
        <f>C13</f>
        <v>2257672</v>
      </c>
      <c r="Z14" s="738"/>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39" t="s">
        <v>94</v>
      </c>
      <c r="B26" s="73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0" t="s">
        <v>95</v>
      </c>
      <c r="B27" s="73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1" t="s">
        <v>96</v>
      </c>
      <c r="B28" s="73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39" t="s">
        <v>97</v>
      </c>
      <c r="B29" s="73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0" t="s">
        <v>98</v>
      </c>
      <c r="B30" s="73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1" t="s">
        <v>99</v>
      </c>
      <c r="B31" s="73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v>49820</v>
      </c>
      <c r="Y33" s="732">
        <f>C23</f>
        <v>2470257</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0"/>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0"/>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0"/>
      <c r="C37" s="174" t="s">
        <v>214</v>
      </c>
      <c r="D37" s="177"/>
      <c r="E37" s="177"/>
      <c r="F37" s="177"/>
      <c r="G37" s="177"/>
      <c r="H37" s="177"/>
      <c r="I37" s="177"/>
      <c r="J37" s="177"/>
      <c r="K37" s="177"/>
      <c r="L37" s="177"/>
      <c r="M37" s="177"/>
      <c r="N37" s="177"/>
      <c r="O37" s="177"/>
      <c r="P37" s="177"/>
      <c r="Q37" s="177"/>
      <c r="R37" s="177"/>
      <c r="S37" s="177" t="s">
        <v>433</v>
      </c>
    </row>
    <row r="38" spans="1:26" x14ac:dyDescent="0.25">
      <c r="B38" s="740"/>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4"/>
      <c r="H40" s="734"/>
      <c r="I40" s="734"/>
      <c r="J40" s="734"/>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29"/>
      <c r="H49" s="729"/>
      <c r="I49" s="729"/>
      <c r="J49" s="729"/>
    </row>
    <row r="50" spans="7:10" x14ac:dyDescent="0.25">
      <c r="G50" s="234"/>
      <c r="H50" s="234"/>
      <c r="I50" s="234"/>
      <c r="J50" s="234"/>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329</v>
      </c>
      <c r="C2" s="742"/>
      <c r="D2" s="742"/>
      <c r="E2" s="742"/>
      <c r="F2" s="742"/>
      <c r="G2" s="743"/>
      <c r="I2" s="744" t="s">
        <v>102</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5"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36"/>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37">
        <f>C13</f>
        <v>3165941</v>
      </c>
      <c r="Z14" s="738"/>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39" t="s">
        <v>94</v>
      </c>
      <c r="B26" s="73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0" t="s">
        <v>95</v>
      </c>
      <c r="B27" s="73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1" t="s">
        <v>96</v>
      </c>
      <c r="B28" s="73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39" t="s">
        <v>97</v>
      </c>
      <c r="B29" s="73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0" t="s">
        <v>98</v>
      </c>
      <c r="B30" s="73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1" t="s">
        <v>99</v>
      </c>
      <c r="B31" s="73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c r="Y33" s="732">
        <f>C23</f>
        <v>1505104</v>
      </c>
      <c r="Z33" s="733"/>
    </row>
    <row r="34" spans="1:26" x14ac:dyDescent="0.25">
      <c r="A34" s="57"/>
      <c r="B34" s="740"/>
      <c r="C34" s="174" t="s">
        <v>105</v>
      </c>
      <c r="D34" s="175"/>
      <c r="E34" s="175"/>
      <c r="F34" s="175"/>
      <c r="G34" s="175"/>
      <c r="H34" s="175"/>
      <c r="I34" s="175"/>
      <c r="J34" s="175"/>
      <c r="K34" s="175"/>
      <c r="L34" s="175"/>
      <c r="M34" s="175"/>
      <c r="N34" s="175"/>
      <c r="O34" s="175"/>
      <c r="P34" s="175"/>
      <c r="Q34" s="175"/>
      <c r="R34" s="175"/>
      <c r="S34" s="175"/>
    </row>
    <row r="35" spans="1:26" x14ac:dyDescent="0.25">
      <c r="A35" s="57"/>
      <c r="B35" s="740"/>
      <c r="C35" s="174" t="s">
        <v>62</v>
      </c>
      <c r="D35" s="176"/>
      <c r="E35" s="176"/>
      <c r="F35" s="176"/>
      <c r="G35" s="176"/>
      <c r="H35" s="176"/>
      <c r="I35" s="176"/>
      <c r="J35" s="176"/>
      <c r="K35" s="176"/>
      <c r="L35" s="176"/>
      <c r="M35" s="176"/>
      <c r="N35" s="176"/>
      <c r="O35" s="176"/>
      <c r="P35" s="176"/>
      <c r="Q35" s="176"/>
      <c r="R35" s="176"/>
      <c r="S35" s="176"/>
    </row>
    <row r="36" spans="1:26" x14ac:dyDescent="0.25">
      <c r="A36" s="57"/>
      <c r="B36" s="740"/>
      <c r="C36" s="174" t="s">
        <v>213</v>
      </c>
      <c r="D36" s="177"/>
      <c r="E36" s="177"/>
      <c r="F36" s="177"/>
      <c r="G36" s="177"/>
      <c r="H36" s="177"/>
      <c r="I36" s="177"/>
      <c r="J36" s="177"/>
      <c r="K36" s="177"/>
      <c r="L36" s="177"/>
      <c r="M36" s="177"/>
      <c r="N36" s="177"/>
      <c r="O36" s="177"/>
      <c r="P36" s="177"/>
      <c r="Q36" s="177"/>
      <c r="R36" s="177"/>
      <c r="S36" s="177"/>
    </row>
    <row r="37" spans="1:26" x14ac:dyDescent="0.25">
      <c r="B37" s="740"/>
      <c r="C37" s="174" t="s">
        <v>214</v>
      </c>
      <c r="D37" s="177"/>
      <c r="E37" s="177"/>
      <c r="F37" s="177"/>
      <c r="G37" s="177"/>
      <c r="H37" s="177"/>
      <c r="I37" s="177"/>
      <c r="J37" s="177"/>
      <c r="K37" s="177"/>
      <c r="L37" s="177"/>
      <c r="M37" s="177"/>
      <c r="N37" s="177"/>
      <c r="O37" s="177"/>
      <c r="P37" s="177"/>
      <c r="Q37" s="177"/>
      <c r="R37" s="177"/>
      <c r="S37" s="177"/>
    </row>
    <row r="38" spans="1:26" x14ac:dyDescent="0.25">
      <c r="B38" s="740"/>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4"/>
      <c r="H40" s="734"/>
      <c r="I40" s="734"/>
      <c r="J40" s="734"/>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29"/>
      <c r="H49" s="729"/>
      <c r="I49" s="729"/>
      <c r="J49" s="729"/>
    </row>
    <row r="50" spans="7:10" x14ac:dyDescent="0.25">
      <c r="G50" s="261"/>
      <c r="H50" s="261"/>
      <c r="I50" s="261"/>
      <c r="J50" s="261"/>
    </row>
    <row r="51" spans="7:10" x14ac:dyDescent="0.25">
      <c r="G51" s="729"/>
      <c r="H51" s="729"/>
      <c r="I51" s="729"/>
      <c r="J51" s="729"/>
    </row>
    <row r="52" spans="7:10" ht="15" customHeight="1" x14ac:dyDescent="0.25">
      <c r="G52" s="729"/>
      <c r="H52" s="729"/>
      <c r="I52" s="729"/>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12.488121678740907</v>
      </c>
      <c r="D2" s="387">
        <f t="shared" ref="D2:D20" si="0">(C2*2+B2)/8</f>
        <v>5.2805456295278406</v>
      </c>
      <c r="E2" s="159">
        <f>D2*PLANTILLA!P7</f>
        <v>4.8888352815829759</v>
      </c>
      <c r="F2" s="159">
        <f>E2*PLANTILLA!Q7</f>
        <v>4.8853420083383687</v>
      </c>
      <c r="H2" t="str">
        <f>A2</f>
        <v>B. Pinczehelyi</v>
      </c>
      <c r="I2" s="159">
        <f>D2</f>
        <v>5.2805456295278406</v>
      </c>
      <c r="J2" s="159">
        <f t="shared" ref="J2:K2" si="1">E2</f>
        <v>4.8888352815829759</v>
      </c>
      <c r="K2" s="159">
        <f t="shared" si="1"/>
        <v>4.8853420083383687</v>
      </c>
      <c r="M2" t="str">
        <f>A2</f>
        <v>B. Pinczehelyi</v>
      </c>
      <c r="N2" s="159">
        <f>D2</f>
        <v>5.2805456295278406</v>
      </c>
      <c r="O2" s="159">
        <f t="shared" ref="O2:P2" si="2">E2</f>
        <v>4.8888352815829759</v>
      </c>
      <c r="P2" s="159">
        <f t="shared" si="2"/>
        <v>4.8853420083383687</v>
      </c>
    </row>
    <row r="3" spans="1:16" x14ac:dyDescent="0.25">
      <c r="A3" t="str">
        <f>PLANTILLA!D16</f>
        <v>C. Rojas</v>
      </c>
      <c r="B3" s="159">
        <f>PLANTILLA!W16+1.5+PLANTILLA!J16</f>
        <v>11.546463883619058</v>
      </c>
      <c r="C3" s="159">
        <f>PLANTILLA!Z16+1.5+PLANTILLA!J16</f>
        <v>13.028908328063499</v>
      </c>
      <c r="D3" s="387">
        <f t="shared" si="0"/>
        <v>4.7005350674682571</v>
      </c>
      <c r="E3" s="159">
        <f>D3*PLANTILLA!P16</f>
        <v>4.3518498451478385</v>
      </c>
      <c r="F3" s="159">
        <f>E3*PLANTILLA!Q16</f>
        <v>4.3487402700132716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PLANTILLA!W12+1.5+PLANTILLA!J12</f>
        <v>14.984098574941132</v>
      </c>
      <c r="C4" s="159">
        <f>PLANTILLA!Z12+1.5+PLANTILLA!J12</f>
        <v>13.904098574941134</v>
      </c>
      <c r="D4" s="387">
        <f t="shared" si="0"/>
        <v>5.3490369656029255</v>
      </c>
      <c r="E4" s="159">
        <f>D4*PLANTILLA!P12</f>
        <v>4.5207613501794262</v>
      </c>
      <c r="F4" s="159">
        <f>E4*PLANTILLA!Q12</f>
        <v>4.181922426687172</v>
      </c>
      <c r="H4" t="str">
        <f t="shared" ref="H4:H6" si="5">A4</f>
        <v>E. Romweber</v>
      </c>
      <c r="I4" s="159">
        <f t="shared" ref="I4:I6" si="6">D4</f>
        <v>5.3490369656029255</v>
      </c>
      <c r="J4" s="159">
        <f t="shared" ref="J4" si="7">E4</f>
        <v>4.5207613501794262</v>
      </c>
      <c r="K4" s="159">
        <f t="shared" ref="K4" si="8">F4</f>
        <v>4.181922426687172</v>
      </c>
      <c r="M4" t="str">
        <f t="shared" ref="M4" si="9">A4</f>
        <v>E. Romweber</v>
      </c>
      <c r="N4" s="159">
        <f t="shared" ref="N4" si="10">D4</f>
        <v>5.3490369656029255</v>
      </c>
      <c r="O4" s="159">
        <f t="shared" ref="O4" si="11">E4</f>
        <v>4.5207613501794262</v>
      </c>
      <c r="P4" s="159">
        <f t="shared" ref="P4" si="12">F4</f>
        <v>4.181922426687172</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s="159" t="str">
        <f>A12</f>
        <v>B. Bartolache</v>
      </c>
      <c r="I5" s="159">
        <f>D12</f>
        <v>4.7780500858809578</v>
      </c>
      <c r="J5" s="159">
        <f t="shared" ref="J5:K5" si="13">E12</f>
        <v>4.4236148072285566</v>
      </c>
      <c r="K5" s="159">
        <f t="shared" si="13"/>
        <v>4.4204539530863123</v>
      </c>
      <c r="M5" s="159" t="str">
        <f>H5</f>
        <v>B. Bartolache</v>
      </c>
      <c r="N5" s="159">
        <f t="shared" ref="N5:P5" si="14">I5</f>
        <v>4.7780500858809578</v>
      </c>
      <c r="O5" s="159">
        <f t="shared" si="14"/>
        <v>4.4236148072285566</v>
      </c>
      <c r="P5" s="159">
        <f t="shared" si="14"/>
        <v>4.4204539530863123</v>
      </c>
    </row>
    <row r="6" spans="1:16" x14ac:dyDescent="0.25">
      <c r="A6" t="str">
        <f>PLANTILLA!D17</f>
        <v>E. Gross</v>
      </c>
      <c r="B6" s="159">
        <f>PLANTILLA!W17+1.5+PLANTILLA!J17</f>
        <v>13.18333333333333</v>
      </c>
      <c r="C6" s="159">
        <f>PLANTILLA!Z17+1.5+PLANTILLA!J17</f>
        <v>12.073333333333334</v>
      </c>
      <c r="D6" s="387">
        <f t="shared" si="0"/>
        <v>4.6662499999999998</v>
      </c>
      <c r="E6" s="159">
        <f>D6*PLANTILLA!P17</f>
        <v>4.3201080405636683</v>
      </c>
      <c r="F6" s="159">
        <f>E6*PLANTILLA!Q17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PLANTILLA!W9+1.5+PLANTILLA!J9</f>
        <v>15.049695060874356</v>
      </c>
      <c r="C7" s="159">
        <f>PLANTILLA!Z9+1.5+PLANTILLA!J9</f>
        <v>12.589695060874352</v>
      </c>
      <c r="D7" s="387">
        <f t="shared" si="0"/>
        <v>5.0286356478278824</v>
      </c>
      <c r="E7" s="159">
        <f>D7*PLANTILLA!P9</f>
        <v>4.2499728132412251</v>
      </c>
      <c r="F7" s="159">
        <f>E7*PLANTILLA!Q9</f>
        <v>3.9314299614154264</v>
      </c>
      <c r="I7" s="455">
        <f>SUM(I2:I6)</f>
        <v>25.102518328839608</v>
      </c>
      <c r="J7" s="455">
        <f t="shared" ref="J7:K7" si="17">SUM(J2:J6)</f>
        <v>22.40329229279585</v>
      </c>
      <c r="K7" s="455">
        <f t="shared" si="17"/>
        <v>21.73616949577713</v>
      </c>
      <c r="L7" s="455"/>
      <c r="M7" s="455"/>
      <c r="N7" s="455">
        <f>SUM(N2:N6)</f>
        <v>20.436268328839606</v>
      </c>
      <c r="O7" s="455">
        <f t="shared" ref="O7:P7" si="18">SUM(O2:O6)</f>
        <v>18.083184252232183</v>
      </c>
      <c r="P7" s="455">
        <f t="shared" si="18"/>
        <v>17.41914834952728</v>
      </c>
    </row>
    <row r="8" spans="1:16" x14ac:dyDescent="0.25">
      <c r="A8" t="str">
        <f>PLANTILLA!D24</f>
        <v>P .Trivadi</v>
      </c>
      <c r="B8" s="159">
        <f>PLANTILLA!W24+1.5+PLANTILLA!J24</f>
        <v>6.5657873992714419</v>
      </c>
      <c r="C8" s="159">
        <f>PLANTILLA!Z24+1.5+PLANTILLA!J24</f>
        <v>13.365787399271442</v>
      </c>
      <c r="D8" s="387">
        <f t="shared" si="0"/>
        <v>4.1621702747267904</v>
      </c>
      <c r="E8" s="159">
        <f>D8*PLANTILLA!P24</f>
        <v>3.5176759165899054</v>
      </c>
      <c r="F8" s="159">
        <f>E8*PLANTILLA!Q24</f>
        <v>3.2540199904206011</v>
      </c>
    </row>
    <row r="9" spans="1:16" x14ac:dyDescent="0.25">
      <c r="A9" t="str">
        <f>PLANTILLA!D13</f>
        <v>K. Helms</v>
      </c>
      <c r="B9" s="159">
        <f>PLANTILLA!W13+1.5+PLANTILLA!J13</f>
        <v>10.008957363560242</v>
      </c>
      <c r="C9" s="159">
        <f>PLANTILLA!Z13+1.5+PLANTILLA!J13</f>
        <v>13.25895736356024</v>
      </c>
      <c r="D9" s="387">
        <f t="shared" si="0"/>
        <v>4.5658590113350908</v>
      </c>
      <c r="E9" s="159">
        <f>D9*PLANTILLA!P13</f>
        <v>4.2271640454216568</v>
      </c>
      <c r="F9" s="159">
        <f>E9*PLANTILLA!Q13</f>
        <v>4.2241435634029507</v>
      </c>
    </row>
    <row r="10" spans="1:16" x14ac:dyDescent="0.25">
      <c r="A10" t="str">
        <f>PLANTILLA!D22</f>
        <v>J. Limon</v>
      </c>
      <c r="B10" s="159">
        <f>PLANTILLA!W22+1.5+PLANTILLA!J22</f>
        <v>9.7061426278300171</v>
      </c>
      <c r="C10" s="159">
        <f>PLANTILLA!Z22+1.5+PLANTILLA!J22</f>
        <v>12.578523580210968</v>
      </c>
      <c r="D10" s="387">
        <f t="shared" si="0"/>
        <v>4.3578987235314939</v>
      </c>
      <c r="E10" s="159">
        <f>D10*PLANTILLA!P22</f>
        <v>4.3578987235314939</v>
      </c>
      <c r="F10" s="159">
        <f>E10*PLANTILLA!Q22</f>
        <v>4.3578987235314939</v>
      </c>
      <c r="H10" s="159"/>
    </row>
    <row r="11" spans="1:16" x14ac:dyDescent="0.25">
      <c r="A11" t="str">
        <f>PLANTILLA!D23</f>
        <v>L. Calosso</v>
      </c>
      <c r="B11" s="159">
        <f>PLANTILLA!W23+1.5+PLANTILLA!J23</f>
        <v>4.8937639717155434</v>
      </c>
      <c r="C11" s="159">
        <f>PLANTILLA!Z23+1.5+PLANTILLA!J23</f>
        <v>17.913763971715543</v>
      </c>
      <c r="D11" s="387">
        <f t="shared" si="0"/>
        <v>5.0901614893933287</v>
      </c>
      <c r="E11" s="159">
        <f>D11*PLANTILLA!P23</f>
        <v>4.3019716400160144</v>
      </c>
      <c r="F11" s="159">
        <f>E11*PLANTILLA!Q23</f>
        <v>3.9795313857125265</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4.4236148072285566</v>
      </c>
      <c r="F12" s="159">
        <f>E12*PLANTILLA!Q10</f>
        <v>4.4204539530863123</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12.102873135115296</v>
      </c>
      <c r="C14" s="159">
        <f>PLANTILLA!Z15+1.5+PLANTILLA!J15</f>
        <v>12.582539801781966</v>
      </c>
      <c r="D14" s="387">
        <f t="shared" si="0"/>
        <v>4.6584940923349034</v>
      </c>
      <c r="E14" s="159">
        <f>D14*PLANTILLA!P15</f>
        <v>4.312927465355342</v>
      </c>
      <c r="F14" s="159">
        <f>E14*PLANTILLA!Q15</f>
        <v>4.3098457018569043</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3.68590167170021</v>
      </c>
      <c r="F16" s="159">
        <f>E16*PLANTILLA!Q11</f>
        <v>3.4096369326894616</v>
      </c>
    </row>
    <row r="17" spans="1:6" x14ac:dyDescent="0.25">
      <c r="A17" t="str">
        <f>PLANTILLA!D18</f>
        <v>L. Bauman</v>
      </c>
      <c r="B17" s="159">
        <f>PLANTILLA!W18+1.5+PLANTILLA!J18</f>
        <v>8.0534344570302121</v>
      </c>
      <c r="C17" s="159">
        <f>PLANTILLA!Z18+1.5+PLANTILLA!J18</f>
        <v>11.912323345919104</v>
      </c>
      <c r="D17" s="387">
        <f t="shared" si="0"/>
        <v>3.9847601436085522</v>
      </c>
      <c r="E17" s="159">
        <f>D17*PLANTILLA!P18</f>
        <v>3.9847601436085522</v>
      </c>
      <c r="F17" s="159">
        <f>E17*PLANTILLA!Q18</f>
        <v>3.9847601436085522</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3.3236503372666748</v>
      </c>
      <c r="F18" s="159">
        <f>E18*PLANTILLA!Q19</f>
        <v>3.0745369656220047</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15.037732073997715</v>
      </c>
      <c r="C20" s="159">
        <f>PLANTILLA!Z5+1.5+PLANTILLA!J5</f>
        <v>4.2450048012704382</v>
      </c>
      <c r="D20" s="387">
        <f t="shared" si="0"/>
        <v>2.9409677095673237</v>
      </c>
      <c r="E20" s="159">
        <f>D20*PLANTILLA!P5</f>
        <v>2.7228070182994717</v>
      </c>
      <c r="F20" s="159">
        <f>E20*PLANTILLA!Q5</f>
        <v>2.7208614610533344</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429</v>
      </c>
      <c r="C2" s="742"/>
      <c r="D2" s="742"/>
      <c r="E2" s="742"/>
      <c r="F2" s="742"/>
      <c r="G2" s="743"/>
      <c r="I2" s="744" t="s">
        <v>430</v>
      </c>
      <c r="J2" s="744"/>
      <c r="K2" s="744"/>
      <c r="L2" s="744"/>
      <c r="M2" s="744"/>
      <c r="N2" s="744"/>
      <c r="O2" s="744"/>
      <c r="P2" s="744"/>
      <c r="Q2" s="744"/>
      <c r="R2" s="744"/>
      <c r="S2" s="744"/>
      <c r="T2" s="744"/>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35"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36"/>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37">
        <f>C13</f>
        <v>3470401</v>
      </c>
      <c r="Z14" s="738"/>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39" t="s">
        <v>94</v>
      </c>
      <c r="B26" s="73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0" t="s">
        <v>95</v>
      </c>
      <c r="B27" s="73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1" t="s">
        <v>96</v>
      </c>
      <c r="B28" s="73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39" t="s">
        <v>97</v>
      </c>
      <c r="B29" s="73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0" t="s">
        <v>98</v>
      </c>
      <c r="B30" s="73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1" t="s">
        <v>99</v>
      </c>
      <c r="B31" s="73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2">
        <f>C23</f>
        <v>4347517</v>
      </c>
      <c r="Z33" s="733"/>
    </row>
    <row r="34" spans="1:26" x14ac:dyDescent="0.25">
      <c r="A34" s="57"/>
      <c r="B34" s="740"/>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0"/>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0"/>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0"/>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0"/>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4"/>
      <c r="H40" s="734"/>
      <c r="I40" s="734"/>
      <c r="J40" s="734"/>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29"/>
      <c r="H49" s="729"/>
      <c r="I49" s="729"/>
      <c r="J49" s="729"/>
    </row>
    <row r="50" spans="7:10" x14ac:dyDescent="0.25">
      <c r="G50" s="283"/>
      <c r="H50" s="283"/>
      <c r="I50" s="283"/>
      <c r="J50" s="283"/>
    </row>
    <row r="51" spans="7:10" x14ac:dyDescent="0.25">
      <c r="G51" s="729"/>
      <c r="H51" s="729"/>
      <c r="I51" s="729"/>
      <c r="J51" s="729"/>
    </row>
    <row r="52" spans="7:10" ht="15" customHeight="1" x14ac:dyDescent="0.25">
      <c r="G52" s="729"/>
      <c r="H52" s="729"/>
      <c r="I52" s="72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490</v>
      </c>
      <c r="C2" s="742"/>
      <c r="D2" s="742"/>
      <c r="E2" s="742"/>
      <c r="F2" s="742"/>
      <c r="G2" s="743"/>
      <c r="I2" s="751" t="s">
        <v>491</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35"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36"/>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37">
        <f>C13</f>
        <v>3901063</v>
      </c>
      <c r="Z14" s="738"/>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39" t="s">
        <v>94</v>
      </c>
      <c r="B26" s="73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0" t="s">
        <v>95</v>
      </c>
      <c r="B27" s="73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1" t="s">
        <v>96</v>
      </c>
      <c r="B28" s="73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39" t="s">
        <v>97</v>
      </c>
      <c r="B29" s="73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0" t="s">
        <v>98</v>
      </c>
      <c r="B30" s="73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1" t="s">
        <v>99</v>
      </c>
      <c r="B31" s="73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0"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2">
        <f>C23</f>
        <v>2535782</v>
      </c>
      <c r="Z34" s="733"/>
    </row>
    <row r="35" spans="1:26" x14ac:dyDescent="0.25">
      <c r="A35" s="57"/>
      <c r="B35" s="740"/>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0"/>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0"/>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0"/>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0"/>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4"/>
      <c r="H41" s="734"/>
      <c r="I41" s="734"/>
      <c r="J41" s="734"/>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29"/>
      <c r="H46" s="729"/>
      <c r="I46" s="729"/>
      <c r="J46" s="729"/>
    </row>
    <row r="47" spans="1:26" x14ac:dyDescent="0.25">
      <c r="G47" s="358"/>
      <c r="H47" s="358"/>
      <c r="I47" s="358"/>
      <c r="J47" s="358"/>
    </row>
    <row r="48" spans="1:26" x14ac:dyDescent="0.25">
      <c r="G48" s="729"/>
      <c r="H48" s="729"/>
      <c r="I48" s="729"/>
      <c r="J48" s="729"/>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586</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35"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36"/>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37">
        <f>C13</f>
        <v>5218072</v>
      </c>
      <c r="Z14" s="738"/>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39" t="s">
        <v>94</v>
      </c>
      <c r="B26" s="73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0" t="s">
        <v>95</v>
      </c>
      <c r="B27" s="73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1" t="s">
        <v>96</v>
      </c>
      <c r="B28" s="73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39" t="s">
        <v>97</v>
      </c>
      <c r="B29" s="73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0" t="s">
        <v>98</v>
      </c>
      <c r="B30" s="73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1" t="s">
        <v>99</v>
      </c>
      <c r="B31" s="73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0"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2">
        <f>C23</f>
        <v>4415274</v>
      </c>
      <c r="Z34" s="733"/>
    </row>
    <row r="35" spans="1:26" x14ac:dyDescent="0.25">
      <c r="A35" s="57"/>
      <c r="B35" s="740"/>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0"/>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0"/>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0"/>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0"/>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4"/>
      <c r="H41" s="734"/>
      <c r="I41" s="734"/>
      <c r="J41" s="734"/>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393"/>
      <c r="H47" s="393"/>
      <c r="I47" s="393"/>
      <c r="J47" s="393"/>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693</v>
      </c>
      <c r="C2" s="742"/>
      <c r="D2" s="742"/>
      <c r="E2" s="742"/>
      <c r="F2" s="742"/>
      <c r="G2" s="743"/>
      <c r="I2" s="751" t="s">
        <v>587</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35"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36"/>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37">
        <f>C13</f>
        <v>6564204.3711659508</v>
      </c>
      <c r="Z14" s="738"/>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39" t="s">
        <v>94</v>
      </c>
      <c r="B26" s="73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0" t="s">
        <v>95</v>
      </c>
      <c r="B27" s="73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1" t="s">
        <v>96</v>
      </c>
      <c r="B28" s="73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39" t="s">
        <v>97</v>
      </c>
      <c r="B29" s="73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0" t="s">
        <v>98</v>
      </c>
      <c r="B30" s="73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1" t="s">
        <v>99</v>
      </c>
      <c r="B31" s="73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0"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2">
        <f>C23</f>
        <v>4502296</v>
      </c>
      <c r="Z34" s="733"/>
    </row>
    <row r="35" spans="1:26" x14ac:dyDescent="0.25">
      <c r="A35" s="57"/>
      <c r="B35" s="740"/>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0"/>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0"/>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0"/>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0"/>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4"/>
      <c r="H41" s="734"/>
      <c r="I41" s="734"/>
      <c r="J41" s="734"/>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row>
    <row r="47" spans="1:26" x14ac:dyDescent="0.25">
      <c r="G47" s="424"/>
      <c r="H47" s="424"/>
      <c r="I47" s="424"/>
      <c r="J47" s="42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1" t="s">
        <v>695</v>
      </c>
      <c r="C2" s="742"/>
      <c r="D2" s="742"/>
      <c r="E2" s="742"/>
      <c r="F2" s="742"/>
      <c r="G2" s="743"/>
      <c r="I2" s="751" t="s">
        <v>587</v>
      </c>
      <c r="J2" s="751"/>
      <c r="K2" s="751"/>
      <c r="L2" s="751"/>
      <c r="M2" s="751"/>
      <c r="N2" s="751"/>
      <c r="O2" s="751"/>
      <c r="P2" s="751"/>
      <c r="Q2" s="751"/>
      <c r="R2" s="751"/>
      <c r="S2" s="751"/>
      <c r="T2" s="751"/>
    </row>
    <row r="3" spans="2:21"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48" t="s">
        <v>114</v>
      </c>
      <c r="C4" s="749"/>
      <c r="D4" s="109"/>
      <c r="E4" s="750" t="s">
        <v>115</v>
      </c>
      <c r="F4" s="749"/>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35"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36"/>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37">
        <f>C13</f>
        <v>6907309.643589247</v>
      </c>
      <c r="Z14" s="738"/>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39" t="s">
        <v>94</v>
      </c>
      <c r="B26" s="73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0" t="s">
        <v>95</v>
      </c>
      <c r="B27" s="73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1" t="s">
        <v>96</v>
      </c>
      <c r="B28" s="73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39" t="s">
        <v>97</v>
      </c>
      <c r="B29" s="73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0" t="s">
        <v>98</v>
      </c>
      <c r="B30" s="73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1" t="s">
        <v>99</v>
      </c>
      <c r="B31" s="73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0"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2">
        <f>C23</f>
        <v>4106107</v>
      </c>
      <c r="Z34" s="733"/>
    </row>
    <row r="35" spans="1:26" x14ac:dyDescent="0.25">
      <c r="A35" s="57"/>
      <c r="B35" s="740"/>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0"/>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0"/>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0"/>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0"/>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4"/>
      <c r="H41" s="734"/>
      <c r="I41" s="734"/>
      <c r="J41" s="734"/>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484"/>
      <c r="H47" s="484"/>
      <c r="I47" s="484"/>
      <c r="J47" s="484"/>
    </row>
    <row r="48" spans="1:26" x14ac:dyDescent="0.25">
      <c r="G48" s="729"/>
      <c r="H48" s="729"/>
      <c r="I48" s="729"/>
      <c r="J48" s="729"/>
      <c r="P48" s="413"/>
    </row>
    <row r="49" spans="7:10" ht="15" customHeight="1" x14ac:dyDescent="0.25">
      <c r="G49" s="729"/>
      <c r="H49" s="729"/>
      <c r="I49" s="72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PLANTILLA!AA4</f>
        <v>An</v>
      </c>
      <c r="D1" s="619" t="str">
        <f>PLANTILLA!AB4</f>
        <v>PA</v>
      </c>
      <c r="E1" s="619" t="str">
        <f>PLANTILLA!AG4</f>
        <v>TL</v>
      </c>
      <c r="F1" s="619" t="str">
        <f>PLANTILLA!AH4</f>
        <v>PEN</v>
      </c>
      <c r="G1" s="619" t="str">
        <f>PLANTILLA!AI4</f>
        <v>BPiA</v>
      </c>
      <c r="H1" s="619" t="str">
        <f>PLANTILLA!AJ4</f>
        <v>BPiD</v>
      </c>
    </row>
    <row r="2" spans="1:15" x14ac:dyDescent="0.25">
      <c r="A2" t="str">
        <f>PLANTILLA!D22</f>
        <v>J. Limon</v>
      </c>
      <c r="B2" s="159">
        <f>PLANTILLA!J22</f>
        <v>1.3885235802109668</v>
      </c>
      <c r="C2" s="290">
        <f>PLANTILLA!AA22</f>
        <v>8.5625000000000018</v>
      </c>
      <c r="D2" s="290">
        <f>PLANTILLA!AB22</f>
        <v>18.639999999999993</v>
      </c>
      <c r="E2" s="159">
        <f>PLANTILLA!AG22</f>
        <v>23.249387112266234</v>
      </c>
      <c r="F2" s="159">
        <f>PLANTILLA!AH22</f>
        <v>15.616749999999996</v>
      </c>
      <c r="G2" s="159">
        <f>PLANTILLA!AI22</f>
        <v>1.2184068864168771</v>
      </c>
      <c r="H2" s="159">
        <f>PLANTILLA!AJ22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18.032767164138022</v>
      </c>
      <c r="F3" s="159">
        <f>PLANTILLA!AH12</f>
        <v>12.104299236221813</v>
      </c>
      <c r="G3" s="159">
        <f>PLANTILLA!AI12</f>
        <v>1.1419278859952908</v>
      </c>
      <c r="H3" s="159">
        <f>PLANTILLA!AJ12</f>
        <v>1.2030869002458793</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PLANTILLA!AA23</f>
        <v>10</v>
      </c>
      <c r="D4" s="290">
        <f>PLANTILLA!AB23</f>
        <v>9.3000000000000007</v>
      </c>
      <c r="E4" s="159">
        <f>PLANTILLA!AG23</f>
        <v>17.334298327147824</v>
      </c>
      <c r="F4" s="159">
        <f>PLANTILLA!AH23</f>
        <v>8.0374169624681926</v>
      </c>
      <c r="G4" s="159">
        <f>PLANTILLA!AI23</f>
        <v>1.0105011177372434</v>
      </c>
      <c r="H4" s="159">
        <f>PLANTILLA!AJ23</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19.702270150036767</v>
      </c>
      <c r="F5" s="159">
        <f>PLANTILLA!AH18</f>
        <v>13.478566666666666</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PLANTILLA!AA24</f>
        <v>8.384500000000001</v>
      </c>
      <c r="D6" s="290">
        <f>PLANTILLA!AB24</f>
        <v>13.566666666666668</v>
      </c>
      <c r="E6" s="159">
        <f>PLANTILLA!AG24</f>
        <v>16.438526466985824</v>
      </c>
      <c r="F6" s="159">
        <f>PLANTILLA!AH24</f>
        <v>10.152006993703187</v>
      </c>
      <c r="G6" s="159">
        <f>PLANTILLA!AI24</f>
        <v>1.0314879919417155</v>
      </c>
      <c r="H6" s="159">
        <f>PLANTILLA!AJ24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16.011128892458355</v>
      </c>
      <c r="F8" s="159">
        <f>PLANTILLA!AH13</f>
        <v>12.712898700026791</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PLANTILLA!AA16</f>
        <v>4.3999999999999995</v>
      </c>
      <c r="D10" s="290">
        <f>PLANTILLA!AB16</f>
        <v>16.544444444444441</v>
      </c>
      <c r="E10" s="159">
        <f>PLANTILLA!AG16</f>
        <v>14.16359570123506</v>
      </c>
      <c r="F10" s="159">
        <f>PLANTILLA!AH16</f>
        <v>11.944107976065657</v>
      </c>
      <c r="G10" s="159">
        <f>PLANTILLA!AI16</f>
        <v>0.95144599957841314</v>
      </c>
      <c r="H10" s="159">
        <f>PLANTILLA!AJ16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13.828242049364381</v>
      </c>
      <c r="F11" s="159">
        <f>PLANTILLA!AH10</f>
        <v>11.393142147801017</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12.055339897312352</v>
      </c>
      <c r="F13" s="159">
        <f>PLANTILLA!AH9</f>
        <v>10.77059886924606</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11.976840860037615</v>
      </c>
      <c r="F15" s="159">
        <f>PLANTILLA!AH17</f>
        <v>11.81901939369639</v>
      </c>
      <c r="G15" s="159">
        <f>PLANTILLA!AI17</f>
        <v>0.88446666666666651</v>
      </c>
      <c r="H15" s="159">
        <f>PLANTILLA!AJ17</f>
        <v>1.1211333333333333</v>
      </c>
    </row>
    <row r="16" spans="1:15" x14ac:dyDescent="0.25">
      <c r="A16" t="str">
        <f>PLANTILLA!D11</f>
        <v>F. Lasprilla</v>
      </c>
      <c r="B16" s="159">
        <f>PLANTILLA!J11</f>
        <v>1.0278026821895256</v>
      </c>
      <c r="C16" s="290">
        <f>PLANTILLA!AA11</f>
        <v>3.2566666666666673</v>
      </c>
      <c r="D16" s="290">
        <f>PLANTILLA!AB11</f>
        <v>13.238888888888889</v>
      </c>
      <c r="E16" s="159">
        <f>PLANTILLA!AG11</f>
        <v>9.0210915627662693</v>
      </c>
      <c r="F16" s="159">
        <f>PLANTILLA!AH11</f>
        <v>8.6579479974955298</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8.8753728050518816</v>
      </c>
      <c r="F17" s="159">
        <f>PLANTILLA!AH19</f>
        <v>8.2635238974165617</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8.8266603556955481</v>
      </c>
      <c r="F18" s="159">
        <f>PLANTILLA!AH5</f>
        <v>11.607160894198437</v>
      </c>
      <c r="G18" s="159">
        <f>PLANTILLA!AI5</f>
        <v>0.79892816187941273</v>
      </c>
      <c r="H18" s="159">
        <f>PLANTILLA!AJ5</f>
        <v>1.2331594269980217</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1" t="s">
        <v>754</v>
      </c>
      <c r="C2" s="742"/>
      <c r="D2" s="742"/>
      <c r="E2" s="742"/>
      <c r="F2" s="742"/>
      <c r="G2" s="743"/>
      <c r="I2" s="751" t="s">
        <v>755</v>
      </c>
      <c r="J2" s="751"/>
      <c r="K2" s="751"/>
      <c r="L2" s="751"/>
      <c r="M2" s="751"/>
      <c r="N2" s="751"/>
      <c r="O2" s="751"/>
      <c r="P2" s="751"/>
      <c r="Q2" s="751"/>
      <c r="R2" s="751"/>
      <c r="S2" s="751"/>
      <c r="T2" s="751"/>
    </row>
    <row r="3" spans="2:20" x14ac:dyDescent="0.25">
      <c r="B3" s="745" t="s">
        <v>103</v>
      </c>
      <c r="C3" s="746"/>
      <c r="D3" s="746"/>
      <c r="E3" s="746"/>
      <c r="F3" s="746"/>
      <c r="G3" s="74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8" t="s">
        <v>114</v>
      </c>
      <c r="C4" s="749"/>
      <c r="D4" s="109"/>
      <c r="E4" s="750" t="s">
        <v>115</v>
      </c>
      <c r="F4" s="749"/>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35"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36"/>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37">
        <f>C13</f>
        <v>7216225</v>
      </c>
      <c r="Z14" s="738"/>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39" t="s">
        <v>94</v>
      </c>
      <c r="B26" s="73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0" t="s">
        <v>95</v>
      </c>
      <c r="B27" s="73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1" t="s">
        <v>96</v>
      </c>
      <c r="B28" s="73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39" t="s">
        <v>97</v>
      </c>
      <c r="B29" s="73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0" t="s">
        <v>98</v>
      </c>
      <c r="B30" s="73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1" t="s">
        <v>99</v>
      </c>
      <c r="B31" s="73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0"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2">
        <f>C23</f>
        <v>5755973</v>
      </c>
      <c r="Z34" s="733"/>
    </row>
    <row r="35" spans="1:26" x14ac:dyDescent="0.25">
      <c r="A35" s="57"/>
      <c r="B35" s="740"/>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0"/>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0"/>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0"/>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0"/>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0"/>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0"/>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4"/>
      <c r="H43" s="734"/>
      <c r="I43" s="734"/>
      <c r="J43" s="734"/>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29"/>
      <c r="H48" s="729"/>
      <c r="I48" s="729"/>
      <c r="J48" s="729"/>
      <c r="M48" s="413"/>
    </row>
    <row r="49" spans="5:16" x14ac:dyDescent="0.25">
      <c r="E49" s="106"/>
      <c r="G49" s="499"/>
      <c r="H49" s="499"/>
      <c r="I49" s="499"/>
      <c r="J49" s="499"/>
    </row>
    <row r="50" spans="5:16" x14ac:dyDescent="0.25">
      <c r="G50" s="729"/>
      <c r="H50" s="729"/>
      <c r="I50" s="729"/>
      <c r="J50" s="729"/>
      <c r="P50" s="413"/>
    </row>
    <row r="51" spans="5:16" ht="15" customHeight="1" x14ac:dyDescent="0.25">
      <c r="G51" s="729"/>
      <c r="H51" s="729"/>
      <c r="I51" s="729"/>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794</v>
      </c>
      <c r="C2" s="742"/>
      <c r="D2" s="742"/>
      <c r="E2" s="742"/>
      <c r="F2" s="742"/>
      <c r="G2" s="743"/>
      <c r="I2" s="752" t="s">
        <v>795</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35"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36"/>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37">
        <f>C13</f>
        <v>9688435</v>
      </c>
      <c r="Z14" s="738"/>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39" t="s">
        <v>94</v>
      </c>
      <c r="B26" s="73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0" t="s">
        <v>95</v>
      </c>
      <c r="B27" s="73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1" t="s">
        <v>96</v>
      </c>
      <c r="B28" s="73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39" t="s">
        <v>97</v>
      </c>
      <c r="B29" s="73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0" t="s">
        <v>98</v>
      </c>
      <c r="B30" s="73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1" t="s">
        <v>99</v>
      </c>
      <c r="B31" s="73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0"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2">
        <f>C23</f>
        <v>16032490</v>
      </c>
      <c r="Z34" s="733"/>
    </row>
    <row r="35" spans="1:26" x14ac:dyDescent="0.25">
      <c r="A35" s="57"/>
      <c r="B35" s="740"/>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0"/>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0"/>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0"/>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0"/>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0"/>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0"/>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594"/>
      <c r="H47" s="594"/>
      <c r="I47" s="594"/>
      <c r="J47" s="594"/>
    </row>
    <row r="48" spans="1:26" x14ac:dyDescent="0.25">
      <c r="G48" s="729"/>
      <c r="H48" s="729"/>
      <c r="I48" s="729"/>
      <c r="J48" s="729"/>
      <c r="P48" s="413"/>
    </row>
    <row r="49" spans="7:10" ht="15" customHeight="1" x14ac:dyDescent="0.25">
      <c r="G49" s="729"/>
      <c r="H49" s="729"/>
      <c r="I49" s="729"/>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910</v>
      </c>
      <c r="C2" s="742"/>
      <c r="D2" s="742"/>
      <c r="E2" s="742"/>
      <c r="F2" s="742"/>
      <c r="G2" s="743"/>
      <c r="I2" s="752" t="s">
        <v>911</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35"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36"/>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37">
        <f>C13</f>
        <v>10943703</v>
      </c>
      <c r="Z14" s="738"/>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39" t="s">
        <v>94</v>
      </c>
      <c r="B26" s="73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0" t="s">
        <v>95</v>
      </c>
      <c r="B27" s="73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1" t="s">
        <v>96</v>
      </c>
      <c r="B28" s="73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39" t="s">
        <v>97</v>
      </c>
      <c r="B29" s="73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0" t="s">
        <v>98</v>
      </c>
      <c r="B30" s="73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1" t="s">
        <v>99</v>
      </c>
      <c r="B31" s="73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0"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2">
        <f>C23</f>
        <v>7143175</v>
      </c>
      <c r="Z34" s="733"/>
    </row>
    <row r="35" spans="1:26" x14ac:dyDescent="0.25">
      <c r="A35" s="57"/>
      <c r="B35" s="740"/>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0"/>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0"/>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0"/>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0"/>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0"/>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0"/>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4"/>
      <c r="H43" s="734"/>
      <c r="I43" s="734"/>
      <c r="J43" s="734"/>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29"/>
      <c r="H46" s="729"/>
      <c r="I46" s="729"/>
      <c r="J46" s="729"/>
      <c r="M46" s="413"/>
    </row>
    <row r="47" spans="1:26" x14ac:dyDescent="0.25">
      <c r="E47" s="106"/>
      <c r="G47" s="623"/>
      <c r="H47" s="623"/>
      <c r="I47" s="623"/>
      <c r="J47" s="623"/>
    </row>
    <row r="48" spans="1:26" x14ac:dyDescent="0.25">
      <c r="G48" s="729"/>
      <c r="H48" s="729"/>
      <c r="I48" s="729"/>
      <c r="J48" s="729"/>
      <c r="P48" s="413"/>
    </row>
    <row r="49" spans="7:10" ht="15" customHeight="1" x14ac:dyDescent="0.25">
      <c r="G49" s="729"/>
      <c r="H49" s="729"/>
      <c r="I49" s="729"/>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1" t="s">
        <v>959</v>
      </c>
      <c r="C2" s="742"/>
      <c r="D2" s="742"/>
      <c r="E2" s="742"/>
      <c r="F2" s="742"/>
      <c r="G2" s="743"/>
      <c r="I2" s="752" t="s">
        <v>960</v>
      </c>
      <c r="J2" s="753"/>
      <c r="K2" s="753"/>
      <c r="L2" s="753"/>
      <c r="M2" s="753"/>
      <c r="N2" s="753"/>
      <c r="O2" s="753"/>
      <c r="P2" s="753"/>
      <c r="Q2" s="753"/>
      <c r="R2" s="753"/>
      <c r="S2" s="754"/>
    </row>
    <row r="3" spans="2:19" x14ac:dyDescent="0.25">
      <c r="B3" s="745" t="s">
        <v>103</v>
      </c>
      <c r="C3" s="746"/>
      <c r="D3" s="746"/>
      <c r="E3" s="746"/>
      <c r="F3" s="746"/>
      <c r="G3" s="747"/>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5" t="s">
        <v>114</v>
      </c>
      <c r="C4" s="756"/>
      <c r="D4" s="109"/>
      <c r="E4" s="757" t="s">
        <v>115</v>
      </c>
      <c r="F4" s="758"/>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59" t="s">
        <v>148</v>
      </c>
      <c r="B6" s="150" t="s">
        <v>149</v>
      </c>
      <c r="C6" s="150" t="s">
        <v>150</v>
      </c>
      <c r="D6" s="2">
        <v>0</v>
      </c>
      <c r="E6" s="2">
        <v>22</v>
      </c>
      <c r="F6" s="2">
        <v>0</v>
      </c>
      <c r="G6" s="2">
        <v>0</v>
      </c>
      <c r="H6" s="155">
        <f>H4*2</f>
        <v>8.8000000000000007</v>
      </c>
      <c r="I6" s="2">
        <f t="shared" si="0"/>
        <v>35.200000000000003</v>
      </c>
    </row>
    <row r="7" spans="1:9" x14ac:dyDescent="0.25">
      <c r="A7" s="759"/>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13" t="s">
        <v>366</v>
      </c>
      <c r="B30" s="713"/>
      <c r="C30" s="713"/>
      <c r="D30" s="713"/>
      <c r="F30" s="258" t="s">
        <v>377</v>
      </c>
      <c r="G30" s="253"/>
      <c r="H30" s="246">
        <v>4210500</v>
      </c>
      <c r="I30" s="252"/>
      <c r="J30" s="106"/>
    </row>
    <row r="31" spans="1:14" x14ac:dyDescent="0.25">
      <c r="A31" s="714" t="s">
        <v>297</v>
      </c>
      <c r="B31" s="715" t="s">
        <v>367</v>
      </c>
      <c r="C31" s="715" t="s">
        <v>368</v>
      </c>
      <c r="D31" s="715" t="s">
        <v>369</v>
      </c>
      <c r="F31" s="259" t="s">
        <v>381</v>
      </c>
      <c r="G31" s="254"/>
      <c r="H31" s="246">
        <v>3750000</v>
      </c>
      <c r="I31" s="252"/>
      <c r="J31" s="106"/>
    </row>
    <row r="32" spans="1:14" x14ac:dyDescent="0.25">
      <c r="A32" s="714"/>
      <c r="B32" s="715"/>
      <c r="C32" s="715"/>
      <c r="D32" s="715"/>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abSelected="1"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A3</f>
        <v>D. Gehmacher</v>
      </c>
      <c r="P3" s="386">
        <f>E3</f>
        <v>18</v>
      </c>
      <c r="Q3" s="386">
        <f t="shared" ref="Q3:S3" si="2">F3</f>
        <v>18.100000000000001</v>
      </c>
      <c r="R3" s="386">
        <f t="shared" si="2"/>
        <v>6</v>
      </c>
      <c r="S3" s="386">
        <f t="shared" si="2"/>
        <v>6.99</v>
      </c>
      <c r="U3" s="4" t="s">
        <v>612</v>
      </c>
      <c r="V3" s="180" t="str">
        <f>O3</f>
        <v>D. Gehmacher</v>
      </c>
      <c r="W3" s="386">
        <f>P3</f>
        <v>18</v>
      </c>
      <c r="X3" s="386">
        <f t="shared" ref="X3:Z3" si="3">Q3</f>
        <v>18.100000000000001</v>
      </c>
      <c r="Y3" s="386">
        <f t="shared" si="3"/>
        <v>6</v>
      </c>
      <c r="Z3" s="386">
        <f t="shared" si="3"/>
        <v>6.99</v>
      </c>
    </row>
    <row r="4" spans="1:26" x14ac:dyDescent="0.25">
      <c r="A4" s="389" t="str">
        <f>PLANTILLA!D6</f>
        <v>T. Hammond</v>
      </c>
      <c r="B4" s="165">
        <f>PLANTILLA!E6</f>
        <v>33</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12.1</v>
      </c>
      <c r="Q4" s="386">
        <f t="shared" ref="Q4:S4" si="10">F7</f>
        <v>12.2</v>
      </c>
      <c r="R4" s="386">
        <f t="shared" si="10"/>
        <v>4</v>
      </c>
      <c r="S4" s="386">
        <f t="shared" si="10"/>
        <v>4.99</v>
      </c>
      <c r="V4" s="180" t="str">
        <f t="shared" ref="V4:V13" si="11">O4</f>
        <v>E. Toney</v>
      </c>
      <c r="W4" s="386">
        <f t="shared" ref="W4:W13" si="12">P4</f>
        <v>12.1</v>
      </c>
      <c r="X4" s="386">
        <f t="shared" ref="X4:X13" si="13">Q4</f>
        <v>12.2</v>
      </c>
      <c r="Y4" s="386">
        <f t="shared" ref="Y4:Y13" si="14">R4</f>
        <v>4</v>
      </c>
      <c r="Z4" s="386">
        <f t="shared" ref="Z4:Z13" si="15">S4</f>
        <v>4.99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A15</f>
        <v>E. Gross</v>
      </c>
      <c r="P5" s="386">
        <f>E15</f>
        <v>9</v>
      </c>
      <c r="Q5" s="386">
        <f t="shared" ref="Q5:S5" si="16">F15</f>
        <v>9.1</v>
      </c>
      <c r="R5" s="386">
        <f t="shared" si="16"/>
        <v>3</v>
      </c>
      <c r="S5" s="386">
        <f t="shared" si="16"/>
        <v>3.99</v>
      </c>
      <c r="V5" s="180" t="str">
        <f t="shared" si="11"/>
        <v>E. Gross</v>
      </c>
      <c r="W5" s="386">
        <f t="shared" si="12"/>
        <v>9</v>
      </c>
      <c r="X5" s="386">
        <f t="shared" si="13"/>
        <v>9.1</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v>
      </c>
      <c r="Q6" s="386">
        <f t="shared" ref="Q6:S6" si="17">F5</f>
        <v>14.1</v>
      </c>
      <c r="R6" s="386">
        <f t="shared" si="17"/>
        <v>2</v>
      </c>
      <c r="S6" s="386">
        <f t="shared" si="17"/>
        <v>2.99</v>
      </c>
      <c r="V6" s="180" t="str">
        <f t="shared" si="11"/>
        <v>B. Pinczehelyi</v>
      </c>
      <c r="W6" s="386">
        <f t="shared" si="12"/>
        <v>14</v>
      </c>
      <c r="X6" s="386">
        <f t="shared" si="13"/>
        <v>14.1</v>
      </c>
      <c r="Y6" s="386">
        <f t="shared" si="14"/>
        <v>2</v>
      </c>
      <c r="Z6" s="386">
        <f t="shared" si="15"/>
        <v>2.99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A10</f>
        <v>E. Romweber</v>
      </c>
      <c r="P7" s="386">
        <f>E10</f>
        <v>12.2</v>
      </c>
      <c r="Q7" s="386">
        <f t="shared" ref="Q7:S7" si="18">F10</f>
        <v>12.299999999999999</v>
      </c>
      <c r="R7" s="386">
        <f t="shared" si="18"/>
        <v>0</v>
      </c>
      <c r="S7" s="386">
        <f t="shared" si="18"/>
        <v>0.99</v>
      </c>
      <c r="V7" s="180" t="str">
        <f t="shared" si="11"/>
        <v>E. Romweber</v>
      </c>
      <c r="W7" s="386">
        <f t="shared" si="12"/>
        <v>12.2</v>
      </c>
      <c r="X7" s="386">
        <f t="shared" si="13"/>
        <v>12.299999999999999</v>
      </c>
      <c r="Y7" s="386">
        <f t="shared" si="14"/>
        <v>0</v>
      </c>
      <c r="Z7" s="386">
        <f t="shared" si="15"/>
        <v>0.99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v>
      </c>
      <c r="Q9" s="386">
        <f t="shared" ref="Q9:S9" si="20">F16</f>
        <v>8.1</v>
      </c>
      <c r="R9" s="386">
        <f t="shared" si="20"/>
        <v>0</v>
      </c>
      <c r="S9" s="386">
        <f t="shared" si="20"/>
        <v>0.99</v>
      </c>
      <c r="V9" s="180" t="str">
        <f t="shared" si="11"/>
        <v>L. Bauman</v>
      </c>
      <c r="W9" s="386">
        <f t="shared" si="12"/>
        <v>8</v>
      </c>
      <c r="X9" s="386">
        <f t="shared" si="13"/>
        <v>8.1</v>
      </c>
      <c r="Y9" s="386">
        <f t="shared" si="14"/>
        <v>0</v>
      </c>
      <c r="Z9" s="386">
        <f t="shared" si="15"/>
        <v>0.99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A11</f>
        <v>K. Helms</v>
      </c>
      <c r="P11" s="386">
        <f>E11</f>
        <v>10.199999999999999</v>
      </c>
      <c r="Q11" s="386">
        <f t="shared" ref="Q11:S11" si="22">F11</f>
        <v>10.299999999999999</v>
      </c>
      <c r="R11" s="386">
        <f t="shared" si="22"/>
        <v>2</v>
      </c>
      <c r="S11" s="386">
        <f t="shared" si="22"/>
        <v>2.99</v>
      </c>
      <c r="V11" s="180" t="str">
        <f t="shared" si="11"/>
        <v>K. Helms</v>
      </c>
      <c r="W11" s="386">
        <f t="shared" si="12"/>
        <v>10.199999999999999</v>
      </c>
      <c r="X11" s="386">
        <f t="shared" si="13"/>
        <v>10.299999999999999</v>
      </c>
      <c r="Y11" s="386">
        <f t="shared" si="14"/>
        <v>2</v>
      </c>
      <c r="Z11" s="386">
        <f t="shared" si="15"/>
        <v>2.99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L. Calosso</v>
      </c>
      <c r="P12" s="386">
        <f>E21</f>
        <v>10.1</v>
      </c>
      <c r="Q12" s="386">
        <f t="shared" ref="Q12:S12" si="23">F21</f>
        <v>10.199999999999999</v>
      </c>
      <c r="R12" s="386">
        <f t="shared" si="23"/>
        <v>3</v>
      </c>
      <c r="S12" s="386">
        <f t="shared" si="23"/>
        <v>3.99</v>
      </c>
      <c r="V12" s="180" t="str">
        <f t="shared" si="11"/>
        <v>L. Calosso</v>
      </c>
      <c r="W12" s="386">
        <f t="shared" si="12"/>
        <v>10.1</v>
      </c>
      <c r="X12" s="386">
        <f t="shared" si="13"/>
        <v>10.199999999999999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v>
      </c>
      <c r="Q14" s="159">
        <f>SUM(Q4:Q13)/10</f>
        <v>10.799999999999999</v>
      </c>
      <c r="R14" s="159"/>
      <c r="S14" s="159"/>
      <c r="W14" s="159">
        <f>SUM(W4:W13)/10</f>
        <v>10.7</v>
      </c>
      <c r="X14" s="159">
        <f>SUM(X4:X13)/10</f>
        <v>10.799999999999999</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125</v>
      </c>
      <c r="Q16" s="290">
        <f>SUM(Q3:Q13)</f>
        <v>126.09999999999998</v>
      </c>
      <c r="R16" s="290"/>
      <c r="V16" s="180" t="s">
        <v>614</v>
      </c>
      <c r="W16" s="290">
        <f>SUM(W3:W13)</f>
        <v>125</v>
      </c>
      <c r="X16" s="290">
        <f>SUM(X3:X13)</f>
        <v>126.09999999999998</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1040</v>
      </c>
      <c r="P17" s="159">
        <f>P16/16.5</f>
        <v>7.5757575757575761</v>
      </c>
      <c r="Q17" s="159">
        <f>Q16/16.5</f>
        <v>7.6424242424242408</v>
      </c>
      <c r="R17" s="159"/>
      <c r="V17" s="180" t="s">
        <v>615</v>
      </c>
      <c r="W17" s="159">
        <f>W16/17</f>
        <v>7.3529411764705879</v>
      </c>
      <c r="X17" s="159">
        <f>X16/17</f>
        <v>7.4176470588235279</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648</v>
      </c>
      <c r="Q19" s="290">
        <f>Q18*Q3</f>
        <v>884.36781000000008</v>
      </c>
      <c r="R19" s="290"/>
      <c r="V19" s="180" t="s">
        <v>619</v>
      </c>
      <c r="W19" s="290">
        <f>W18*W3</f>
        <v>648</v>
      </c>
      <c r="X19" s="290">
        <f>X18*X3</f>
        <v>884.36781000000008</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1041</v>
      </c>
      <c r="P20" s="159">
        <f>(P19^(2/3))/27</f>
        <v>2.7734450974025369</v>
      </c>
      <c r="Q20" s="159">
        <f>(Q19^(2/3))/27</f>
        <v>3.4123862768974713</v>
      </c>
      <c r="R20" s="159"/>
      <c r="V20" s="180" t="s">
        <v>621</v>
      </c>
      <c r="W20" s="159">
        <f>(W19^(2/3))/30</f>
        <v>2.496100587662283</v>
      </c>
      <c r="X20" s="159">
        <f>(X19^(2/3))/30</f>
        <v>3.0711476492077243</v>
      </c>
      <c r="Y20" s="159"/>
    </row>
    <row r="21" spans="1:25" x14ac:dyDescent="0.25">
      <c r="A21" s="389" t="str">
        <f>PLANTILLA!D23</f>
        <v>L. Calosso</v>
      </c>
      <c r="B21" s="165">
        <f>PLANTILLA!E23</f>
        <v>30</v>
      </c>
      <c r="C21" s="165">
        <f>PLANTILLA!H23</f>
        <v>3</v>
      </c>
      <c r="D21" s="391">
        <f>PLANTILLA!I23</f>
        <v>10.1</v>
      </c>
      <c r="E21" s="384">
        <f t="shared" si="4"/>
        <v>10.1</v>
      </c>
      <c r="F21" s="384">
        <f t="shared" si="5"/>
        <v>10.199999999999999</v>
      </c>
      <c r="G21" s="384">
        <f t="shared" si="6"/>
        <v>3</v>
      </c>
      <c r="H21" s="384">
        <f t="shared" si="7"/>
        <v>3.99</v>
      </c>
      <c r="I21" s="388">
        <f t="shared" si="8"/>
        <v>90.899999999999991</v>
      </c>
      <c r="J21" s="388">
        <f t="shared" si="9"/>
        <v>162.38502</v>
      </c>
      <c r="K21" s="385"/>
      <c r="L21" s="202" t="s">
        <v>622</v>
      </c>
      <c r="O21" s="180" t="s">
        <v>623</v>
      </c>
      <c r="P21" s="760">
        <f>P17+P20</f>
        <v>10.349202673160113</v>
      </c>
      <c r="Q21" s="760">
        <f>Q17+Q20</f>
        <v>11.054810519321713</v>
      </c>
      <c r="V21" s="180" t="s">
        <v>623</v>
      </c>
      <c r="W21" s="760">
        <f>W17+W20</f>
        <v>9.8490417641328705</v>
      </c>
      <c r="X21" s="760">
        <f>X17+X20</f>
        <v>10.488794708031252</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57042.857142857145</v>
      </c>
      <c r="S2" s="246">
        <v>2068800</v>
      </c>
      <c r="T2" s="246">
        <f ca="1">S2+Q2+P2+R2</f>
        <v>2904485.7142857146</v>
      </c>
      <c r="U2" s="251">
        <f ca="1">T2/((O2-N2)/112)</f>
        <v>566728.91986062727</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32442.857142857141</v>
      </c>
      <c r="S4" s="246">
        <v>2059800</v>
      </c>
      <c r="T4" s="246">
        <f>S4+Q4+P4</f>
        <v>3126540</v>
      </c>
      <c r="U4" s="251">
        <f>T4/((O4-N4)/112)</f>
        <v>580717.21393034828</v>
      </c>
      <c r="V4" s="163">
        <f ca="1">(A7-N4)/112</f>
        <v>6.7589285714285712</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43062</v>
      </c>
    </row>
    <row r="8" spans="1:22" x14ac:dyDescent="0.25">
      <c r="A8" s="178">
        <v>41757</v>
      </c>
    </row>
    <row r="9" spans="1:22" x14ac:dyDescent="0.25">
      <c r="A9" s="180">
        <f ca="1">A7-A8</f>
        <v>1305</v>
      </c>
    </row>
    <row r="10" spans="1:22" x14ac:dyDescent="0.25">
      <c r="A10" s="449">
        <f ca="1">A9/112</f>
        <v>11.651785714285714</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43062</v>
      </c>
      <c r="P13" s="656">
        <v>1800000</v>
      </c>
      <c r="Q13" s="246">
        <v>372</v>
      </c>
      <c r="R13" s="246">
        <f t="shared" ref="R13" ca="1" si="4">((TODAY()-N13)/7)*L13</f>
        <v>19008</v>
      </c>
      <c r="S13" s="656">
        <v>2553000</v>
      </c>
      <c r="T13" s="246">
        <f t="shared" ref="T13" si="5">S13+Q13+P13</f>
        <v>4353372</v>
      </c>
      <c r="U13" s="251">
        <f t="shared" ref="U13" ca="1" si="6">T13/((O13-N13)/112)</f>
        <v>3166088.7272727271</v>
      </c>
      <c r="V13" s="163">
        <v>7</v>
      </c>
    </row>
    <row r="17" spans="1:22" ht="18" x14ac:dyDescent="0.25">
      <c r="A17" s="641">
        <v>42908</v>
      </c>
      <c r="B17" s="317"/>
      <c r="C17">
        <v>112</v>
      </c>
      <c r="D17">
        <v>0</v>
      </c>
    </row>
    <row r="18" spans="1:22" x14ac:dyDescent="0.25">
      <c r="A18" s="317">
        <f ca="1">TODAY()</f>
        <v>43062</v>
      </c>
      <c r="B18" s="317"/>
      <c r="C18">
        <v>400</v>
      </c>
      <c r="D18">
        <v>1</v>
      </c>
    </row>
    <row r="19" spans="1:22" x14ac:dyDescent="0.25">
      <c r="A19">
        <f ca="1">A18-A17</f>
        <v>154</v>
      </c>
      <c r="C19">
        <f>C18-C17</f>
        <v>288</v>
      </c>
      <c r="D19" s="642">
        <f ca="1">(A19-C17)/C19</f>
        <v>0.14583333333333334</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13" t="s">
        <v>366</v>
      </c>
      <c r="B28" s="713"/>
      <c r="C28" s="713"/>
      <c r="D28" s="713"/>
    </row>
    <row r="29" spans="1:22" x14ac:dyDescent="0.25">
      <c r="A29" s="714" t="s">
        <v>297</v>
      </c>
      <c r="B29" s="715" t="s">
        <v>367</v>
      </c>
      <c r="C29" s="715" t="s">
        <v>368</v>
      </c>
      <c r="D29" s="715" t="s">
        <v>369</v>
      </c>
    </row>
    <row r="30" spans="1:22" x14ac:dyDescent="0.25">
      <c r="A30" s="714"/>
      <c r="B30" s="715"/>
      <c r="C30" s="715"/>
      <c r="D30" s="715"/>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8"/>
  <sheetViews>
    <sheetView zoomScaleNormal="100" workbookViewId="0">
      <pane xSplit="28" ySplit="4" topLeftCell="AD5" activePane="bottomRight" state="frozen"/>
      <selection pane="topRight" activeCell="T1" sqref="T1"/>
      <selection pane="bottomLeft" activeCell="A4" sqref="A4"/>
      <selection pane="bottomRight" activeCell="I23" sqref="I23"/>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4.140625" style="448" bestFit="1" customWidth="1"/>
    <col min="16" max="17" width="5.7109375" style="521" bestFit="1" customWidth="1"/>
    <col min="18" max="18" width="12" bestFit="1" customWidth="1"/>
    <col min="19" max="19" width="9.5703125" bestFit="1" customWidth="1"/>
    <col min="20" max="20" width="10.425781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8" width="7" style="156" bestFit="1" customWidth="1"/>
    <col min="39" max="39" width="4.140625" bestFit="1" customWidth="1"/>
    <col min="40" max="40" width="4.28515625" bestFit="1" customWidth="1"/>
    <col min="41" max="41" width="5.28515625" bestFit="1" customWidth="1"/>
  </cols>
  <sheetData>
    <row r="1" spans="1:44" s="267" customFormat="1" x14ac:dyDescent="0.25">
      <c r="C1" s="664">
        <f ca="1">AVERAGE(C5,C8,C9,C10,C11,C12,C13,C14,C15,C16,C17,C18,C19,C22,C24)</f>
        <v>4.3357142857142863</v>
      </c>
      <c r="D1" s="375">
        <f ca="1">TODAY()</f>
        <v>43062</v>
      </c>
      <c r="E1" s="706">
        <v>41471</v>
      </c>
      <c r="F1" s="706"/>
      <c r="G1" s="706"/>
      <c r="H1" s="269"/>
      <c r="I1" s="269"/>
      <c r="J1" s="269"/>
      <c r="K1" s="270"/>
      <c r="L1" s="269"/>
      <c r="M1" s="270"/>
      <c r="N1" s="270"/>
      <c r="O1" s="664">
        <f>AVERAGE(O5,O8,O9,O10,O11,O12,O13,O14,O15,O16,O17,O18,O19,O22,O24)</f>
        <v>5.5333333333333332</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AVERAGE(I5:I24)</f>
        <v>9.1050000000000004</v>
      </c>
      <c r="J2" s="324"/>
      <c r="K2" s="324"/>
      <c r="M2" s="377">
        <f>AVERAGE(M5:M24)</f>
        <v>7.2</v>
      </c>
      <c r="N2" s="324"/>
      <c r="O2" s="377">
        <f>AVERAGE(O5:O24)</f>
        <v>5.5</v>
      </c>
      <c r="P2" s="535">
        <f>AVERAGE(P5:P24)</f>
        <v>0.8833801380722518</v>
      </c>
      <c r="Q2" s="535">
        <f>AVERAGE(Q5:Q24)</f>
        <v>0.95373507335703933</v>
      </c>
      <c r="R2" s="378">
        <f>AVERAGE(R5:R24)</f>
        <v>114186.5</v>
      </c>
      <c r="S2" s="378"/>
      <c r="T2" s="378">
        <f>AVERAGE(T5:T24)</f>
        <v>15070.8</v>
      </c>
      <c r="U2" s="320"/>
      <c r="V2" s="376">
        <f>(V5+V6)/2</f>
        <v>13.483333333333334</v>
      </c>
      <c r="W2" s="376">
        <f>AVERAGE(W5:W11)</f>
        <v>11.588199134199133</v>
      </c>
      <c r="X2" s="376">
        <f>AVERAGE(X12:X20)</f>
        <v>11.806960405643737</v>
      </c>
      <c r="Y2" s="376">
        <f>AVERAGE(Y12:Y14)</f>
        <v>12.828333333333333</v>
      </c>
      <c r="Z2" s="376">
        <f>AVERAGE(Z6:Z24)</f>
        <v>9.729766081871345</v>
      </c>
      <c r="AA2" s="376">
        <f>AVERAGE(AA22:AA24)</f>
        <v>8.9823333333333348</v>
      </c>
      <c r="AB2" s="376">
        <f>AVERAGE(AB5:AB24)</f>
        <v>14.188833333333331</v>
      </c>
      <c r="AC2" s="320"/>
      <c r="AF2" s="320"/>
      <c r="AG2" s="320"/>
      <c r="AH2" s="320"/>
      <c r="AI2" s="320"/>
      <c r="AJ2" s="320"/>
      <c r="AK2" s="320"/>
      <c r="AL2" s="320"/>
    </row>
    <row r="3" spans="1:44"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657"/>
      <c r="Q3" s="657"/>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724</v>
      </c>
      <c r="P4" s="524" t="s">
        <v>833</v>
      </c>
      <c r="Q4" s="524" t="s">
        <v>834</v>
      </c>
      <c r="R4" s="326" t="s">
        <v>184</v>
      </c>
      <c r="S4" s="326" t="s">
        <v>738</v>
      </c>
      <c r="T4" s="326" t="s">
        <v>212</v>
      </c>
      <c r="U4" s="326" t="s">
        <v>527</v>
      </c>
      <c r="V4" s="326" t="s">
        <v>337</v>
      </c>
      <c r="W4" s="326" t="s">
        <v>188</v>
      </c>
      <c r="X4" s="326" t="s">
        <v>189</v>
      </c>
      <c r="Y4" s="326" t="s">
        <v>190</v>
      </c>
      <c r="Z4" s="326" t="s">
        <v>191</v>
      </c>
      <c r="AA4" s="326" t="s">
        <v>192</v>
      </c>
      <c r="AB4" s="326" t="s">
        <v>185</v>
      </c>
      <c r="AC4" s="326" t="s">
        <v>554</v>
      </c>
      <c r="AD4" s="374" t="s">
        <v>981</v>
      </c>
      <c r="AE4" s="374" t="s">
        <v>982</v>
      </c>
      <c r="AF4" s="374" t="s">
        <v>991</v>
      </c>
      <c r="AG4" s="374" t="s">
        <v>992</v>
      </c>
      <c r="AH4" s="374" t="s">
        <v>602</v>
      </c>
      <c r="AI4" s="374" t="s">
        <v>603</v>
      </c>
      <c r="AJ4" s="374" t="s">
        <v>604</v>
      </c>
      <c r="AK4" s="374" t="s">
        <v>722</v>
      </c>
      <c r="AL4" s="374" t="s">
        <v>723</v>
      </c>
      <c r="AM4" s="326" t="s">
        <v>963</v>
      </c>
      <c r="AN4" s="326" t="s">
        <v>964</v>
      </c>
      <c r="AO4" s="326" t="s">
        <v>965</v>
      </c>
      <c r="AP4" s="451" t="s">
        <v>1016</v>
      </c>
    </row>
    <row r="5" spans="1:44" x14ac:dyDescent="0.25">
      <c r="A5" s="416" t="s">
        <v>443</v>
      </c>
      <c r="B5" s="416" t="s">
        <v>1</v>
      </c>
      <c r="C5" s="417">
        <f ca="1">((34*112)-(E5*112)-(F5))/112</f>
        <v>4.1428571428571432</v>
      </c>
      <c r="D5" s="691" t="s">
        <v>928</v>
      </c>
      <c r="E5" s="419">
        <v>29</v>
      </c>
      <c r="F5" s="427">
        <f ca="1">-42406+$D$1-112-112-112-112-112</f>
        <v>96</v>
      </c>
      <c r="G5" s="420"/>
      <c r="H5" s="435">
        <v>6</v>
      </c>
      <c r="I5" s="335">
        <v>18</v>
      </c>
      <c r="J5" s="520">
        <f>LOG(I5+1)*4/3</f>
        <v>1.7050048012704384</v>
      </c>
      <c r="K5" s="330">
        <f t="shared" ref="K5" si="0">(H5)*(H5)*(I5)</f>
        <v>648</v>
      </c>
      <c r="L5" s="330">
        <f t="shared" ref="L5" si="1">(H5+1)*(H5+1)*I5</f>
        <v>882</v>
      </c>
      <c r="M5" s="421">
        <v>7.7</v>
      </c>
      <c r="N5" s="478">
        <f>M5*10+19</f>
        <v>96</v>
      </c>
      <c r="O5" s="478">
        <v>6</v>
      </c>
      <c r="P5" s="534">
        <f>(O5/7)^0.5</f>
        <v>0.92582009977255142</v>
      </c>
      <c r="Q5" s="534">
        <f>IF(O5=7,1,((O5+0.99)/7)^0.5)</f>
        <v>0.99928545900129484</v>
      </c>
      <c r="R5" s="351">
        <v>97980</v>
      </c>
      <c r="S5" s="660">
        <f t="shared" ref="S5:S24" si="2">R5-AP5</f>
        <v>4230</v>
      </c>
      <c r="T5" s="351">
        <v>44520</v>
      </c>
      <c r="U5" s="343">
        <f t="shared" ref="U5:U25" si="3">R5/T5</f>
        <v>2.200808625336927</v>
      </c>
      <c r="V5" s="519">
        <f>16+12/18</f>
        <v>16.666666666666668</v>
      </c>
      <c r="W5" s="520">
        <f>10.45+0.11+0.11+0.11+0.11+0.11+1/11+1/11*0.16+1/11+1/11+1/11+1/11+1/11+1/11+1/11+1/11</f>
        <v>11.832727272727276</v>
      </c>
      <c r="X5" s="519">
        <f>2+0.01+0.01</f>
        <v>2.0199999999999996</v>
      </c>
      <c r="Y5" s="520">
        <f>1.94+0.03+0.03+0.03+0.03+0.03+0.03</f>
        <v>2.1199999999999992</v>
      </c>
      <c r="Z5" s="519">
        <f>0.6+0.04+0.04+0.04+0.04+0.04+0.04+0.03+0.03+0.02+0.02+0.02+0.02+0.02+0.02+0.01+0.01</f>
        <v>1.0400000000000003</v>
      </c>
      <c r="AA5" s="520">
        <f>0+0.05+0.05*37/90+0.04+0.02+0.01</f>
        <v>0.14055555555555557</v>
      </c>
      <c r="AB5" s="519">
        <f>13.8+0.5+0.5+0.5+0.34+0.34+0.34+0.34+0.34+0.25+0.2+0.2+0.2</f>
        <v>17.849999999999998</v>
      </c>
      <c r="AC5" s="351">
        <v>1371</v>
      </c>
      <c r="AD5" s="637">
        <f t="shared" ref="AD5:AD24" si="4">(X5+1+J5)*(O5/7)^0.5</f>
        <v>4.3745044165379809</v>
      </c>
      <c r="AE5" s="637">
        <f t="shared" ref="AE5:AE24" si="5">(X5+1+J5)*(IF(O5=7, (O5/7)^0.5, ((O5+1)/7)^0.5))</f>
        <v>4.7250048012704378</v>
      </c>
      <c r="AF5" s="343">
        <f>(((W5+1.5+J5)+(Z5+1.5+J5)*2)/8)*(O5/7)^0.5</f>
        <v>2.7228070182994717</v>
      </c>
      <c r="AG5" s="343">
        <f>(1.66*(AA5+J5+1.5)+0.55*(AB5+J5+1.5)-7.6)*(O5/7)^0.5</f>
        <v>8.8266603556955481</v>
      </c>
      <c r="AH5" s="343">
        <f>(AB5*0.7+AA5*0.3)*(O5/7)^0.5</f>
        <v>11.607160894198437</v>
      </c>
      <c r="AI5" s="343">
        <f t="shared" ref="AI5:AI24" si="6">(0.5*(AA5+1.5+J5)+ 0.3*(AB5+1.5+J5))/10</f>
        <v>0.79892816187941273</v>
      </c>
      <c r="AJ5" s="343">
        <f t="shared" ref="AJ5:AJ24" si="7">(0.4*(W5+1.5+J5)+0.3*(AB5+1.5+J5))/10</f>
        <v>1.2331594269980217</v>
      </c>
      <c r="AK5" s="338">
        <f t="shared" ref="AK5:AK24" si="8">(AB5+1+(LOG(I5)*4/3))*(O5/7)^0.5</f>
        <v>19.001250901934569</v>
      </c>
      <c r="AL5" s="338">
        <f t="shared" ref="AL5:AL24" si="9">(AB5+1+(LOG(I5)*4/3))*(IF(O5=7, (O5/7)^0.5, ((O5+1)/7)^0.5))</f>
        <v>20.523696673471072</v>
      </c>
      <c r="AM5" s="478">
        <v>2</v>
      </c>
      <c r="AN5" s="478">
        <v>2</v>
      </c>
      <c r="AO5" s="624">
        <f>IF(AM5=4,IF(AN5=0,0.137+0.0697,0.137+0.02),IF(AM5=3,IF(AN5=0,0.0958+0.0697,0.0958+0.02),IF(AM5=2,IF(AN5=0,0.0415+0.0697,0.0415+0.02),IF(AM5=1,IF(AN5=0,0.0294+0.0697,0.0294+0.02),IF(AM5=0,IF(AN5=0,0.0063+0.0697,0.0063+0.02))))))</f>
        <v>6.1499999999999999E-2</v>
      </c>
      <c r="AP5">
        <v>93750</v>
      </c>
      <c r="AQ5">
        <f>AP5</f>
        <v>93750</v>
      </c>
      <c r="AR5" s="422">
        <f>AQ5-R5</f>
        <v>-4230</v>
      </c>
    </row>
    <row r="6" spans="1:44" s="288" customFormat="1" x14ac:dyDescent="0.25">
      <c r="A6" s="416" t="s">
        <v>577</v>
      </c>
      <c r="B6" s="416" t="s">
        <v>1</v>
      </c>
      <c r="C6" s="417">
        <f t="shared" ref="C6:C24" ca="1" si="10">((34*112)-(E6*112)-(F6))/112</f>
        <v>6.25E-2</v>
      </c>
      <c r="D6" s="691" t="s">
        <v>307</v>
      </c>
      <c r="E6" s="419">
        <v>33</v>
      </c>
      <c r="F6" s="427">
        <f ca="1">82-41471+$D$1-112-112-112-112-112-112-112-112-112-112-112-112-112-112</f>
        <v>105</v>
      </c>
      <c r="G6" s="420" t="s">
        <v>595</v>
      </c>
      <c r="H6" s="401">
        <v>3</v>
      </c>
      <c r="I6" s="335">
        <v>7.8</v>
      </c>
      <c r="J6" s="520">
        <f t="shared" ref="J6:J24" si="11">LOG(I6+1)*4/3</f>
        <v>1.2593102295335583</v>
      </c>
      <c r="K6" s="330">
        <f t="shared" ref="K6:K24" si="12">(H6)*(H6)*(I6)</f>
        <v>70.2</v>
      </c>
      <c r="L6" s="330">
        <f t="shared" ref="L6:L24" si="13">(H6+1)*(H6+1)*I6</f>
        <v>124.8</v>
      </c>
      <c r="M6" s="421">
        <v>5.2</v>
      </c>
      <c r="N6" s="478">
        <f t="shared" ref="N6:N24" si="14">M6*10+19</f>
        <v>71</v>
      </c>
      <c r="O6" s="478">
        <v>5</v>
      </c>
      <c r="P6" s="534">
        <f t="shared" ref="P6:P24" si="15">(O6/7)^0.5</f>
        <v>0.84515425472851657</v>
      </c>
      <c r="Q6" s="534">
        <f t="shared" ref="Q6:Q24" si="16">IF(O6=7,1,((O6+0.99)/7)^0.5)</f>
        <v>0.92504826128926143</v>
      </c>
      <c r="R6" s="351">
        <v>3730</v>
      </c>
      <c r="S6" s="660">
        <f t="shared" si="2"/>
        <v>-30</v>
      </c>
      <c r="T6" s="351">
        <v>3600</v>
      </c>
      <c r="U6" s="343">
        <f t="shared" si="3"/>
        <v>1.0361111111111112</v>
      </c>
      <c r="V6" s="519">
        <v>10.3</v>
      </c>
      <c r="W6" s="520">
        <f>9.5+0.13+0.13/2+0.13+0.13+0.13+0.13+0.13+0.12+0.12+0.02+0.02+0.02+0.02+0.02+0.02+0.02+0.02+0.02+0.01+0.01+0.01</f>
        <v>10.794999999999998</v>
      </c>
      <c r="X6" s="519">
        <f>4.2+0.04+0.04+0.04+0.03+0.03+0.03+0.03+0.03+0.03+0.03+0.03+0.02+0.02+0.01</f>
        <v>4.6100000000000012</v>
      </c>
      <c r="Y6" s="520">
        <v>4.99</v>
      </c>
      <c r="Z6" s="519">
        <f>4.99+0.05+0.32+0.32+0.32+0.05+0.16+0.05+0.03+0.25*31/90+0.03+0.02+0.02+0.01+0.01+0.01+0.15*29/90+0.01+0.01</f>
        <v>6.5444444444444434</v>
      </c>
      <c r="AA6" s="520">
        <v>3.99</v>
      </c>
      <c r="AB6" s="519">
        <f>11.8+0.67+0.5*1.25+0.35+0.35+0.35+0.35*8/90+0.35*80/90+0.35+0.35*75/90+0.35+0.3</f>
        <v>15.778888888888888</v>
      </c>
      <c r="AC6" s="351">
        <v>1166</v>
      </c>
      <c r="AD6" s="637">
        <f t="shared" si="4"/>
        <v>5.805626767540411</v>
      </c>
      <c r="AE6" s="637">
        <f t="shared" si="5"/>
        <v>6.3597454820753683</v>
      </c>
      <c r="AF6" s="343">
        <f t="shared" ref="AF6:AF24" si="17">(((W6+1.5+J6)+(Z6+1.5+J6)*2)/8)*(O6/7)^0.5</f>
        <v>3.3977123319657752</v>
      </c>
      <c r="AG6" s="343">
        <f t="shared" ref="AG6:AG24" si="18">(1.66*(AA6+J6+1.5)+0.55*(AB6+J6+1.5)-7.6)*(O6/7)^0.5</f>
        <v>11.663014193604974</v>
      </c>
      <c r="AH6" s="343">
        <f t="shared" ref="AH6:AH24" si="19">(AB6*0.7+AA6*0.3)*(O6/7)^0.5</f>
        <v>10.346566198443105</v>
      </c>
      <c r="AI6" s="343">
        <f t="shared" si="6"/>
        <v>0.89361148502935117</v>
      </c>
      <c r="AJ6" s="343">
        <f t="shared" si="7"/>
        <v>1.0983183827340155</v>
      </c>
      <c r="AK6" s="338">
        <f t="shared" si="8"/>
        <v>15.186026066173746</v>
      </c>
      <c r="AL6" s="338">
        <f t="shared" si="9"/>
        <v>16.635458070609602</v>
      </c>
      <c r="AM6" s="478">
        <v>4</v>
      </c>
      <c r="AN6" s="478">
        <v>3</v>
      </c>
      <c r="AO6" s="624">
        <f t="shared" ref="AO6:AO24" si="20">IF(AM6=4,IF(AN6=0,0.137+0.0697,0.137+0.02),IF(AM6=3,IF(AN6=0,0.0958+0.0697,0.0958+0.02),IF(AM6=2,IF(AN6=0,0.0415+0.0697,0.0415+0.02),IF(AM6=1,IF(AN6=0,0.0294+0.0697,0.0294+0.02),IF(AM6=0,IF(AN6=0,0.0063+0.0697,0.0063+0.02))))))</f>
        <v>0.157</v>
      </c>
      <c r="AP6" s="288">
        <v>3760</v>
      </c>
      <c r="AQ6">
        <f t="shared" ref="AQ6:AQ24" si="21">AP6</f>
        <v>3760</v>
      </c>
      <c r="AR6" s="422">
        <f t="shared" ref="AR6:AR23" si="22">AQ6-R6</f>
        <v>30</v>
      </c>
    </row>
    <row r="7" spans="1:44" s="266" customFormat="1" x14ac:dyDescent="0.25">
      <c r="A7" s="416" t="s">
        <v>716</v>
      </c>
      <c r="B7" s="416" t="s">
        <v>2</v>
      </c>
      <c r="C7" s="417">
        <f t="shared" ca="1" si="10"/>
        <v>4.0357142857142856</v>
      </c>
      <c r="D7" s="691" t="s">
        <v>1020</v>
      </c>
      <c r="E7" s="419">
        <v>29</v>
      </c>
      <c r="F7" s="427">
        <f ca="1">82-41471+$D$1-112-112-112-112-112-112-112-112-112-112-112+3-112-112-112</f>
        <v>108</v>
      </c>
      <c r="G7" s="420" t="s">
        <v>595</v>
      </c>
      <c r="H7" s="426">
        <v>2</v>
      </c>
      <c r="I7" s="335">
        <v>14</v>
      </c>
      <c r="J7" s="520">
        <f t="shared" si="11"/>
        <v>1.5681216787409085</v>
      </c>
      <c r="K7" s="330">
        <f>(H7)*(H7)*(I7)</f>
        <v>56</v>
      </c>
      <c r="L7" s="330">
        <f>(H7+1)*(H7+1)*I7</f>
        <v>126</v>
      </c>
      <c r="M7" s="421">
        <v>7.7</v>
      </c>
      <c r="N7" s="478">
        <f>M7*10+19</f>
        <v>96</v>
      </c>
      <c r="O7" s="478">
        <v>6</v>
      </c>
      <c r="P7" s="534">
        <f>(O7/7)^0.5</f>
        <v>0.92582009977255142</v>
      </c>
      <c r="Q7" s="534">
        <f>IF(O7=7,1,((O7+0.99)/7)^0.5)</f>
        <v>0.99928545900129484</v>
      </c>
      <c r="R7" s="351">
        <v>299990</v>
      </c>
      <c r="S7" s="660">
        <f t="shared" si="2"/>
        <v>7100</v>
      </c>
      <c r="T7" s="351">
        <v>32508</v>
      </c>
      <c r="U7" s="343">
        <f>R7/T7</f>
        <v>9.2281899840039383</v>
      </c>
      <c r="V7" s="519">
        <v>0</v>
      </c>
      <c r="W7" s="520">
        <f>14+1/20+1/20+1/20+1/20</f>
        <v>14.200000000000003</v>
      </c>
      <c r="X7" s="519">
        <f>9+1/9*0.5+1/9*0.16+0.1*0.5+0.1*0.5+0.1*0.5+0.01+0.1*0.5</f>
        <v>9.283333333333335</v>
      </c>
      <c r="Y7" s="520">
        <f>14+1/12*0.5+1/12*0.5+1/12*0.5+1/12*0.5+1/12*0.5+1/12*0.5</f>
        <v>14.249999999999996</v>
      </c>
      <c r="Z7" s="519">
        <f>8.45+0.15+0.15+0.02+0.12+0.12+0.11+0.01+0.08+0.07+0.07+0.07</f>
        <v>9.4199999999999982</v>
      </c>
      <c r="AA7" s="520">
        <f>1+1/7</f>
        <v>1.1428571428571428</v>
      </c>
      <c r="AB7" s="519">
        <f>9+0.4</f>
        <v>9.4</v>
      </c>
      <c r="AC7" s="351">
        <v>1902</v>
      </c>
      <c r="AD7" s="637">
        <f t="shared" si="4"/>
        <v>10.972315261728481</v>
      </c>
      <c r="AE7" s="637">
        <f t="shared" si="5"/>
        <v>11.851455012074243</v>
      </c>
      <c r="AF7" s="343">
        <f t="shared" si="17"/>
        <v>4.8888352815829759</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78">
        <v>1</v>
      </c>
      <c r="AN7" s="478">
        <v>2</v>
      </c>
      <c r="AO7" s="624">
        <f>IF(AM7=4,IF(AN7=0,0.137+0.0697,0.137+0.02),IF(AM7=3,IF(AN7=0,0.0958+0.0697,0.0958+0.02),IF(AM7=2,IF(AN7=0,0.0415+0.0697,0.0415+0.02),IF(AM7=1,IF(AN7=0,0.0294+0.0697,0.0294+0.02),IF(AM7=0,IF(AN7=0,0.0063+0.0697,0.0063+0.02))))))</f>
        <v>4.9399999999999999E-2</v>
      </c>
      <c r="AP7" s="266">
        <v>292890</v>
      </c>
      <c r="AQ7">
        <f t="shared" si="21"/>
        <v>292890</v>
      </c>
      <c r="AR7" s="422">
        <f t="shared" si="22"/>
        <v>-7100</v>
      </c>
    </row>
    <row r="8" spans="1:44" s="272" customFormat="1" x14ac:dyDescent="0.25">
      <c r="A8" s="332" t="s">
        <v>452</v>
      </c>
      <c r="B8" s="285" t="s">
        <v>2</v>
      </c>
      <c r="C8" s="417">
        <f t="shared" ca="1" si="10"/>
        <v>2.6339285714285716</v>
      </c>
      <c r="D8" s="692" t="s">
        <v>315</v>
      </c>
      <c r="E8" s="228">
        <v>31</v>
      </c>
      <c r="F8" s="229">
        <f ca="1">18-41471+$D$1-112-112-112-112-112-112-112-112-112-112-112-112-112-112</f>
        <v>41</v>
      </c>
      <c r="G8" s="287" t="s">
        <v>595</v>
      </c>
      <c r="H8" s="426">
        <v>4</v>
      </c>
      <c r="I8" s="232">
        <v>7.5</v>
      </c>
      <c r="J8" s="520">
        <f t="shared" si="11"/>
        <v>1.2392252342857237</v>
      </c>
      <c r="K8" s="330">
        <f t="shared" si="12"/>
        <v>120</v>
      </c>
      <c r="L8" s="330">
        <f t="shared" si="13"/>
        <v>187.5</v>
      </c>
      <c r="M8" s="323">
        <v>6.6</v>
      </c>
      <c r="N8" s="478">
        <f t="shared" si="14"/>
        <v>85</v>
      </c>
      <c r="O8" s="479">
        <v>5</v>
      </c>
      <c r="P8" s="534">
        <f t="shared" si="15"/>
        <v>0.84515425472851657</v>
      </c>
      <c r="Q8" s="534">
        <f t="shared" si="16"/>
        <v>0.92504826128926143</v>
      </c>
      <c r="R8" s="661">
        <v>18380</v>
      </c>
      <c r="S8" s="660">
        <f t="shared" si="2"/>
        <v>1050</v>
      </c>
      <c r="T8" s="661">
        <v>3510</v>
      </c>
      <c r="U8" s="343">
        <f t="shared" si="3"/>
        <v>5.2364672364672362</v>
      </c>
      <c r="V8" s="519">
        <v>0</v>
      </c>
      <c r="W8" s="520">
        <v>11</v>
      </c>
      <c r="X8" s="519">
        <f>4.61+0.04+0.04+0.04+0.04+0.25+0.14+0.13+0.13+0.12+0.12+0.12+0.04*55/90+0.025+0.13+0.02+0.02+0.02+0.02+0.02+0.01+0.01+0.01+0.12*0.5+0.01</f>
        <v>6.1594444444444418</v>
      </c>
      <c r="Y8" s="520">
        <v>5.98</v>
      </c>
      <c r="Z8" s="519">
        <f>3.88+0.33+(0.33/3)+(0.33/3)+0.31+0.31+0.04+0.3+0.28+0.28+0.28+0.25+0.25+0.2+0.15+0.15+0.02+0.12+0.12+0.11+0.11*35/90+0.08</f>
        <v>7.7227777777777789</v>
      </c>
      <c r="AA8" s="520">
        <f>3.82+0.06+0.06+0.06+0.06*80/90+0.06+0.05+0.05+0.05+0.02+0.2*0.5</f>
        <v>4.383333333333332</v>
      </c>
      <c r="AB8" s="519">
        <f>8.7+0.75+0.75+0.75+0.6+0.5+0.5+0.45*10/90+0.35+0.35+0.35+0.35+0.35+0.3+0.25+0.25+0.2</f>
        <v>15.349999999999998</v>
      </c>
      <c r="AC8" s="351">
        <v>1155</v>
      </c>
      <c r="AD8" s="637">
        <f t="shared" si="4"/>
        <v>7.098171413038183</v>
      </c>
      <c r="AE8" s="637">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79">
        <v>2</v>
      </c>
      <c r="AN8" s="479">
        <v>3</v>
      </c>
      <c r="AO8" s="624">
        <f t="shared" si="20"/>
        <v>6.1499999999999999E-2</v>
      </c>
      <c r="AP8" s="272">
        <v>17330</v>
      </c>
      <c r="AQ8">
        <f t="shared" si="21"/>
        <v>17330</v>
      </c>
      <c r="AR8" s="422">
        <f t="shared" si="22"/>
        <v>-1050</v>
      </c>
    </row>
    <row r="9" spans="1:44" s="264" customFormat="1" x14ac:dyDescent="0.25">
      <c r="A9" s="416" t="s">
        <v>597</v>
      </c>
      <c r="B9" s="416" t="s">
        <v>2</v>
      </c>
      <c r="C9" s="417">
        <f t="shared" ca="1" si="10"/>
        <v>3.0446428571428572</v>
      </c>
      <c r="D9" s="691" t="s">
        <v>309</v>
      </c>
      <c r="E9" s="419">
        <v>30</v>
      </c>
      <c r="F9" s="427">
        <f ca="1">84-41471+$D$1-112-112-112-112-112-112-112-112-112-112-112-112-112-112</f>
        <v>107</v>
      </c>
      <c r="G9" s="420"/>
      <c r="H9" s="426">
        <v>4</v>
      </c>
      <c r="I9" s="335">
        <v>12.1</v>
      </c>
      <c r="J9" s="520">
        <f t="shared" si="11"/>
        <v>1.4896950608743522</v>
      </c>
      <c r="K9" s="330">
        <f t="shared" si="12"/>
        <v>193.6</v>
      </c>
      <c r="L9" s="330">
        <f t="shared" si="13"/>
        <v>302.5</v>
      </c>
      <c r="M9" s="421">
        <v>7.3</v>
      </c>
      <c r="N9" s="478">
        <f t="shared" si="14"/>
        <v>92</v>
      </c>
      <c r="O9" s="478">
        <v>5</v>
      </c>
      <c r="P9" s="534">
        <f t="shared" si="15"/>
        <v>0.84515425472851657</v>
      </c>
      <c r="Q9" s="534">
        <f t="shared" si="16"/>
        <v>0.92504826128926143</v>
      </c>
      <c r="R9" s="351">
        <v>141660</v>
      </c>
      <c r="S9" s="660">
        <f t="shared" si="2"/>
        <v>-4630</v>
      </c>
      <c r="T9" s="351">
        <v>14490</v>
      </c>
      <c r="U9" s="343">
        <f t="shared" si="3"/>
        <v>9.7763975155279503</v>
      </c>
      <c r="V9" s="519">
        <v>0</v>
      </c>
      <c r="W9" s="520">
        <f>9.9+0.14+0.14+0.14+0.14+0.13+0.13+0.13+0.12+0.12+0.09+0.09+0.09+0.09+0.08+0.08+0.08+0.08+0.08+0.07+0.07+0.07</f>
        <v>12.060000000000004</v>
      </c>
      <c r="X9" s="519">
        <f>10.72+0.15+0.15+0.15+0.14+0.14+0.11+0.11+0.11+0.11+0.11+0.11+0.11+0.11*0.5+0.11*0.5+0.11*0.5+0.1+0.1*0.5+0.1*0.5+0.1*0.5+0.1*0.16+0.09+0.08+0.08+0.08*0.5+0.08</f>
        <v>13.020999999999999</v>
      </c>
      <c r="Y9" s="520">
        <f>8.8+0.14+0.14+0.14+0.13+0.12*0.5+0.12*0.5+0.12*0.5+0.12*0.5+0.12*0.5+0.12*0.5</f>
        <v>9.7100000000000062</v>
      </c>
      <c r="Z9" s="519">
        <f>4.57+0.36+0.36+0.36+0.36+0.25+0.25+0.25+0.25+0.25+0.25+0.25+0.25+0.2+0.2+0.15+0.15+0.14+0.12+0.12+0.11+0.11+0.08+0.07+0.07+0.07</f>
        <v>9.6</v>
      </c>
      <c r="AA9" s="520">
        <f>3+0.07+0.07+0.07+0.07+0.07+0.05+0.05+0.05+0.2*48/90+0.15*0.5</f>
        <v>3.6816666666666658</v>
      </c>
      <c r="AB9" s="519">
        <f>10.7+0.5+0.5*77/90+0.5+0.45+0.45+0.45+0.35+0.35+0.3+0.35+0.3+0.3+0.3+0.25+0.25+0.2+0.2</f>
        <v>16.627777777777773</v>
      </c>
      <c r="AC9" s="351">
        <v>1858</v>
      </c>
      <c r="AD9" s="637">
        <f t="shared" si="4"/>
        <v>13.108929924494545</v>
      </c>
      <c r="AE9" s="637">
        <f t="shared" si="5"/>
        <v>14.360113248800312</v>
      </c>
      <c r="AF9" s="343">
        <f t="shared" si="17"/>
        <v>4.2499728132412251</v>
      </c>
      <c r="AG9" s="343">
        <f t="shared" si="18"/>
        <v>12.055339897312352</v>
      </c>
      <c r="AH9" s="343">
        <f t="shared" si="19"/>
        <v>10.77059886924606</v>
      </c>
      <c r="AI9" s="343">
        <f t="shared" si="6"/>
        <v>0.92209227153661466</v>
      </c>
      <c r="AJ9" s="343">
        <f t="shared" si="7"/>
        <v>1.190511987594538</v>
      </c>
      <c r="AK9" s="338">
        <f t="shared" si="8"/>
        <v>16.118352273872002</v>
      </c>
      <c r="AL9" s="338">
        <f t="shared" si="9"/>
        <v>17.656770260428765</v>
      </c>
      <c r="AM9" s="478">
        <v>2</v>
      </c>
      <c r="AN9" s="478">
        <v>3</v>
      </c>
      <c r="AO9" s="624">
        <f t="shared" si="20"/>
        <v>6.1499999999999999E-2</v>
      </c>
      <c r="AP9" s="264">
        <v>146290</v>
      </c>
      <c r="AQ9">
        <f t="shared" si="21"/>
        <v>146290</v>
      </c>
      <c r="AR9" s="422">
        <f t="shared" si="22"/>
        <v>4630</v>
      </c>
    </row>
    <row r="10" spans="1:44" s="265" customFormat="1" x14ac:dyDescent="0.25">
      <c r="A10" s="416" t="s">
        <v>445</v>
      </c>
      <c r="B10" s="285" t="s">
        <v>2</v>
      </c>
      <c r="C10" s="417">
        <f t="shared" ca="1" si="10"/>
        <v>3.1785714285714284</v>
      </c>
      <c r="D10" s="692" t="s">
        <v>313</v>
      </c>
      <c r="E10" s="228">
        <v>30</v>
      </c>
      <c r="F10" s="229">
        <f ca="1">69-41471+$D$1-112-112-112-112-112-112-112-112-112-112-112-112-112-112</f>
        <v>92</v>
      </c>
      <c r="G10" s="287"/>
      <c r="H10" s="401">
        <v>3</v>
      </c>
      <c r="I10" s="232">
        <v>9.1999999999999993</v>
      </c>
      <c r="J10" s="520">
        <f t="shared" si="11"/>
        <v>1.34480022901589</v>
      </c>
      <c r="K10" s="330">
        <f t="shared" si="12"/>
        <v>82.8</v>
      </c>
      <c r="L10" s="330">
        <f t="shared" si="13"/>
        <v>147.19999999999999</v>
      </c>
      <c r="M10" s="323">
        <v>7</v>
      </c>
      <c r="N10" s="478">
        <f t="shared" si="14"/>
        <v>89</v>
      </c>
      <c r="O10" s="479">
        <v>6</v>
      </c>
      <c r="P10" s="534">
        <f t="shared" si="15"/>
        <v>0.92582009977255142</v>
      </c>
      <c r="Q10" s="534">
        <f t="shared" si="16"/>
        <v>0.99928545900129484</v>
      </c>
      <c r="R10" s="351">
        <v>46240</v>
      </c>
      <c r="S10" s="660">
        <f t="shared" si="2"/>
        <v>1690</v>
      </c>
      <c r="T10" s="661">
        <v>5870</v>
      </c>
      <c r="U10" s="343">
        <f t="shared" si="3"/>
        <v>7.877342419080068</v>
      </c>
      <c r="V10" s="519">
        <v>0</v>
      </c>
      <c r="W10" s="520">
        <f>9+0.15+0.15+0.15+0.15+0.15+0.15+0.15+0.15+0.15+0.12+0.12+0.12+0.12+0.12+0.1+0.1+0.1+0.1+0.1+0.1+0.1</f>
        <v>11.649999999999997</v>
      </c>
      <c r="X10" s="519">
        <f>5.75+0.04+0.04+(0.04/90*75)+(0.25*15/90)+0.03+0.03+(0.03*20/90)+0.03+0.03+(0.22*0.5*30/90)+(0.22/16*60/90)+0.03+0.03+0.22*0.5+0.2*0.5+0.03+0.22*0.5+0.03+0.03+0.03+0.01+0.01+0.01+0.01+0.01</f>
        <v>6.6275000000000022</v>
      </c>
      <c r="Y10" s="520">
        <f>6.18+0.2+0.2+0.2+0.15*0.5+0.15*0.5+0.15*0.5+0.15*0.5+0.14*0.5+0.14*0.5+0.14</f>
        <v>7.3600000000000012</v>
      </c>
      <c r="Z10" s="519">
        <f>4.3+0.35+0.35+0.35+0.33+0.32+0.3+0.27+0.27+0.26+0.2+0.2+0.2+0.2+0.15+0.15+0.14+0.12+0.12+0.11+0.11+0.08+0.07+0.07</f>
        <v>9.0199999999999978</v>
      </c>
      <c r="AA10" s="520">
        <f>4.06+0.06+0.06+0.06+0.06+0.06*75/90+0.05+0.05+0.05+0.02+0.2*0.5</f>
        <v>4.6199999999999966</v>
      </c>
      <c r="AB10" s="519">
        <f>8.4+0.67+0.67+0.67+0.67+0.67+0.5+0.45+0.35+0.35+0.35+0.3+0.3+0.3+0.25+0.25+0.25+0.2</f>
        <v>15.6</v>
      </c>
      <c r="AC10" s="351">
        <v>1268</v>
      </c>
      <c r="AD10" s="637">
        <f t="shared" si="4"/>
        <v>8.3067358932167803</v>
      </c>
      <c r="AE10" s="637">
        <f t="shared" si="5"/>
        <v>8.9723002290158931</v>
      </c>
      <c r="AF10" s="343">
        <f t="shared" si="17"/>
        <v>4.4236148072285566</v>
      </c>
      <c r="AG10" s="343">
        <f t="shared" si="18"/>
        <v>13.828242049364381</v>
      </c>
      <c r="AH10" s="343">
        <f t="shared" si="19"/>
        <v>11.393142147801017</v>
      </c>
      <c r="AI10" s="343">
        <f t="shared" si="6"/>
        <v>0.92658401832127102</v>
      </c>
      <c r="AJ10" s="343">
        <f t="shared" si="7"/>
        <v>1.1331360160311121</v>
      </c>
      <c r="AK10" s="338">
        <f t="shared" si="8"/>
        <v>16.558339179521198</v>
      </c>
      <c r="AL10" s="338">
        <f t="shared" si="9"/>
        <v>17.885050436460741</v>
      </c>
      <c r="AM10" s="479">
        <v>3</v>
      </c>
      <c r="AN10" s="479">
        <v>2</v>
      </c>
      <c r="AO10" s="624">
        <f t="shared" si="20"/>
        <v>0.1158</v>
      </c>
      <c r="AP10" s="265">
        <v>44550</v>
      </c>
      <c r="AQ10">
        <f t="shared" si="21"/>
        <v>44550</v>
      </c>
      <c r="AR10" s="422">
        <f t="shared" si="22"/>
        <v>-1690</v>
      </c>
    </row>
    <row r="11" spans="1:44" s="289" customFormat="1" x14ac:dyDescent="0.25">
      <c r="A11" s="331" t="s">
        <v>588</v>
      </c>
      <c r="B11" s="285" t="s">
        <v>2</v>
      </c>
      <c r="C11" s="417">
        <f t="shared" ca="1" si="10"/>
        <v>6.9732142857142856</v>
      </c>
      <c r="D11" s="692" t="s">
        <v>701</v>
      </c>
      <c r="E11" s="228">
        <v>27</v>
      </c>
      <c r="F11" s="229">
        <f ca="1">75-41471+$D$1-24-112-10-112-112+6-112-112-112+45-112-112-112-112-112-112-112-112-112</f>
        <v>3</v>
      </c>
      <c r="G11" s="287"/>
      <c r="H11" s="426">
        <v>4</v>
      </c>
      <c r="I11" s="232">
        <v>4.9000000000000004</v>
      </c>
      <c r="J11" s="520">
        <f t="shared" si="11"/>
        <v>1.0278026821895256</v>
      </c>
      <c r="K11" s="330">
        <f t="shared" si="12"/>
        <v>78.400000000000006</v>
      </c>
      <c r="L11" s="330">
        <f t="shared" si="13"/>
        <v>122.50000000000001</v>
      </c>
      <c r="M11" s="323">
        <v>7</v>
      </c>
      <c r="N11" s="478">
        <f t="shared" si="14"/>
        <v>89</v>
      </c>
      <c r="O11" s="479">
        <v>5</v>
      </c>
      <c r="P11" s="534">
        <f t="shared" si="15"/>
        <v>0.84515425472851657</v>
      </c>
      <c r="Q11" s="534">
        <f t="shared" si="16"/>
        <v>0.92504826128926143</v>
      </c>
      <c r="R11" s="661">
        <v>33410</v>
      </c>
      <c r="S11" s="660">
        <f t="shared" si="2"/>
        <v>2430</v>
      </c>
      <c r="T11" s="661">
        <v>2510</v>
      </c>
      <c r="U11" s="343">
        <f t="shared" si="3"/>
        <v>13.310756972111554</v>
      </c>
      <c r="V11" s="519">
        <v>0</v>
      </c>
      <c r="W11" s="520">
        <f>6.51+0.25+0.25+0.25+0.2+0.2+0.2+0.2+0.19+0.19+0.17+0.16+0.16+0.03+0.16+0.15*33/90+0.14+0.13+0.13*36/90+0.02+0.12*32/90+0.02</f>
        <v>9.5796666666666663</v>
      </c>
      <c r="X11" s="519">
        <f>6.92+0.04+0.04+0.04+0.13+0.04+0.03+0.03+(0.25*30/90*0.5)+(0.25*60/90*0.16)+0.03+0.03+0.25*0.5*1/90+0.026+0.03+0.03+0.03+0.03+0.25*0.5+0.02+0.02</f>
        <v>7.7107222222222234</v>
      </c>
      <c r="Y11" s="520">
        <f>5.8+0.05+0.05+0.05+0.05+0.04+0.04+0.03+0.02</f>
        <v>6.129999999999999</v>
      </c>
      <c r="Z11" s="519">
        <f>4.28+(0.4/3)+0.4+0.4+0.35+0.35+0.35+0.35+0.3+0.3+0.25+0.25+0.25+0.2+0.04+0.17+0.16+0.03+0.15+0.13+0.02</f>
        <v>8.8633333333333315</v>
      </c>
      <c r="AA11" s="520">
        <f>2.7+0.08+0.08+0.08+0.08+0.08+0.06+0.06+0.06*10/90+0.03</f>
        <v>3.2566666666666673</v>
      </c>
      <c r="AB11" s="519">
        <f>9+1*5/90+0.85+0.85*30/90+0.65+0.55+0.5+0.4+0.35+0.35+0.25</f>
        <v>13.238888888888889</v>
      </c>
      <c r="AC11" s="351">
        <v>1011</v>
      </c>
      <c r="AD11" s="637">
        <f t="shared" si="4"/>
        <v>8.2305557577432094</v>
      </c>
      <c r="AE11" s="637">
        <f t="shared" si="5"/>
        <v>9.0161220986399631</v>
      </c>
      <c r="AF11" s="343">
        <f t="shared" si="17"/>
        <v>3.68590167170021</v>
      </c>
      <c r="AG11" s="343">
        <f t="shared" si="18"/>
        <v>9.0210915627662693</v>
      </c>
      <c r="AH11" s="343">
        <f t="shared" si="19"/>
        <v>8.6579479974955298</v>
      </c>
      <c r="AI11" s="343">
        <f t="shared" si="6"/>
        <v>0.7622242145751621</v>
      </c>
      <c r="AJ11" s="343">
        <f t="shared" si="7"/>
        <v>0.9572995210866001</v>
      </c>
      <c r="AK11" s="338">
        <f t="shared" si="8"/>
        <v>12.811820398561768</v>
      </c>
      <c r="AL11" s="338">
        <f t="shared" si="9"/>
        <v>14.034646069994215</v>
      </c>
      <c r="AM11" s="479">
        <v>3</v>
      </c>
      <c r="AN11" s="479">
        <v>2</v>
      </c>
      <c r="AO11" s="624">
        <f t="shared" si="20"/>
        <v>0.1158</v>
      </c>
      <c r="AP11" s="289">
        <v>30980</v>
      </c>
      <c r="AQ11">
        <f t="shared" si="21"/>
        <v>30980</v>
      </c>
      <c r="AR11" s="422">
        <f t="shared" si="22"/>
        <v>-2430</v>
      </c>
    </row>
    <row r="12" spans="1:44" s="289" customFormat="1" x14ac:dyDescent="0.25">
      <c r="A12" s="416" t="s">
        <v>448</v>
      </c>
      <c r="B12" s="416" t="s">
        <v>66</v>
      </c>
      <c r="C12" s="417">
        <f t="shared" ca="1" si="10"/>
        <v>3.3839285714285716</v>
      </c>
      <c r="D12" s="691" t="s">
        <v>980</v>
      </c>
      <c r="E12" s="419">
        <v>30</v>
      </c>
      <c r="F12" s="229">
        <f ca="1">46-41471+$D$1-112-112-112-112-112-112-112-112-112-112-112-112-112-112</f>
        <v>69</v>
      </c>
      <c r="G12" s="420" t="s">
        <v>311</v>
      </c>
      <c r="H12" s="401">
        <v>0</v>
      </c>
      <c r="I12" s="335">
        <v>12.2</v>
      </c>
      <c r="J12" s="520">
        <f t="shared" si="11"/>
        <v>1.4940985749411331</v>
      </c>
      <c r="K12" s="330">
        <f t="shared" si="12"/>
        <v>0</v>
      </c>
      <c r="L12" s="330">
        <f t="shared" si="13"/>
        <v>12.2</v>
      </c>
      <c r="M12" s="421">
        <v>7.4</v>
      </c>
      <c r="N12" s="478">
        <f t="shared" si="14"/>
        <v>93</v>
      </c>
      <c r="O12" s="478">
        <v>5</v>
      </c>
      <c r="P12" s="534">
        <f t="shared" si="15"/>
        <v>0.84515425472851657</v>
      </c>
      <c r="Q12" s="534">
        <f t="shared" si="16"/>
        <v>0.92504826128926143</v>
      </c>
      <c r="R12" s="351">
        <v>223420</v>
      </c>
      <c r="S12" s="660">
        <f t="shared" si="2"/>
        <v>18160</v>
      </c>
      <c r="T12" s="351">
        <v>15530</v>
      </c>
      <c r="U12" s="343">
        <f t="shared" si="3"/>
        <v>14.386349001931745</v>
      </c>
      <c r="V12" s="519">
        <v>0</v>
      </c>
      <c r="W12" s="520">
        <v>11.99</v>
      </c>
      <c r="X12" s="519">
        <f>9.9+0.17+(0.17/90*26)+0.17+0.15+0.15+0.15+0.13+0.13+(1/8)+0.13+0.13+0.13*0.5+0.11+0.11+0.11*0.5+0.11*0.5+0.1*0.5+0.1*0.5+0.1+0.1+0.1*0.5+0.09+0.09*0.5+0.09*0.5+0.09*0.5+0.09*0.5</f>
        <v>12.399111111111115</v>
      </c>
      <c r="Y12" s="520">
        <v>13.05</v>
      </c>
      <c r="Z12" s="519">
        <f>10.7+0.07+0.07+0.07</f>
        <v>10.91</v>
      </c>
      <c r="AA12" s="520">
        <f>5.71+0.29+0.29+0.29+0.25+0.25+0.2+0.2+0.2+0.015+0.15*0.5</f>
        <v>7.7700000000000005</v>
      </c>
      <c r="AB12" s="519">
        <f>10.8+0.67+0.55+0.55+0.45+0.45+0.4+0.4+0.35+0.35+0.33+0.33+0.3+0.3+0.25+0.25+0.2+0.2</f>
        <v>17.13</v>
      </c>
      <c r="AC12" s="351">
        <v>2108</v>
      </c>
      <c r="AD12" s="637">
        <f t="shared" si="4"/>
        <v>12.587059532731013</v>
      </c>
      <c r="AE12" s="637">
        <f t="shared" si="5"/>
        <v>13.788432877474422</v>
      </c>
      <c r="AF12" s="343">
        <f t="shared" si="17"/>
        <v>4.5207613501794262</v>
      </c>
      <c r="AG12" s="343">
        <f t="shared" si="18"/>
        <v>18.032767164138022</v>
      </c>
      <c r="AH12" s="343">
        <f t="shared" si="19"/>
        <v>12.104299236221813</v>
      </c>
      <c r="AI12" s="343">
        <f t="shared" si="6"/>
        <v>1.1419278859952908</v>
      </c>
      <c r="AJ12" s="343">
        <f t="shared" si="7"/>
        <v>1.2030869002458793</v>
      </c>
      <c r="AK12" s="338">
        <f t="shared" si="8"/>
        <v>16.546835482309223</v>
      </c>
      <c r="AL12" s="338">
        <f t="shared" si="9"/>
        <v>18.126150097975273</v>
      </c>
      <c r="AM12" s="478">
        <v>1</v>
      </c>
      <c r="AN12" s="478">
        <v>2</v>
      </c>
      <c r="AO12" s="624">
        <f t="shared" si="20"/>
        <v>4.9399999999999999E-2</v>
      </c>
      <c r="AP12" s="289">
        <v>205260</v>
      </c>
      <c r="AQ12">
        <f t="shared" si="21"/>
        <v>205260</v>
      </c>
      <c r="AR12" s="422">
        <f t="shared" si="22"/>
        <v>-18160</v>
      </c>
    </row>
    <row r="13" spans="1:44" s="272" customFormat="1" x14ac:dyDescent="0.25">
      <c r="A13" s="416" t="s">
        <v>450</v>
      </c>
      <c r="B13" s="416" t="s">
        <v>66</v>
      </c>
      <c r="C13" s="417">
        <f t="shared" ca="1" si="10"/>
        <v>3.8571428571428572</v>
      </c>
      <c r="D13" s="691" t="s">
        <v>338</v>
      </c>
      <c r="E13" s="419">
        <v>30</v>
      </c>
      <c r="F13" s="427">
        <f ca="1">75-41471+$D$1-24-112-10-112-40-8-112-112-112-112-112-112-112-112-112-112-112-112</f>
        <v>16</v>
      </c>
      <c r="G13" s="420" t="s">
        <v>308</v>
      </c>
      <c r="H13" s="401">
        <v>2</v>
      </c>
      <c r="I13" s="335">
        <v>10.199999999999999</v>
      </c>
      <c r="J13" s="520">
        <f t="shared" si="11"/>
        <v>1.3989573635602419</v>
      </c>
      <c r="K13" s="330">
        <f t="shared" si="12"/>
        <v>40.799999999999997</v>
      </c>
      <c r="L13" s="330">
        <f t="shared" si="13"/>
        <v>91.8</v>
      </c>
      <c r="M13" s="421">
        <v>7.6</v>
      </c>
      <c r="N13" s="478">
        <f t="shared" si="14"/>
        <v>95</v>
      </c>
      <c r="O13" s="478">
        <v>6</v>
      </c>
      <c r="P13" s="534">
        <f t="shared" si="15"/>
        <v>0.92582009977255142</v>
      </c>
      <c r="Q13" s="534">
        <f t="shared" si="16"/>
        <v>0.99928545900129484</v>
      </c>
      <c r="R13" s="351">
        <v>102640</v>
      </c>
      <c r="S13" s="660">
        <f t="shared" si="2"/>
        <v>-2620</v>
      </c>
      <c r="T13" s="351">
        <v>10060</v>
      </c>
      <c r="U13" s="343">
        <f t="shared" si="3"/>
        <v>10.202783300198806</v>
      </c>
      <c r="V13" s="519">
        <v>0</v>
      </c>
      <c r="W13" s="520">
        <f>7+0.11</f>
        <v>7.11</v>
      </c>
      <c r="X13" s="519">
        <f>10+0.1*0.5+0.1*0.5+0.1*0.5+0.1*0.5+0.1*0.5</f>
        <v>10.250000000000004</v>
      </c>
      <c r="Y13" s="520">
        <f>12+0.165+0.15+0.15+0.15+0.13+0.13+0.12+0.11+0.1+0.1</f>
        <v>13.305</v>
      </c>
      <c r="Z13" s="519">
        <f>6.1+0.33+0.3+0.3+0.25+0.25+0.25+0.25+0.25+0.2+0.2+0.2+0.2+0.15+0.13+0.13+0.13+0.12+0.12+0.11+0.1+0.08+0.07+0.07+0.07</f>
        <v>10.359999999999998</v>
      </c>
      <c r="AA13" s="520">
        <f>2.7+0.06+0.33+0.33+0.33+0.33+0.33+0.33+0.33+0.25+0.17*0.5</f>
        <v>5.4050000000000002</v>
      </c>
      <c r="AB13" s="519">
        <f>11.48+0.6+0.6*1.25+0.5+0.5+0.39+0.39+0.39+0.3+0.3+0.3+0.25+0.25+0.25+0.25+0.2+0.2</f>
        <v>17.300000000000004</v>
      </c>
      <c r="AC13" s="351">
        <v>1615</v>
      </c>
      <c r="AD13" s="637">
        <f t="shared" si="4"/>
        <v>11.710658968350096</v>
      </c>
      <c r="AE13" s="637">
        <f t="shared" si="5"/>
        <v>12.648957363560246</v>
      </c>
      <c r="AF13" s="343">
        <f t="shared" si="17"/>
        <v>4.2271640454216568</v>
      </c>
      <c r="AG13" s="343">
        <f t="shared" si="18"/>
        <v>16.011128892458355</v>
      </c>
      <c r="AH13" s="343">
        <f t="shared" si="19"/>
        <v>12.712898700026791</v>
      </c>
      <c r="AI13" s="343">
        <f t="shared" si="6"/>
        <v>1.0211665890848196</v>
      </c>
      <c r="AJ13" s="343">
        <f t="shared" si="7"/>
        <v>1.0063270154492172</v>
      </c>
      <c r="AK13" s="338">
        <f t="shared" si="8"/>
        <v>18.187550908039334</v>
      </c>
      <c r="AL13" s="338">
        <f t="shared" si="9"/>
        <v>19.644800229015893</v>
      </c>
      <c r="AM13" s="478">
        <v>4</v>
      </c>
      <c r="AN13" s="478">
        <v>4</v>
      </c>
      <c r="AO13" s="624">
        <f t="shared" si="20"/>
        <v>0.157</v>
      </c>
      <c r="AP13" s="272">
        <v>105260</v>
      </c>
      <c r="AQ13">
        <f t="shared" si="21"/>
        <v>105260</v>
      </c>
      <c r="AR13" s="422">
        <f t="shared" si="22"/>
        <v>2620</v>
      </c>
    </row>
    <row r="14" spans="1:44" s="288" customFormat="1" x14ac:dyDescent="0.25">
      <c r="A14" s="416" t="s">
        <v>449</v>
      </c>
      <c r="B14" s="416" t="s">
        <v>66</v>
      </c>
      <c r="C14" s="417">
        <f t="shared" ca="1" si="10"/>
        <v>6.7232142857142856</v>
      </c>
      <c r="D14" s="691" t="s">
        <v>600</v>
      </c>
      <c r="E14" s="419">
        <v>27</v>
      </c>
      <c r="F14" s="229">
        <f ca="1">7-41471+$D$1-112-111-112+4-112-116-112-112-112-112-112-112-112-112-112</f>
        <v>31</v>
      </c>
      <c r="G14" s="420" t="s">
        <v>595</v>
      </c>
      <c r="H14" s="401">
        <v>2</v>
      </c>
      <c r="I14" s="335">
        <v>8.6</v>
      </c>
      <c r="J14" s="520">
        <f t="shared" si="11"/>
        <v>1.3096949773860913</v>
      </c>
      <c r="K14" s="330">
        <f t="shared" si="12"/>
        <v>34.4</v>
      </c>
      <c r="L14" s="330">
        <f t="shared" si="13"/>
        <v>77.399999999999991</v>
      </c>
      <c r="M14" s="421">
        <v>7.9</v>
      </c>
      <c r="N14" s="478">
        <f t="shared" si="14"/>
        <v>98</v>
      </c>
      <c r="O14" s="478">
        <v>3</v>
      </c>
      <c r="P14" s="534">
        <f t="shared" si="15"/>
        <v>0.65465367070797709</v>
      </c>
      <c r="Q14" s="534">
        <f t="shared" si="16"/>
        <v>0.75498344352707503</v>
      </c>
      <c r="R14" s="351">
        <v>162390</v>
      </c>
      <c r="S14" s="660">
        <f t="shared" si="2"/>
        <v>3830</v>
      </c>
      <c r="T14" s="351">
        <v>12550</v>
      </c>
      <c r="U14" s="343">
        <f t="shared" si="3"/>
        <v>12.939442231075697</v>
      </c>
      <c r="V14" s="519">
        <v>0</v>
      </c>
      <c r="W14" s="520">
        <f>8+0.12</f>
        <v>8.1199999999999992</v>
      </c>
      <c r="X14" s="519">
        <f>8.4+0.22+0.22+(0.22*75/90)+(0.05*15/90)+0.17+0.17+0.17+0.17+0.17+1/7+0.16+0.16+0.16+0.125+0.16+0.16+0.14+0.14+0.05*61/90+0.11+0.11*0.5+0.11+0.11+0.11+0.1+0.1</f>
        <v>11.958412698412697</v>
      </c>
      <c r="Y14" s="520">
        <f>10.6+0.21+0.2+0.18+0.17+0.17+0.03+0.15+0.15+0.14+0.13</f>
        <v>12.13</v>
      </c>
      <c r="Z14" s="519">
        <f>6+0.33+0.33+0.33+0.3+0.25+0.25+0.24+0.24+0.23+0.2+0.2+0.18+0.15+0.15+0.15+0.15+0.13+0.13+0.12+0.1+0.08</f>
        <v>10.24</v>
      </c>
      <c r="AA14" s="520">
        <f>4.7+0.33+0.33+(0.33*85/90)+0.33+0.32+0.3+0.3+0.27+0.21+0.15*0.5</f>
        <v>7.4766666666666666</v>
      </c>
      <c r="AB14" s="519">
        <f>9+0.67+0.67+0.67+0.55+0.55+0.45+0.45*70/90+0.4+0.35+0.35+0.3+0.25+0.25+0.25+0.21</f>
        <v>15.270000000000001</v>
      </c>
      <c r="AC14" s="351">
        <v>1694</v>
      </c>
      <c r="AD14" s="637">
        <f t="shared" si="4"/>
        <v>9.340669064018341</v>
      </c>
      <c r="AE14" s="637">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78">
        <v>3</v>
      </c>
      <c r="AN14" s="478">
        <v>2</v>
      </c>
      <c r="AO14" s="624">
        <f t="shared" si="20"/>
        <v>0.1158</v>
      </c>
      <c r="AP14" s="288">
        <v>158560</v>
      </c>
      <c r="AQ14">
        <f t="shared" si="21"/>
        <v>158560</v>
      </c>
      <c r="AR14" s="422">
        <f t="shared" si="22"/>
        <v>-3830</v>
      </c>
    </row>
    <row r="15" spans="1:44" s="289" customFormat="1" x14ac:dyDescent="0.25">
      <c r="A15" s="416" t="s">
        <v>446</v>
      </c>
      <c r="B15" s="285" t="s">
        <v>65</v>
      </c>
      <c r="C15" s="417">
        <f t="shared" ca="1" si="10"/>
        <v>4.75</v>
      </c>
      <c r="D15" s="692" t="s">
        <v>752</v>
      </c>
      <c r="E15" s="228">
        <v>29</v>
      </c>
      <c r="F15" s="229">
        <f ca="1">7-41471+$D$1-112-111-3-112-112-112-112-112-112-112-112-112-112-112-112</f>
        <v>28</v>
      </c>
      <c r="G15" s="420" t="s">
        <v>308</v>
      </c>
      <c r="H15" s="401">
        <v>3</v>
      </c>
      <c r="I15" s="232">
        <v>10.4</v>
      </c>
      <c r="J15" s="520">
        <f t="shared" si="11"/>
        <v>1.4092064684486303</v>
      </c>
      <c r="K15" s="330">
        <f t="shared" si="12"/>
        <v>93.600000000000009</v>
      </c>
      <c r="L15" s="330">
        <f t="shared" si="13"/>
        <v>166.4</v>
      </c>
      <c r="M15" s="323">
        <v>7.9</v>
      </c>
      <c r="N15" s="478">
        <f t="shared" si="14"/>
        <v>98</v>
      </c>
      <c r="O15" s="479">
        <v>6</v>
      </c>
      <c r="P15" s="534">
        <f t="shared" si="15"/>
        <v>0.92582009977255142</v>
      </c>
      <c r="Q15" s="534">
        <f t="shared" si="16"/>
        <v>0.99928545900129484</v>
      </c>
      <c r="R15" s="351">
        <v>216160</v>
      </c>
      <c r="S15" s="660">
        <f t="shared" si="2"/>
        <v>5420</v>
      </c>
      <c r="T15" s="661">
        <v>21080</v>
      </c>
      <c r="U15" s="343">
        <f t="shared" si="3"/>
        <v>10.25426944971537</v>
      </c>
      <c r="V15" s="519">
        <v>0</v>
      </c>
      <c r="W15" s="520">
        <f>5.6+0.26+0.26+0.26+(0.26*23/90)+(0.05*(90-23)/90)+0.26+0.26+0.23+0.23+0.22+0.15+0.15+0.14+0.13+0.13+0.13+0.12+0.12+0.12+0.02+0.1+0.1+0.1</f>
        <v>9.1936666666666653</v>
      </c>
      <c r="X15" s="519">
        <f>13+0.1+0.1+0.1+0.1+0.1</f>
        <v>13.499999999999998</v>
      </c>
      <c r="Y15" s="520">
        <f>11.58+0.17+(0.17/2)+0.17+0.15+0.03+0.15+0.14+0.13+0.12</f>
        <v>12.725000000000001</v>
      </c>
      <c r="Z15" s="519">
        <f>5.21+0.4+0.4+0.33+0.33+0.33+0.33+0.3+0.3+0.23+0.23+0.22*30/90+0.15+0.15+0.15+0.13+0.12+0.11+0.11+0.08+0.07+0.07+0.07</f>
        <v>9.6733333333333356</v>
      </c>
      <c r="AA15" s="520">
        <f>2.9+0.33+(0.33*46/90)+0.03+0.07+0.07+(0.33*33/90)+0.33+0.33+0.33+0.25+0.2*0.5</f>
        <v>5.0296666666666656</v>
      </c>
      <c r="AB15" s="519">
        <f>15+0.2</f>
        <v>15.2</v>
      </c>
      <c r="AC15" s="351">
        <v>1791</v>
      </c>
      <c r="AD15" s="637">
        <f t="shared" si="4"/>
        <v>14.72906311992123</v>
      </c>
      <c r="AE15" s="637">
        <f t="shared" si="5"/>
        <v>15.909206468448629</v>
      </c>
      <c r="AF15" s="343">
        <f t="shared" si="17"/>
        <v>4.312927465355342</v>
      </c>
      <c r="AG15" s="343">
        <f t="shared" si="18"/>
        <v>14.385941686346632</v>
      </c>
      <c r="AH15" s="343">
        <f t="shared" si="19"/>
        <v>11.247695810126748</v>
      </c>
      <c r="AI15" s="343">
        <f t="shared" si="6"/>
        <v>0.94021985080922366</v>
      </c>
      <c r="AJ15" s="343">
        <f t="shared" si="7"/>
        <v>1.0273911194580709</v>
      </c>
      <c r="AK15" s="338">
        <f t="shared" si="8"/>
        <v>16.25373882653081</v>
      </c>
      <c r="AL15" s="338">
        <f t="shared" si="9"/>
        <v>17.556044452398375</v>
      </c>
      <c r="AM15" s="479">
        <v>3</v>
      </c>
      <c r="AN15" s="479">
        <v>3</v>
      </c>
      <c r="AO15" s="624">
        <f t="shared" si="20"/>
        <v>0.1158</v>
      </c>
      <c r="AP15" s="289">
        <v>210740</v>
      </c>
      <c r="AQ15">
        <f t="shared" si="21"/>
        <v>210740</v>
      </c>
      <c r="AR15" s="422">
        <f t="shared" si="22"/>
        <v>-5420</v>
      </c>
    </row>
    <row r="16" spans="1:44" x14ac:dyDescent="0.25">
      <c r="A16" s="332" t="s">
        <v>447</v>
      </c>
      <c r="B16" s="416" t="s">
        <v>65</v>
      </c>
      <c r="C16" s="417">
        <f t="shared" ca="1" si="10"/>
        <v>2.4464285714285716</v>
      </c>
      <c r="D16" s="691" t="s">
        <v>325</v>
      </c>
      <c r="E16" s="419">
        <v>31</v>
      </c>
      <c r="F16" s="427">
        <f ca="1">33-41471+$D$1-112+6-112-112-112-112-112-112-112-112-112-112-112-112-112</f>
        <v>62</v>
      </c>
      <c r="G16" s="420" t="s">
        <v>308</v>
      </c>
      <c r="H16" s="426">
        <v>4</v>
      </c>
      <c r="I16" s="335">
        <v>11</v>
      </c>
      <c r="J16" s="520">
        <f t="shared" si="11"/>
        <v>1.4389083280634998</v>
      </c>
      <c r="K16" s="330">
        <f t="shared" si="12"/>
        <v>176</v>
      </c>
      <c r="L16" s="330">
        <f t="shared" si="13"/>
        <v>275</v>
      </c>
      <c r="M16" s="421">
        <v>7.1</v>
      </c>
      <c r="N16" s="478">
        <f t="shared" si="14"/>
        <v>90</v>
      </c>
      <c r="O16" s="478">
        <v>6</v>
      </c>
      <c r="P16" s="534">
        <f t="shared" si="15"/>
        <v>0.92582009977255142</v>
      </c>
      <c r="Q16" s="534">
        <f t="shared" si="16"/>
        <v>0.99928545900129484</v>
      </c>
      <c r="R16" s="351">
        <v>105790</v>
      </c>
      <c r="S16" s="660">
        <f t="shared" si="2"/>
        <v>-1110</v>
      </c>
      <c r="T16" s="351">
        <v>16970</v>
      </c>
      <c r="U16" s="343">
        <f t="shared" si="3"/>
        <v>6.2339422510312312</v>
      </c>
      <c r="V16" s="519">
        <v>0</v>
      </c>
      <c r="W16" s="520">
        <f>5.25+0.25+0.25+0.25+0.24+0.24+0.24+0.24+0.23+0.22+0.17+(0.17*25/90)+0.16+0.16+0.03+0.15+0.14+0.14+0.13+0.02+0.11*33/90+0.01</f>
        <v>8.6075555555555585</v>
      </c>
      <c r="X16" s="519">
        <f>11.65+0.13+0.13+0.13+0.11+0.11+0.11+0.1+0.1+0.1+0.1+0.1+0.1+0.1+0.1+0.1+0.1+0.091*83/90+0.091+0.091+0.091+0.091+0.091+0.091+1/21+1/21</f>
        <v>14.09516031746031</v>
      </c>
      <c r="Y16" s="520">
        <v>9.99</v>
      </c>
      <c r="Z16" s="519">
        <f>6.01+0.25+0.25+0.25+0.25+0.25+0.25+0.25+0.25+0.24+0.21+0.2+0.2+0.15+0.13+0.13+0.12+0.11+0.11+0.11+0.1+0.08+0.07+0.06+0.06</f>
        <v>10.09</v>
      </c>
      <c r="AA16" s="520">
        <f>3.79+0.04+0.04+0.03+0.03+0.21+0.03+0.03+0.2*45/90+0.2*0.5</f>
        <v>4.3999999999999995</v>
      </c>
      <c r="AB16" s="519">
        <f>10.7+0.5+0.5*80/90+0.5+0.45+0.45+0.45+0.45+0.35+0.3+0.3+0.25+0.25+0.25+0.25+0.25+0.2+0.2</f>
        <v>16.544444444444441</v>
      </c>
      <c r="AC16" s="351">
        <v>1778</v>
      </c>
      <c r="AD16" s="637">
        <f t="shared" si="4"/>
        <v>15.307573083045067</v>
      </c>
      <c r="AE16" s="637">
        <f t="shared" si="5"/>
        <v>16.53406864552381</v>
      </c>
      <c r="AF16" s="343">
        <f t="shared" si="17"/>
        <v>4.3518498451478385</v>
      </c>
      <c r="AG16" s="343">
        <f t="shared" si="18"/>
        <v>14.16359570123506</v>
      </c>
      <c r="AH16" s="343">
        <f t="shared" si="19"/>
        <v>11.944107976065657</v>
      </c>
      <c r="AI16" s="343">
        <f t="shared" si="6"/>
        <v>0.95144599957841314</v>
      </c>
      <c r="AJ16" s="343">
        <f t="shared" si="7"/>
        <v>1.0463591385200004</v>
      </c>
      <c r="AK16" s="338">
        <f t="shared" si="8"/>
        <v>17.528522345576995</v>
      </c>
      <c r="AL16" s="338">
        <f t="shared" si="9"/>
        <v>18.932968024655409</v>
      </c>
      <c r="AM16" s="478">
        <v>2</v>
      </c>
      <c r="AN16" s="478">
        <v>2</v>
      </c>
      <c r="AO16" s="624">
        <f t="shared" si="20"/>
        <v>6.1499999999999999E-2</v>
      </c>
      <c r="AP16">
        <v>106900</v>
      </c>
      <c r="AQ16">
        <f t="shared" si="21"/>
        <v>106900</v>
      </c>
      <c r="AR16" s="422">
        <f t="shared" si="22"/>
        <v>1110</v>
      </c>
    </row>
    <row r="17" spans="1:44" s="4" customFormat="1" x14ac:dyDescent="0.25">
      <c r="A17" s="416" t="s">
        <v>444</v>
      </c>
      <c r="B17" s="416" t="s">
        <v>65</v>
      </c>
      <c r="C17" s="417">
        <f t="shared" ca="1" si="10"/>
        <v>3.5</v>
      </c>
      <c r="D17" s="691" t="s">
        <v>312</v>
      </c>
      <c r="E17" s="419">
        <v>30</v>
      </c>
      <c r="F17" s="427">
        <f ca="1">33-41471+$D$1-112-112-112-112-112-112-112-112-112-112-112-112-112-112</f>
        <v>56</v>
      </c>
      <c r="G17" s="420"/>
      <c r="H17" s="401">
        <v>3</v>
      </c>
      <c r="I17" s="335">
        <v>9</v>
      </c>
      <c r="J17" s="520">
        <f t="shared" si="11"/>
        <v>1.3333333333333333</v>
      </c>
      <c r="K17" s="330">
        <f t="shared" si="12"/>
        <v>81</v>
      </c>
      <c r="L17" s="330">
        <f t="shared" si="13"/>
        <v>144</v>
      </c>
      <c r="M17" s="421">
        <v>7.3</v>
      </c>
      <c r="N17" s="478">
        <f t="shared" si="14"/>
        <v>92</v>
      </c>
      <c r="O17" s="478">
        <v>6</v>
      </c>
      <c r="P17" s="534">
        <f t="shared" si="15"/>
        <v>0.92582009977255142</v>
      </c>
      <c r="Q17" s="534">
        <f t="shared" si="16"/>
        <v>0.99928545900129484</v>
      </c>
      <c r="R17" s="351">
        <v>80420</v>
      </c>
      <c r="S17" s="660">
        <f t="shared" si="2"/>
        <v>3440</v>
      </c>
      <c r="T17" s="351">
        <v>11270</v>
      </c>
      <c r="U17" s="343">
        <f t="shared" si="3"/>
        <v>7.1357586512866016</v>
      </c>
      <c r="V17" s="519">
        <v>0</v>
      </c>
      <c r="W17" s="520">
        <f>7.5+0.2+0.2+0.2+0.2+0.2+0.16+0.16+0.14+0.14+0.13+0.13+0.12+0.12+0.12+0.12+0.11+0.1+0.1+0.1+0.1</f>
        <v>10.349999999999996</v>
      </c>
      <c r="X17" s="519">
        <f>10.8+0.08+(0.16*77/90)+0.08+0.07+((0.07*37/90)+0.14*53/90)+(0.07*23/90)+0.06+0.06+0.06+0.06+0.06+0.12+0.1+0.1+0.1*0.5*32/90+0.1*0.5+0.1+0.1+0.1+0.1*0.16+0.1*0.5+0.1+0.1+0.1+0.1</f>
        <v>12.749777777777778</v>
      </c>
      <c r="Y17" s="520">
        <f>4.85+0.05+0.05+0.05+0.03+0.03+0.02+0.02+0.02</f>
        <v>5.1199999999999983</v>
      </c>
      <c r="Z17" s="519">
        <f>8.95+0.08+0.07+0.07+0.07</f>
        <v>9.24</v>
      </c>
      <c r="AA17" s="520">
        <v>2.98</v>
      </c>
      <c r="AB17" s="519">
        <f>11+0.5+0.5+0.5+0.45+0.45+0.45+0.4+0.35+0.33+0.33+0.3+0.3+0.3+0.2+0.2+0.2+0.2</f>
        <v>16.959999999999997</v>
      </c>
      <c r="AC17" s="351">
        <v>1451</v>
      </c>
      <c r="AD17" s="637">
        <f t="shared" si="4"/>
        <v>13.964247433769369</v>
      </c>
      <c r="AE17" s="637">
        <f t="shared" si="5"/>
        <v>15.083111111111112</v>
      </c>
      <c r="AF17" s="343">
        <f t="shared" si="17"/>
        <v>4.3201080405636683</v>
      </c>
      <c r="AG17" s="343">
        <f t="shared" si="18"/>
        <v>11.976840860037615</v>
      </c>
      <c r="AH17" s="343">
        <f t="shared" si="19"/>
        <v>11.81901939369639</v>
      </c>
      <c r="AI17" s="343">
        <f t="shared" si="6"/>
        <v>0.88446666666666651</v>
      </c>
      <c r="AJ17" s="343">
        <f t="shared" si="7"/>
        <v>1.1211333333333333</v>
      </c>
      <c r="AK17" s="338">
        <f t="shared" si="8"/>
        <v>17.805671518976791</v>
      </c>
      <c r="AL17" s="338">
        <f t="shared" si="9"/>
        <v>19.232323345919099</v>
      </c>
      <c r="AM17" s="478">
        <v>4</v>
      </c>
      <c r="AN17" s="478">
        <v>1</v>
      </c>
      <c r="AO17" s="624">
        <f t="shared" si="20"/>
        <v>0.157</v>
      </c>
      <c r="AP17" s="4">
        <v>76980</v>
      </c>
      <c r="AQ17">
        <f t="shared" si="21"/>
        <v>76980</v>
      </c>
      <c r="AR17" s="422">
        <f t="shared" si="22"/>
        <v>-3440</v>
      </c>
    </row>
    <row r="18" spans="1:44" s="288" customFormat="1" x14ac:dyDescent="0.25">
      <c r="A18" s="332" t="s">
        <v>451</v>
      </c>
      <c r="B18" s="285" t="s">
        <v>65</v>
      </c>
      <c r="C18" s="417">
        <f t="shared" ca="1" si="10"/>
        <v>3.7232142857142856</v>
      </c>
      <c r="D18" s="692" t="s">
        <v>440</v>
      </c>
      <c r="E18" s="228">
        <v>30</v>
      </c>
      <c r="F18" s="229">
        <f ca="1">7-41471+$D$1-112-111-112-112-112-112-112-112-112-112-112-112-112-112</f>
        <v>31</v>
      </c>
      <c r="G18" s="287"/>
      <c r="H18" s="401">
        <v>0</v>
      </c>
      <c r="I18" s="232">
        <v>8</v>
      </c>
      <c r="J18" s="520">
        <f t="shared" si="11"/>
        <v>1.2723233459190999</v>
      </c>
      <c r="K18" s="330">
        <f t="shared" si="12"/>
        <v>0</v>
      </c>
      <c r="L18" s="330">
        <f t="shared" si="13"/>
        <v>8</v>
      </c>
      <c r="M18" s="323">
        <v>7.5</v>
      </c>
      <c r="N18" s="478">
        <f t="shared" si="14"/>
        <v>94</v>
      </c>
      <c r="O18" s="479">
        <v>7</v>
      </c>
      <c r="P18" s="534">
        <f t="shared" si="15"/>
        <v>1</v>
      </c>
      <c r="Q18" s="534">
        <f t="shared" si="16"/>
        <v>1</v>
      </c>
      <c r="R18" s="351">
        <v>87770</v>
      </c>
      <c r="S18" s="660">
        <f t="shared" si="2"/>
        <v>1040</v>
      </c>
      <c r="T18" s="661">
        <v>20790</v>
      </c>
      <c r="U18" s="343">
        <f t="shared" si="3"/>
        <v>4.2217412217412216</v>
      </c>
      <c r="V18" s="519">
        <v>0</v>
      </c>
      <c r="W18" s="520">
        <f>3.4+0.06+0.06+0.06+0.06+0.06+0.06+0.06+0.06+(0.06*40/90)+(0.25*35/90)+0.06+(0.25*35/90)+0.05+0.25+0.05+0.05+0.22+0.2+0.15+0.15</f>
        <v>5.2811111111111115</v>
      </c>
      <c r="X18" s="519">
        <f>11.7+0.13+0.13+0.13+0.12+0.12+0.12+0.1+0.1+0.1+0.1+0.1+0.1+0.091+0.091*33/90+0.1+0.091+0.091+0.091+0.091+0.091+0.091+0.091+0.092+1/21+1/21+1/21+1/21</f>
        <v>14.193842857142847</v>
      </c>
      <c r="Y18" s="520">
        <f>3.0625+0.06+0.06+0.06+0.05+0.05+0.05+0.04+0.03+0.03</f>
        <v>3.4924999999999993</v>
      </c>
      <c r="Z18" s="519">
        <f>4.21+0.4+0.4+0.4+0.33+0.33+0.33+0.15+0.33+0.3+0.25+0.2+0.22+0.15+0.15+0.15+0.02+0.15+0.14+0.13+0.11+0.08+0.07+0.07+0.07</f>
        <v>9.1400000000000041</v>
      </c>
      <c r="AA18" s="520">
        <f>5.75+0.28+(0.28*44/90)+0.28+0.28+0.28+0.04+0.04+0.25+0.02+0.15*0.5</f>
        <v>7.4318888888888894</v>
      </c>
      <c r="AB18" s="519">
        <f>11+0.67+0.5+0.5+0.5+0.45+0.35+0.3+0.3+0.3+0.3+0.25+0.25+0.2+0.2</f>
        <v>16.07</v>
      </c>
      <c r="AC18" s="351">
        <v>1497</v>
      </c>
      <c r="AD18" s="637">
        <f t="shared" si="4"/>
        <v>16.466166203061949</v>
      </c>
      <c r="AE18" s="637">
        <f t="shared" si="5"/>
        <v>16.466166203061949</v>
      </c>
      <c r="AF18" s="343">
        <f t="shared" si="17"/>
        <v>3.9847601436085522</v>
      </c>
      <c r="AG18" s="343">
        <f t="shared" si="18"/>
        <v>19.702270150036767</v>
      </c>
      <c r="AH18" s="343">
        <f t="shared" si="19"/>
        <v>13.478566666666666</v>
      </c>
      <c r="AI18" s="343">
        <f t="shared" si="6"/>
        <v>1.0754803121179726</v>
      </c>
      <c r="AJ18" s="343">
        <f t="shared" si="7"/>
        <v>0.88740707865878155</v>
      </c>
      <c r="AK18" s="338">
        <f t="shared" si="8"/>
        <v>18.274119982655925</v>
      </c>
      <c r="AL18" s="338">
        <f t="shared" si="9"/>
        <v>18.274119982655925</v>
      </c>
      <c r="AM18" s="479">
        <v>2</v>
      </c>
      <c r="AN18" s="479">
        <v>1</v>
      </c>
      <c r="AO18" s="624">
        <f t="shared" si="20"/>
        <v>6.1499999999999999E-2</v>
      </c>
      <c r="AP18" s="288">
        <v>86730</v>
      </c>
      <c r="AQ18">
        <f t="shared" si="21"/>
        <v>86730</v>
      </c>
      <c r="AR18" s="422">
        <f t="shared" si="22"/>
        <v>-1040</v>
      </c>
    </row>
    <row r="19" spans="1:44" s="289" customFormat="1" ht="14.25" customHeight="1" x14ac:dyDescent="0.25">
      <c r="A19" s="332" t="s">
        <v>598</v>
      </c>
      <c r="B19" s="285" t="s">
        <v>65</v>
      </c>
      <c r="C19" s="417">
        <f t="shared" ca="1" si="10"/>
        <v>5.1696428571428568</v>
      </c>
      <c r="D19" s="692" t="s">
        <v>454</v>
      </c>
      <c r="E19" s="228">
        <v>28</v>
      </c>
      <c r="F19" s="229">
        <f ca="1">59-41471+$D$1-325-112-112-112-112-112-112-112-112-112-112-112</f>
        <v>93</v>
      </c>
      <c r="G19" s="287"/>
      <c r="H19" s="401">
        <v>2</v>
      </c>
      <c r="I19" s="232">
        <v>4</v>
      </c>
      <c r="J19" s="520">
        <f t="shared" si="11"/>
        <v>0.93196000578135851</v>
      </c>
      <c r="K19" s="330">
        <f t="shared" si="12"/>
        <v>16</v>
      </c>
      <c r="L19" s="330">
        <f t="shared" si="13"/>
        <v>36</v>
      </c>
      <c r="M19" s="323">
        <v>7.1</v>
      </c>
      <c r="N19" s="478">
        <f t="shared" si="14"/>
        <v>90</v>
      </c>
      <c r="O19" s="479">
        <v>5</v>
      </c>
      <c r="P19" s="534">
        <f t="shared" si="15"/>
        <v>0.84515425472851657</v>
      </c>
      <c r="Q19" s="534">
        <f t="shared" si="16"/>
        <v>0.92504826128926143</v>
      </c>
      <c r="R19" s="351">
        <v>29860</v>
      </c>
      <c r="S19" s="660">
        <f t="shared" si="2"/>
        <v>2830</v>
      </c>
      <c r="T19" s="661">
        <v>3310</v>
      </c>
      <c r="U19" s="343">
        <f t="shared" si="3"/>
        <v>9.021148036253777</v>
      </c>
      <c r="V19" s="519">
        <v>0</v>
      </c>
      <c r="W19" s="520">
        <f>4.45+0.06+0.2+0.06+0.06+(0.06*68/90)+0.06+0.06+0.06+0.04+(0.22*35/90)+0.04+0.04+0.04+0.04+0.04+0.04*0.5+0.2*66/90+0.02+0.12*33/90+0.02</f>
        <v>5.6315555555555523</v>
      </c>
      <c r="X19" s="519">
        <f>8.7+0.13+0.13+0.13+0.08+(0.08*53/90)+0.02+0.01+0.02+(0.13*30/90)+(0.13*60/90*0.16)+0.02+0.02+0.143*0.5+0.143*57/90+0.143*61/90*0.5+0.02+0.143*0.5+0.14+0.01+0.01</f>
        <v>9.8263388888888876</v>
      </c>
      <c r="Y19" s="520">
        <f>6.8+0.04+0.04+0.04+0.03+0.03+0.03*17/90+0.18*33/90+0.03*3/90</f>
        <v>7.0526666666666671</v>
      </c>
      <c r="Z19" s="519">
        <f>5.2+0.38+0.38+0.33+0.3+0.3+0.3+0.3+0.28+0.25+0.2+0.2+0.15+0.15*40/90+0.14+0.13+0.12+0.12+0.11+0.01</f>
        <v>9.2666666666666639</v>
      </c>
      <c r="AA19" s="520">
        <f>3.07+0.07+0.07+0.07+0.07+0.07+(0.07*28/90)+0.07+0.03</f>
        <v>3.5417777777777766</v>
      </c>
      <c r="AB19" s="519">
        <f>10+0.65+0.65+0.5+0.4+0.25</f>
        <v>12.450000000000001</v>
      </c>
      <c r="AC19" s="351">
        <v>962</v>
      </c>
      <c r="AD19" s="637">
        <f t="shared" si="4"/>
        <v>9.9375763392001719</v>
      </c>
      <c r="AE19" s="637">
        <f t="shared" si="5"/>
        <v>10.886069455819088</v>
      </c>
      <c r="AF19" s="343">
        <f t="shared" si="17"/>
        <v>3.3236503372666748</v>
      </c>
      <c r="AG19" s="343">
        <f t="shared" si="18"/>
        <v>8.8753728050518816</v>
      </c>
      <c r="AH19" s="343">
        <f t="shared" si="19"/>
        <v>8.2635238974165617</v>
      </c>
      <c r="AI19" s="343">
        <f t="shared" si="6"/>
        <v>0.74514568935139747</v>
      </c>
      <c r="AJ19" s="343">
        <f t="shared" si="7"/>
        <v>0.76899942262691712</v>
      </c>
      <c r="AK19" s="338">
        <f t="shared" si="8"/>
        <v>12.045769477128738</v>
      </c>
      <c r="AL19" s="338">
        <f t="shared" si="9"/>
        <v>13.195479330261239</v>
      </c>
      <c r="AM19" s="479">
        <v>1</v>
      </c>
      <c r="AN19" s="479">
        <v>2</v>
      </c>
      <c r="AO19" s="624">
        <f t="shared" si="20"/>
        <v>4.9399999999999999E-2</v>
      </c>
      <c r="AP19" s="289">
        <v>27030</v>
      </c>
      <c r="AQ19">
        <f t="shared" si="21"/>
        <v>27030</v>
      </c>
      <c r="AR19" s="422">
        <f t="shared" si="22"/>
        <v>-2830</v>
      </c>
    </row>
    <row r="20" spans="1:44" s="288" customFormat="1" x14ac:dyDescent="0.25">
      <c r="A20" s="331" t="s">
        <v>718</v>
      </c>
      <c r="B20" s="285" t="s">
        <v>65</v>
      </c>
      <c r="C20" s="417">
        <f t="shared" ca="1" si="10"/>
        <v>5.1071428571428568</v>
      </c>
      <c r="D20" s="692" t="s">
        <v>441</v>
      </c>
      <c r="E20" s="228">
        <v>28</v>
      </c>
      <c r="F20" s="229">
        <f ca="1">7-41471+$D$1-112-111-43-112-112-112-112-112-112-112-112-112-112-112</f>
        <v>100</v>
      </c>
      <c r="G20" s="287" t="s">
        <v>311</v>
      </c>
      <c r="H20" s="426">
        <v>4</v>
      </c>
      <c r="I20" s="232">
        <v>1.2</v>
      </c>
      <c r="J20" s="520">
        <f t="shared" si="11"/>
        <v>0.45656357442960838</v>
      </c>
      <c r="K20" s="330">
        <f t="shared" si="12"/>
        <v>19.2</v>
      </c>
      <c r="L20" s="330">
        <f t="shared" si="13"/>
        <v>30</v>
      </c>
      <c r="M20" s="323">
        <v>6.9</v>
      </c>
      <c r="N20" s="478">
        <f t="shared" si="14"/>
        <v>88</v>
      </c>
      <c r="O20" s="479">
        <v>5</v>
      </c>
      <c r="P20" s="534">
        <f t="shared" si="15"/>
        <v>0.84515425472851657</v>
      </c>
      <c r="Q20" s="534">
        <f t="shared" si="16"/>
        <v>0.92504826128926143</v>
      </c>
      <c r="R20" s="661">
        <v>5080</v>
      </c>
      <c r="S20" s="660">
        <f t="shared" si="2"/>
        <v>-300</v>
      </c>
      <c r="T20" s="661">
        <v>690</v>
      </c>
      <c r="U20" s="343">
        <f t="shared" si="3"/>
        <v>7.36231884057971</v>
      </c>
      <c r="V20" s="519">
        <v>0</v>
      </c>
      <c r="W20" s="520">
        <f>2+0.05+0.05+0.05+0.05+0.05+(0.25*31/90)+0.05+0.04+0.03+0.02</f>
        <v>2.47611111111111</v>
      </c>
      <c r="X20" s="519">
        <f>7.1+0.01+0.02+0.04+0.04+0.04+0.02+0.02</f>
        <v>7.2899999999999983</v>
      </c>
      <c r="Y20" s="520">
        <v>4.1588235294117641</v>
      </c>
      <c r="Z20" s="519">
        <f>6+(0.35/3)+(0.35/3)+0.32+(0.3*60/90)+0.3*61/90+0.04+0.04+0.06+0.15*29/90+0.12</f>
        <v>7.2649999999999988</v>
      </c>
      <c r="AA20" s="520">
        <f>4+0.06+0.06+0.06+0.06+0.06+0.03</f>
        <v>4.3299999999999983</v>
      </c>
      <c r="AB20" s="519">
        <f>9+0.5</f>
        <v>9.5</v>
      </c>
      <c r="AC20" s="351">
        <v>634</v>
      </c>
      <c r="AD20" s="637">
        <f t="shared" si="4"/>
        <v>7.3921954191826451</v>
      </c>
      <c r="AE20" s="637">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79">
        <v>0</v>
      </c>
      <c r="AN20" s="479">
        <v>2</v>
      </c>
      <c r="AO20" s="624">
        <f t="shared" si="20"/>
        <v>2.63E-2</v>
      </c>
      <c r="AP20" s="288">
        <v>5380</v>
      </c>
      <c r="AQ20">
        <f t="shared" si="21"/>
        <v>5380</v>
      </c>
      <c r="AR20" s="422">
        <f t="shared" si="22"/>
        <v>300</v>
      </c>
    </row>
    <row r="21" spans="1:44" s="288" customFormat="1" x14ac:dyDescent="0.25">
      <c r="A21" s="331" t="s">
        <v>762</v>
      </c>
      <c r="B21" s="416" t="s">
        <v>67</v>
      </c>
      <c r="C21" s="417">
        <f t="shared" ca="1" si="10"/>
        <v>5.4821428571428568</v>
      </c>
      <c r="D21" s="692" t="s">
        <v>1038</v>
      </c>
      <c r="E21" s="228">
        <v>28</v>
      </c>
      <c r="F21" s="229">
        <f ca="1">64-41471+$D$1-112-112-29-112-112-112-112-112-112-112-112-112-112-112-112</f>
        <v>58</v>
      </c>
      <c r="G21" s="287" t="s">
        <v>595</v>
      </c>
      <c r="H21" s="426">
        <v>1</v>
      </c>
      <c r="I21" s="232">
        <v>8.6</v>
      </c>
      <c r="J21" s="520">
        <f t="shared" si="11"/>
        <v>1.3096949773860913</v>
      </c>
      <c r="K21" s="330">
        <f t="shared" si="12"/>
        <v>8.6</v>
      </c>
      <c r="L21" s="330">
        <f t="shared" si="13"/>
        <v>34.4</v>
      </c>
      <c r="M21" s="323">
        <v>6.2</v>
      </c>
      <c r="N21" s="478">
        <f t="shared" si="14"/>
        <v>81</v>
      </c>
      <c r="O21" s="479">
        <v>6</v>
      </c>
      <c r="P21" s="534">
        <f t="shared" si="15"/>
        <v>0.92582009977255142</v>
      </c>
      <c r="Q21" s="534">
        <f t="shared" si="16"/>
        <v>0.99928545900129484</v>
      </c>
      <c r="R21" s="661">
        <v>285570</v>
      </c>
      <c r="S21" s="660">
        <f t="shared" si="2"/>
        <v>0</v>
      </c>
      <c r="T21" s="661">
        <f>42600</f>
        <v>42600</v>
      </c>
      <c r="U21" s="343">
        <f t="shared" si="3"/>
        <v>6.7035211267605632</v>
      </c>
      <c r="V21" s="519">
        <v>0</v>
      </c>
      <c r="W21" s="520">
        <v>2</v>
      </c>
      <c r="X21" s="519">
        <v>14.5</v>
      </c>
      <c r="Y21" s="520">
        <v>12</v>
      </c>
      <c r="Z21" s="519">
        <v>12</v>
      </c>
      <c r="AA21" s="520">
        <v>8</v>
      </c>
      <c r="AB21" s="519">
        <v>2</v>
      </c>
      <c r="AC21" s="351">
        <v>1782</v>
      </c>
      <c r="AD21" s="637">
        <f t="shared" ref="AD21" si="23">(X21+1+J21)*(O21/7)^0.5</f>
        <v>15.562753481109747</v>
      </c>
      <c r="AE21" s="637">
        <f t="shared" ref="AE21" si="24">(X21+1+J21)*(IF(O21=7, (O21/7)^0.5, ((O21+1)/7)^0.5))</f>
        <v>16.809694977386091</v>
      </c>
      <c r="AF21" s="343">
        <f t="shared" ref="AF21" si="25">(((W21+1.5+J21)+(Z21+1.5+J21)*2)/8)*(O21/7)^0.5</f>
        <v>3.9843923558710528</v>
      </c>
      <c r="AG21" s="343">
        <f t="shared" ref="AG21" si="26">(1.66*(AA21+J21+1.5)+0.55*(AB21+J21+1.5)-7.6)*(O21/7)^0.5</f>
        <v>12.025871582747696</v>
      </c>
      <c r="AH21" s="343">
        <f t="shared" ref="AH21" si="27">(AB21*0.7+AA21*0.3)*(O21/7)^0.5</f>
        <v>3.5181163791356953</v>
      </c>
      <c r="AI21" s="343">
        <f t="shared" ref="AI21" si="28">(0.5*(AA21+1.5+J21)+ 0.3*(AB21+1.5+J21))/10</f>
        <v>0.68477559819088729</v>
      </c>
      <c r="AJ21" s="343">
        <f t="shared" ref="AJ21" si="29">(0.4*(W21+1.5+J21)+0.3*(AB21+1.5+J21))/10</f>
        <v>0.33667864841702644</v>
      </c>
      <c r="AK21" s="338">
        <f t="shared" ref="AK21" si="30">(AB21+1+(LOG(I21)*4/3))*(O21/7)^0.5</f>
        <v>3.9310302318078074</v>
      </c>
      <c r="AL21" s="338">
        <f t="shared" ref="AL21" si="31">(AB21+1+(LOG(I21)*4/3))*(IF(O21=7, (O21/7)^0.5, ((O21+1)/7)^0.5))</f>
        <v>4.2459979349914239</v>
      </c>
      <c r="AM21" s="479">
        <v>3</v>
      </c>
      <c r="AN21" s="479">
        <v>3</v>
      </c>
      <c r="AO21" s="624">
        <f t="shared" si="20"/>
        <v>0.1158</v>
      </c>
      <c r="AP21" s="288">
        <v>285570</v>
      </c>
      <c r="AQ21">
        <f t="shared" si="21"/>
        <v>285570</v>
      </c>
      <c r="AR21" s="422">
        <f t="shared" si="22"/>
        <v>0</v>
      </c>
    </row>
    <row r="22" spans="1:44" s="272" customFormat="1" x14ac:dyDescent="0.25">
      <c r="A22" s="416" t="s">
        <v>599</v>
      </c>
      <c r="B22" s="416" t="s">
        <v>67</v>
      </c>
      <c r="C22" s="417">
        <f t="shared" ca="1" si="10"/>
        <v>4.3928571428571432</v>
      </c>
      <c r="D22" s="691" t="s">
        <v>327</v>
      </c>
      <c r="E22" s="419">
        <v>29</v>
      </c>
      <c r="F22" s="427">
        <f ca="1">74-41471+$D$1-112-112-29-112-112-112-112-112-112-112-112-112-112-112-112</f>
        <v>68</v>
      </c>
      <c r="G22" s="420" t="s">
        <v>336</v>
      </c>
      <c r="H22" s="401">
        <v>3</v>
      </c>
      <c r="I22" s="335">
        <v>10</v>
      </c>
      <c r="J22" s="520">
        <f t="shared" si="11"/>
        <v>1.3885235802109668</v>
      </c>
      <c r="K22" s="330">
        <f t="shared" si="12"/>
        <v>90</v>
      </c>
      <c r="L22" s="330">
        <f t="shared" si="13"/>
        <v>160</v>
      </c>
      <c r="M22" s="421">
        <v>7.5</v>
      </c>
      <c r="N22" s="478">
        <f t="shared" si="14"/>
        <v>94</v>
      </c>
      <c r="O22" s="478">
        <v>7</v>
      </c>
      <c r="P22" s="534">
        <f t="shared" si="15"/>
        <v>1</v>
      </c>
      <c r="Q22" s="534">
        <f t="shared" si="16"/>
        <v>1</v>
      </c>
      <c r="R22" s="351">
        <v>50990</v>
      </c>
      <c r="S22" s="660">
        <f t="shared" si="2"/>
        <v>190</v>
      </c>
      <c r="T22" s="351">
        <v>2360</v>
      </c>
      <c r="U22" s="343">
        <f t="shared" si="3"/>
        <v>21.60593220338983</v>
      </c>
      <c r="V22" s="519">
        <v>0</v>
      </c>
      <c r="W22" s="520">
        <f>5+(5/7)+0.07+0.21+0.07+0.07+0.07+0.07+0.07+0.07+0.06+0.03+0.03+0.03+0.03+0.03+0.2*33/90+0.03+0.03+0.02+0.02+0.01+0.01</f>
        <v>6.8176190476190497</v>
      </c>
      <c r="X22" s="519">
        <f>8+1/8*0.5+1/8*0.5+1/8+1/8*0.5</f>
        <v>8.3125</v>
      </c>
      <c r="Y22" s="520">
        <f>7.9+0.165+0.165+0.21+0.13+0.03+0.03+0.03+0.02+0.02+0.02</f>
        <v>8.7199999999999971</v>
      </c>
      <c r="Z22" s="519">
        <f>5.1+0.33+0.33+0.33+0.3+0.29+0.04+0.28+0.28+0.27+0.27+0.27+0.22+0.22+0.15+0.15+0.15+0.14+0.13+0.12+0.11+0.1+0.08+0.01+0.01+0.01</f>
        <v>9.6900000000000013</v>
      </c>
      <c r="AA22" s="520">
        <f>6.48+0.25+0.25+0.23+0.21+0.21+0.2+0.19+0.17+0.16+0.15+1/16</f>
        <v>8.5625000000000018</v>
      </c>
      <c r="AB22" s="519">
        <f>17.99+0.2+0.15+0.15+0.15</f>
        <v>18.639999999999993</v>
      </c>
      <c r="AC22" s="351">
        <v>1314</v>
      </c>
      <c r="AD22" s="637">
        <f t="shared" si="4"/>
        <v>10.701023580210967</v>
      </c>
      <c r="AE22" s="637">
        <f t="shared" si="5"/>
        <v>10.701023580210967</v>
      </c>
      <c r="AF22" s="343">
        <f t="shared" si="17"/>
        <v>4.3578987235314939</v>
      </c>
      <c r="AG22" s="343">
        <f t="shared" si="18"/>
        <v>23.249387112266234</v>
      </c>
      <c r="AH22" s="343">
        <f t="shared" si="19"/>
        <v>15.616749999999996</v>
      </c>
      <c r="AI22" s="343">
        <f t="shared" si="6"/>
        <v>1.2184068864168771</v>
      </c>
      <c r="AJ22" s="343">
        <f t="shared" si="7"/>
        <v>1.0341014125195296</v>
      </c>
      <c r="AK22" s="338">
        <f t="shared" si="8"/>
        <v>20.973333333333326</v>
      </c>
      <c r="AL22" s="338">
        <f t="shared" si="9"/>
        <v>20.973333333333326</v>
      </c>
      <c r="AM22" s="478">
        <v>4</v>
      </c>
      <c r="AN22" s="478">
        <v>2</v>
      </c>
      <c r="AO22" s="624">
        <f t="shared" si="20"/>
        <v>0.157</v>
      </c>
      <c r="AP22" s="272">
        <v>50800</v>
      </c>
      <c r="AQ22">
        <f t="shared" si="21"/>
        <v>50800</v>
      </c>
      <c r="AR22" s="422">
        <f t="shared" si="22"/>
        <v>-190</v>
      </c>
    </row>
    <row r="23" spans="1:44" s="284" customFormat="1" x14ac:dyDescent="0.25">
      <c r="A23" s="416" t="s">
        <v>702</v>
      </c>
      <c r="B23" s="416" t="s">
        <v>67</v>
      </c>
      <c r="C23" s="417">
        <f t="shared" ca="1" si="10"/>
        <v>3.7767857142857144</v>
      </c>
      <c r="D23" s="691" t="s">
        <v>1025</v>
      </c>
      <c r="E23" s="419">
        <v>30</v>
      </c>
      <c r="F23" s="229">
        <f ca="1">-41471+$D$1-748-112-112-12-112-112-112-22-112-112</f>
        <v>25</v>
      </c>
      <c r="G23" s="420" t="s">
        <v>308</v>
      </c>
      <c r="H23" s="401">
        <v>3</v>
      </c>
      <c r="I23" s="335">
        <v>10.1</v>
      </c>
      <c r="J23" s="520">
        <f t="shared" si="11"/>
        <v>1.3937639717155432</v>
      </c>
      <c r="K23" s="330">
        <f t="shared" si="12"/>
        <v>90.899999999999991</v>
      </c>
      <c r="L23" s="330">
        <f t="shared" si="13"/>
        <v>161.6</v>
      </c>
      <c r="M23" s="421">
        <v>7.5</v>
      </c>
      <c r="N23" s="478">
        <f t="shared" si="14"/>
        <v>94</v>
      </c>
      <c r="O23" s="478">
        <v>5</v>
      </c>
      <c r="P23" s="534">
        <f t="shared" si="15"/>
        <v>0.84515425472851657</v>
      </c>
      <c r="Q23" s="534">
        <f t="shared" si="16"/>
        <v>0.92504826128926143</v>
      </c>
      <c r="R23" s="351">
        <v>260020</v>
      </c>
      <c r="S23" s="660">
        <f t="shared" si="2"/>
        <v>-14380</v>
      </c>
      <c r="T23" s="351">
        <v>34128</v>
      </c>
      <c r="U23" s="343">
        <f t="shared" si="3"/>
        <v>7.6189639006094705</v>
      </c>
      <c r="V23" s="519">
        <v>0</v>
      </c>
      <c r="W23" s="520">
        <v>2</v>
      </c>
      <c r="X23" s="519">
        <f>14+0.09*0.16+0.09*0.5+0.09*0.16+0.01+0.01</f>
        <v>14.0938</v>
      </c>
      <c r="Y23" s="520">
        <v>3</v>
      </c>
      <c r="Z23" s="519">
        <f>15+0.01+0.01</f>
        <v>15.02</v>
      </c>
      <c r="AA23" s="520">
        <v>10</v>
      </c>
      <c r="AB23" s="519">
        <f>9+0.3</f>
        <v>9.3000000000000007</v>
      </c>
      <c r="AC23" s="351">
        <v>1915</v>
      </c>
      <c r="AD23" s="637">
        <f t="shared" si="4"/>
        <v>13.934534840803989</v>
      </c>
      <c r="AE23" s="637">
        <f t="shared" si="5"/>
        <v>15.264518121300007</v>
      </c>
      <c r="AF23" s="343">
        <f t="shared" si="17"/>
        <v>4.3019716400160144</v>
      </c>
      <c r="AG23" s="343">
        <f t="shared" si="18"/>
        <v>17.334298327147824</v>
      </c>
      <c r="AH23" s="343">
        <f t="shared" si="19"/>
        <v>8.0374169624681926</v>
      </c>
      <c r="AI23" s="343">
        <f t="shared" si="6"/>
        <v>1.0105011177372434</v>
      </c>
      <c r="AJ23" s="343">
        <f t="shared" si="7"/>
        <v>0.56156347802008799</v>
      </c>
      <c r="AK23" s="338">
        <f t="shared" si="8"/>
        <v>9.8368307999266413</v>
      </c>
      <c r="AL23" s="338">
        <f t="shared" si="9"/>
        <v>10.775708246962816</v>
      </c>
      <c r="AM23" s="478">
        <v>1</v>
      </c>
      <c r="AN23" s="478">
        <v>3</v>
      </c>
      <c r="AO23" s="624">
        <f t="shared" si="20"/>
        <v>4.9399999999999999E-2</v>
      </c>
      <c r="AP23" s="284">
        <v>274400</v>
      </c>
      <c r="AQ23">
        <f t="shared" si="21"/>
        <v>274400</v>
      </c>
      <c r="AR23" s="422">
        <f t="shared" si="22"/>
        <v>14380</v>
      </c>
    </row>
    <row r="24" spans="1:44" s="289" customFormat="1" x14ac:dyDescent="0.25">
      <c r="A24" s="416" t="s">
        <v>633</v>
      </c>
      <c r="B24" s="416" t="s">
        <v>67</v>
      </c>
      <c r="C24" s="417">
        <f t="shared" ca="1" si="10"/>
        <v>7.1160714285714288</v>
      </c>
      <c r="D24" s="692" t="s">
        <v>634</v>
      </c>
      <c r="E24" s="228">
        <v>26</v>
      </c>
      <c r="F24" s="229">
        <f ca="1">7-41471+$D$1-112-111-43-112-112-1-112-112-112-112-112-112-112-112-112</f>
        <v>99</v>
      </c>
      <c r="G24" s="287"/>
      <c r="H24" s="428">
        <v>5</v>
      </c>
      <c r="I24" s="232">
        <v>5.3</v>
      </c>
      <c r="J24" s="520">
        <f t="shared" si="11"/>
        <v>1.0657873992714422</v>
      </c>
      <c r="K24" s="330">
        <f t="shared" si="12"/>
        <v>132.5</v>
      </c>
      <c r="L24" s="330">
        <f t="shared" si="13"/>
        <v>190.79999999999998</v>
      </c>
      <c r="M24" s="323">
        <v>7.6</v>
      </c>
      <c r="N24" s="478">
        <f t="shared" si="14"/>
        <v>95</v>
      </c>
      <c r="O24" s="479">
        <v>5</v>
      </c>
      <c r="P24" s="534">
        <f t="shared" si="15"/>
        <v>0.84515425472851657</v>
      </c>
      <c r="Q24" s="534">
        <f t="shared" si="16"/>
        <v>0.92504826128926143</v>
      </c>
      <c r="R24" s="661">
        <v>32230</v>
      </c>
      <c r="S24" s="660">
        <f t="shared" si="2"/>
        <v>-5330</v>
      </c>
      <c r="T24" s="661">
        <v>3070</v>
      </c>
      <c r="U24" s="343">
        <f t="shared" si="3"/>
        <v>10.498371335504887</v>
      </c>
      <c r="V24" s="519">
        <v>0</v>
      </c>
      <c r="W24" s="520">
        <v>4</v>
      </c>
      <c r="X24" s="519">
        <f>4.6+0.05+0.05+0.05+0.04+0.04+0.16+(0.16*30/90)+(0.16*60/90*0.16)+0.04+0.04+0.04+0.25/8+0.04+0.04+0.04+0.04+0.04+0.04+0.02+0.02*10/90+0.02+0.02</f>
        <v>5.5138722222222212</v>
      </c>
      <c r="Y24" s="520">
        <f>4.9+0.25+0.05+0.05+0.05+0.04+0.03+0.03+0.03+0.02+0.02</f>
        <v>5.47</v>
      </c>
      <c r="Z24" s="519">
        <f>7.1+0.31+0.31+0.31+0.25+0.25+0.25+0.23+0.2+0.2+0.2+0.17+0.15+0.15+0.13+0.13+0.13+0.11+0.1+0.1+0.01+0.01</f>
        <v>10.799999999999999</v>
      </c>
      <c r="AA24" s="520">
        <f>6.5+0.25+0.25+0.25+0.24+0.24+0.22+0.21+0.18*1/90+0.16+1/16</f>
        <v>8.384500000000001</v>
      </c>
      <c r="AB24" s="519">
        <f>9+1*5/90+0.65+0.65*61/90+0.65*52/90+0.55+0.55*27/90+0.55+0.5+0.5+0.3+0.25*0.6+0.25+(0.2*36/90)</f>
        <v>13.566666666666668</v>
      </c>
      <c r="AC24" s="351">
        <v>962</v>
      </c>
      <c r="AD24" s="637">
        <f t="shared" si="4"/>
        <v>6.4059815784993068</v>
      </c>
      <c r="AE24" s="637">
        <f t="shared" si="5"/>
        <v>7.0174012270132424</v>
      </c>
      <c r="AF24" s="343">
        <f t="shared" si="17"/>
        <v>3.5176759165899054</v>
      </c>
      <c r="AG24" s="343">
        <f t="shared" si="18"/>
        <v>16.438526466985824</v>
      </c>
      <c r="AH24" s="343">
        <f t="shared" si="19"/>
        <v>10.152006993703187</v>
      </c>
      <c r="AI24" s="343">
        <f t="shared" si="6"/>
        <v>1.0314879919417155</v>
      </c>
      <c r="AJ24" s="343">
        <f t="shared" si="7"/>
        <v>0.74660511794900086</v>
      </c>
      <c r="AK24" s="338">
        <f t="shared" si="8"/>
        <v>13.127246754265796</v>
      </c>
      <c r="AL24" s="338">
        <f t="shared" si="9"/>
        <v>14.380178330495704</v>
      </c>
      <c r="AM24" s="479">
        <v>2</v>
      </c>
      <c r="AN24" s="479">
        <v>1</v>
      </c>
      <c r="AO24" s="624">
        <f t="shared" si="20"/>
        <v>6.1499999999999999E-2</v>
      </c>
      <c r="AP24" s="289">
        <v>37560</v>
      </c>
      <c r="AQ24">
        <f t="shared" si="21"/>
        <v>37560</v>
      </c>
      <c r="AR24" s="422">
        <f>AQ24-R24</f>
        <v>5330</v>
      </c>
    </row>
    <row r="25" spans="1:44" x14ac:dyDescent="0.25">
      <c r="G25" s="4"/>
      <c r="H25"/>
      <c r="I25" s="309"/>
      <c r="J25" s="521"/>
      <c r="K25"/>
      <c r="R25" s="262">
        <f>SUM(R5:R24)+R3</f>
        <v>2283840</v>
      </c>
      <c r="S25" s="262">
        <f>SUM(S5:S24)</f>
        <v>23010</v>
      </c>
      <c r="T25" s="262">
        <f>SUM(T5:T24)+T3</f>
        <v>301740</v>
      </c>
      <c r="U25" s="342">
        <f t="shared" si="3"/>
        <v>7.5689003778087098</v>
      </c>
      <c r="V25"/>
      <c r="AB25" s="339"/>
      <c r="AC25" s="262">
        <f>AVERAGE(AC5:AC24)</f>
        <v>1461.7</v>
      </c>
      <c r="AF25" s="262"/>
      <c r="AG25" s="262"/>
      <c r="AH25" s="262"/>
      <c r="AI25" s="262"/>
      <c r="AJ25" s="262"/>
      <c r="AK25" s="262"/>
      <c r="AL25" s="262"/>
    </row>
    <row r="26" spans="1:44" x14ac:dyDescent="0.25">
      <c r="G26" s="489"/>
      <c r="K26" s="489"/>
      <c r="M26" s="489"/>
      <c r="N26" s="489"/>
      <c r="O26" s="489"/>
      <c r="R26" s="340"/>
      <c r="S26" s="340"/>
      <c r="T26" s="340">
        <f>T25-T3</f>
        <v>301416</v>
      </c>
      <c r="U26" s="320"/>
      <c r="AC26" s="320"/>
      <c r="AF26" s="320"/>
      <c r="AG26" s="320"/>
      <c r="AH26" s="320"/>
      <c r="AI26" s="320"/>
      <c r="AJ26" s="320"/>
      <c r="AK26" s="320"/>
      <c r="AL26" s="320"/>
    </row>
    <row r="27" spans="1:44" x14ac:dyDescent="0.25">
      <c r="I27" s="290"/>
      <c r="W27" s="159"/>
    </row>
    <row r="28" spans="1:44" x14ac:dyDescent="0.25">
      <c r="D28" s="639"/>
      <c r="I28" s="290"/>
      <c r="W28" s="159"/>
      <c r="AC28" s="694"/>
    </row>
    <row r="29" spans="1:44" x14ac:dyDescent="0.25">
      <c r="D29" s="639"/>
      <c r="I29" s="290"/>
      <c r="W29" s="159"/>
    </row>
    <row r="30" spans="1:44" x14ac:dyDescent="0.25">
      <c r="D30" s="640"/>
      <c r="I30" s="290"/>
      <c r="W30" s="159"/>
    </row>
    <row r="31" spans="1:44" x14ac:dyDescent="0.25">
      <c r="I31" s="290"/>
      <c r="W31" s="159"/>
    </row>
    <row r="32" spans="1:44" x14ac:dyDescent="0.25">
      <c r="I32" s="290"/>
      <c r="W32" s="159"/>
    </row>
    <row r="33" spans="3:38" x14ac:dyDescent="0.25">
      <c r="I33" s="290"/>
      <c r="W33" s="159"/>
    </row>
    <row r="34" spans="3:38" x14ac:dyDescent="0.25">
      <c r="I34" s="290"/>
      <c r="W34" s="159"/>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row r="38" spans="3:38" x14ac:dyDescent="0.25">
      <c r="C38"/>
      <c r="D38"/>
      <c r="G38"/>
      <c r="H38"/>
      <c r="I38" s="290"/>
      <c r="K38"/>
      <c r="M38"/>
      <c r="N38"/>
      <c r="O38"/>
      <c r="P38"/>
      <c r="Q38"/>
      <c r="T38"/>
      <c r="U38"/>
      <c r="V38"/>
      <c r="AC38"/>
      <c r="AF38"/>
      <c r="AG38"/>
      <c r="AI38"/>
      <c r="AJ38"/>
      <c r="AK38"/>
      <c r="AL38"/>
    </row>
  </sheetData>
  <sortState ref="A6:AR28">
    <sortCondition descending="1" ref="B6:B28"/>
  </sortState>
  <mergeCells count="1">
    <mergeCell ref="E1:G1"/>
  </mergeCells>
  <conditionalFormatting sqref="N6:N24">
    <cfRule type="cellIs" dxfId="361" priority="450" operator="greaterThan">
      <formula>82</formula>
    </cfRule>
    <cfRule type="cellIs" dxfId="360" priority="451" operator="lessThan">
      <formula>79</formula>
    </cfRule>
  </conditionalFormatting>
  <conditionalFormatting sqref="O6:O24">
    <cfRule type="cellIs" dxfId="359" priority="424" operator="greaterThan">
      <formula>6</formula>
    </cfRule>
    <cfRule type="cellIs" dxfId="358" priority="425" operator="lessThan">
      <formula>5</formula>
    </cfRule>
  </conditionalFormatting>
  <conditionalFormatting sqref="P6:Q24">
    <cfRule type="cellIs" dxfId="357" priority="418" operator="greaterThan">
      <formula>0.95</formula>
    </cfRule>
    <cfRule type="cellIs" dxfId="356" priority="419" operator="lessThan">
      <formula>0.85</formula>
    </cfRule>
  </conditionalFormatting>
  <conditionalFormatting sqref="N5">
    <cfRule type="cellIs" dxfId="355" priority="299" operator="greaterThan">
      <formula>82</formula>
    </cfRule>
    <cfRule type="cellIs" dxfId="354" priority="300" operator="lessThan">
      <formula>79</formula>
    </cfRule>
  </conditionalFormatting>
  <conditionalFormatting sqref="O5">
    <cfRule type="cellIs" dxfId="353" priority="297" operator="greaterThan">
      <formula>6</formula>
    </cfRule>
    <cfRule type="cellIs" dxfId="352" priority="298" operator="lessThan">
      <formula>5</formula>
    </cfRule>
  </conditionalFormatting>
  <conditionalFormatting sqref="P5:Q5">
    <cfRule type="cellIs" dxfId="351" priority="295" operator="greaterThan">
      <formula>0.95</formula>
    </cfRule>
    <cfRule type="cellIs" dxfId="350" priority="296" operator="lessThan">
      <formula>0.85</formula>
    </cfRule>
  </conditionalFormatting>
  <conditionalFormatting sqref="AF5:AF24">
    <cfRule type="cellIs" dxfId="349" priority="29" operator="lessThan">
      <formula>3.6</formula>
    </cfRule>
    <cfRule type="cellIs" dxfId="348" priority="30" operator="greaterThan">
      <formula>3.6</formula>
    </cfRule>
  </conditionalFormatting>
  <conditionalFormatting sqref="AG5:AG24">
    <cfRule type="cellIs" dxfId="347" priority="26" operator="lessThan">
      <formula>12</formula>
    </cfRule>
    <cfRule type="cellIs" dxfId="346" priority="27" operator="between">
      <formula>12</formula>
      <formula>14</formula>
    </cfRule>
    <cfRule type="cellIs" dxfId="345" priority="28" operator="greaterThan">
      <formula>14</formula>
    </cfRule>
  </conditionalFormatting>
  <conditionalFormatting sqref="AH5:AH24">
    <cfRule type="cellIs" dxfId="344" priority="24" operator="lessThan">
      <formula>7.5</formula>
    </cfRule>
    <cfRule type="cellIs" dxfId="343" priority="25" operator="greaterThan">
      <formula>10</formula>
    </cfRule>
  </conditionalFormatting>
  <conditionalFormatting sqref="AI5:AJ24">
    <cfRule type="cellIs" dxfId="342" priority="22" operator="lessThan">
      <formula>0.7</formula>
    </cfRule>
    <cfRule type="cellIs" dxfId="341" priority="23" operator="greaterThan">
      <formula>0.8</formula>
    </cfRule>
  </conditionalFormatting>
  <conditionalFormatting sqref="AK5:AL24">
    <cfRule type="cellIs" dxfId="340" priority="20" operator="lessThan">
      <formula>10</formula>
    </cfRule>
    <cfRule type="cellIs" dxfId="339" priority="21" operator="greaterThan">
      <formula>14</formula>
    </cfRule>
  </conditionalFormatting>
  <conditionalFormatting sqref="AO5:AO24">
    <cfRule type="cellIs" dxfId="338" priority="13" operator="lessThan">
      <formula>0.07</formula>
    </cfRule>
    <cfRule type="cellIs" dxfId="337" priority="14" operator="greaterThan">
      <formula>0.1</formula>
    </cfRule>
  </conditionalFormatting>
  <conditionalFormatting sqref="AD5:AE24">
    <cfRule type="cellIs" dxfId="336" priority="12" operator="greaterThan">
      <formula>12</formula>
    </cfRule>
  </conditionalFormatting>
  <conditionalFormatting sqref="I5:I24">
    <cfRule type="cellIs" dxfId="335" priority="7" operator="lessThan">
      <formula>3</formula>
    </cfRule>
    <cfRule type="cellIs" dxfId="334" priority="8" operator="greaterThan">
      <formula>7</formula>
    </cfRule>
  </conditionalFormatting>
  <conditionalFormatting sqref="T5:T24">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4">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4">
    <cfRule type="colorScale" priority="1672">
      <colorScale>
        <cfvo type="min"/>
        <cfvo type="max"/>
        <color rgb="FFFFEF9C"/>
        <color rgb="FF63BE7B"/>
      </colorScale>
    </cfRule>
  </conditionalFormatting>
  <conditionalFormatting sqref="R5:R24">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4">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4">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96</v>
      </c>
      <c r="D3" s="521"/>
      <c r="E3" s="317">
        <v>42468</v>
      </c>
      <c r="F3" s="371">
        <f>PLANTILLA!O5</f>
        <v>6</v>
      </c>
      <c r="G3" s="439">
        <f>(F3/7)^0.5</f>
        <v>0.92582009977255142</v>
      </c>
      <c r="H3" s="439">
        <f>IF(F3=7,1,((F3+0.99)/7)^0.5)</f>
        <v>0.99928545900129484</v>
      </c>
      <c r="I3" s="530">
        <v>1</v>
      </c>
      <c r="J3" s="531">
        <f>PLANTILLA!I5</f>
        <v>18</v>
      </c>
      <c r="K3" s="163">
        <f>PLANTILLA!V5</f>
        <v>16.666666666666668</v>
      </c>
      <c r="L3" s="163">
        <f>PLANTILLA!W5</f>
        <v>11.832727272727276</v>
      </c>
      <c r="M3" s="163">
        <f>PLANTILLA!X5</f>
        <v>2.0199999999999996</v>
      </c>
      <c r="N3" s="163">
        <f>PLANTILLA!Y5</f>
        <v>2.1199999999999992</v>
      </c>
      <c r="O3" s="163">
        <f>PLANTILLA!Z5</f>
        <v>1.0400000000000003</v>
      </c>
      <c r="P3" s="163">
        <f>PLANTILLA!AA5</f>
        <v>0.14055555555555557</v>
      </c>
      <c r="Q3" s="163">
        <f>PLANTILLA!AB5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19.001250901934569</v>
      </c>
      <c r="W3" s="163">
        <f ca="1">IF(F3=7,V3,IF(TODAY()-E3&gt;335,(Q3+1+(LOG(J3)*4/3))*((F3+0.99)/7)^0.5,(Q3+((TODAY()-E3)^0.5)/(336^0.5)+(LOG(J3)*4/3))*((F3+0.99)/7)^0.5))</f>
        <v>20.509031650752888</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1.1170998082861157</v>
      </c>
      <c r="AE3" s="159">
        <f>((L3+I3+(LOG(J3)*4/3))*0.378)</f>
        <v>5.4834282516629766</v>
      </c>
      <c r="AF3" s="159">
        <f>(L3+I3+(LOG(J3)*4/3))*0.723</f>
        <v>10.488144513101407</v>
      </c>
      <c r="AG3" s="159">
        <f>AE3/2</f>
        <v>2.7417141258314883</v>
      </c>
      <c r="AH3" s="159">
        <f>(M3+I3+(LOG(J3)*4/3))*0.385</f>
        <v>1.8070732192863637</v>
      </c>
      <c r="AI3" s="159">
        <f>((L3+I3+(LOG(J3)*4/3))*0.92)</f>
        <v>13.345910030502482</v>
      </c>
      <c r="AJ3" s="159">
        <f>(L3+I3+(LOG(J3)*4/3))*0.414</f>
        <v>6.0056595137261164</v>
      </c>
      <c r="AK3" s="159">
        <f>((M3+I3+(LOG(J3)*4/3))*0.167)</f>
        <v>0.78384734446966953</v>
      </c>
      <c r="AL3" s="159">
        <f>(N3+I3+(LOG(J3)*4/3))*0.588</f>
        <v>2.8186936440009913</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4.430849659756694</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4.6936966734710746</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4.1351467693280171</v>
      </c>
      <c r="BH3" s="159">
        <f>((N3+I3+(LOG(J3)*4/3))*0.574)+((O3+I3+(LOG(J3)*4/3))*0.315)</f>
        <v>3.9213963427157852</v>
      </c>
      <c r="BI3" s="159">
        <f>((O3+I3+(LOG(J3)*4/3))*0.241)</f>
        <v>0.89500089830652907</v>
      </c>
      <c r="BJ3" s="159">
        <f>((L3+I3+(LOG(J3)*4/3))*0.485)</f>
        <v>7.0356156139061996</v>
      </c>
      <c r="BK3" s="159">
        <f>((L3+I3+(LOG(J3)*4/3))*0.264)</f>
        <v>3.8296959217963646</v>
      </c>
      <c r="BL3" s="159">
        <f>((M3+I3+(LOG(J3)*4/3))*0.381)</f>
        <v>1.7882984325924793</v>
      </c>
      <c r="BM3" s="159">
        <f>((N3+I3+(LOG(J3)*4/3))*0.673)+((O3+I3+(LOG(J3)*4/3))*0.201)</f>
        <v>3.9726108926137194</v>
      </c>
      <c r="BN3" s="159">
        <f>((O3+I3+(LOG(J3)*4/3))*0.052)</f>
        <v>0.19311222702049588</v>
      </c>
      <c r="BO3" s="159">
        <f>((L3+I3+(LOG(J3)*4/3))*0.18)</f>
        <v>2.6111563103157027</v>
      </c>
      <c r="BP3" s="159">
        <f>(L3+I3+(LOG(J3)*4/3))*0.068</f>
        <v>0.98643682834148783</v>
      </c>
      <c r="BQ3" s="159">
        <f>((M3+I3+(LOG(J3)*4/3))*0.305)</f>
        <v>1.4315774854086778</v>
      </c>
      <c r="BR3" s="159">
        <f>((N3+I3+(LOG(J3)*4/3))*1)+((O3+I3+(LOG(J3)*4/3))*0.286)</f>
        <v>5.8558139220838017</v>
      </c>
      <c r="BS3" s="159">
        <f>((O3+I3+(LOG(J3)*4/3))*0.135)</f>
        <v>0.50134905091859516</v>
      </c>
      <c r="BT3" s="159">
        <f>((L3+I3+(LOG(J3)*4/3))*0.284)</f>
        <v>4.1198244007203311</v>
      </c>
      <c r="BU3" s="159">
        <f>(L3+I3+(LOG(J3)*4/3))*0.244</f>
        <v>3.5395674428723973</v>
      </c>
      <c r="BV3" s="159">
        <f>((M3+I3+(LOG(J3)*4/3))*0.455)</f>
        <v>2.1356319864293392</v>
      </c>
      <c r="BW3" s="159">
        <f>((N3+I3+(LOG(J3)*4/3))*0.864)+((O3+I3+(LOG(J3)*4/3))*0.244)</f>
        <v>5.0478959142059496</v>
      </c>
      <c r="BX3" s="159">
        <f>((O3+I3+(LOG(J3)*4/3))*0.121)</f>
        <v>0.44935729749000008</v>
      </c>
      <c r="BY3" s="159">
        <f>((L3+I3+(LOG(J3)*4/3))*0.284)</f>
        <v>4.1198244007203311</v>
      </c>
      <c r="BZ3" s="159">
        <f>((L3+I3+(LOG(J3)*4/3))*0.244)</f>
        <v>3.5395674428723973</v>
      </c>
      <c r="CA3" s="159">
        <f>((M3+I3+(LOG(J3)*4/3))*0.631)</f>
        <v>2.9617226009602482</v>
      </c>
      <c r="CB3" s="159">
        <f>((N3+I3+(LOG(J3)*4/3))*0.702)+((O3+I3+(LOG(J3)*4/3))*0.193)</f>
        <v>4.0819185227566113</v>
      </c>
      <c r="CC3" s="159">
        <f>((O3+I3+(LOG(J3)*4/3))*0.148)</f>
        <v>0.54962710767371903</v>
      </c>
      <c r="CD3" s="159">
        <f>((M3+I3+(LOG(J3)*4/3))*0.406)</f>
        <v>1.9056408494292565</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1.1734241683677686</v>
      </c>
    </row>
    <row r="4" spans="1:89" x14ac:dyDescent="0.25">
      <c r="A4" t="str">
        <f>PLANTILLA!D6</f>
        <v>T. Hammond</v>
      </c>
      <c r="B4" s="521">
        <f>PLANTILLA!E6</f>
        <v>33</v>
      </c>
      <c r="C4" s="521">
        <f ca="1">PLANTILLA!F6</f>
        <v>105</v>
      </c>
      <c r="D4" s="521" t="str">
        <f>PLANTILLA!G6</f>
        <v>CAB</v>
      </c>
      <c r="E4" s="317">
        <v>41400</v>
      </c>
      <c r="F4" s="371">
        <f>PLANTILLA!O6</f>
        <v>5</v>
      </c>
      <c r="G4" s="439">
        <f t="shared" ref="G4:G5" si="0">(F4/7)^0.5</f>
        <v>0.84515425472851657</v>
      </c>
      <c r="H4" s="439">
        <f t="shared" ref="H4:H5" si="1">IF(F4=7,1,((F4+0.99)/7)^0.5)</f>
        <v>0.92504826128926143</v>
      </c>
      <c r="I4" s="530">
        <v>1.5</v>
      </c>
      <c r="J4" s="531">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1">
        <f>PLANTILLA!E8</f>
        <v>31</v>
      </c>
      <c r="C5" s="521">
        <f ca="1">PLANTILLA!F8</f>
        <v>41</v>
      </c>
      <c r="D5" s="521" t="str">
        <f>PLANTILLA!G8</f>
        <v>CAB</v>
      </c>
      <c r="E5" s="317">
        <v>41519</v>
      </c>
      <c r="F5" s="371">
        <f>PLANTILLA!O8</f>
        <v>5</v>
      </c>
      <c r="G5" s="439">
        <f t="shared" si="0"/>
        <v>0.84515425472851657</v>
      </c>
      <c r="H5" s="439">
        <f t="shared" si="1"/>
        <v>0.92504826128926143</v>
      </c>
      <c r="I5" s="530">
        <v>1.5</v>
      </c>
      <c r="J5" s="531">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1">
        <f>PLANTILLA!E9</f>
        <v>30</v>
      </c>
      <c r="C6" s="521">
        <f ca="1">PLANTILLA!F9</f>
        <v>107</v>
      </c>
      <c r="D6" s="521"/>
      <c r="E6" s="317">
        <v>41539</v>
      </c>
      <c r="F6" s="371">
        <f>PLANTILLA!O9</f>
        <v>5</v>
      </c>
      <c r="G6" s="439">
        <f t="shared" ref="G6:G10" si="74">(F6/7)^0.5</f>
        <v>0.84515425472851657</v>
      </c>
      <c r="H6" s="439">
        <f>IF(F6=7,1,((F6+0.99)/7)^0.5)</f>
        <v>0.92504826128926143</v>
      </c>
      <c r="I6" s="530">
        <v>1.5</v>
      </c>
      <c r="J6" s="531">
        <f>PLANTILLA!I9</f>
        <v>12.1</v>
      </c>
      <c r="K6" s="163">
        <f>PLANTILLA!V9</f>
        <v>0</v>
      </c>
      <c r="L6" s="163">
        <f>PLANTILLA!W9</f>
        <v>12.060000000000004</v>
      </c>
      <c r="M6" s="163">
        <f>PLANTILLA!X9</f>
        <v>13.020999999999999</v>
      </c>
      <c r="N6" s="163">
        <f>PLANTILLA!Y9</f>
        <v>9.7100000000000062</v>
      </c>
      <c r="O6" s="163">
        <f>PLANTILLA!Z9</f>
        <v>9.6</v>
      </c>
      <c r="P6" s="163">
        <f>PLANTILLA!AA9</f>
        <v>3.6816666666666658</v>
      </c>
      <c r="Q6" s="163">
        <f>PLANTILLA!AB9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3.7996018908470863</v>
      </c>
      <c r="AE6" s="159">
        <f t="shared" si="15"/>
        <v>5.6714038266394917</v>
      </c>
      <c r="AF6" s="159">
        <f t="shared" si="16"/>
        <v>10.84768509698506</v>
      </c>
      <c r="AG6" s="159">
        <f t="shared" si="17"/>
        <v>2.8357019133197459</v>
      </c>
      <c r="AH6" s="159">
        <f t="shared" si="18"/>
        <v>6.1464148234291107</v>
      </c>
      <c r="AI6" s="159">
        <f t="shared" si="19"/>
        <v>13.803416720921515</v>
      </c>
      <c r="AJ6" s="159">
        <f t="shared" si="20"/>
        <v>6.2115375244146813</v>
      </c>
      <c r="AK6" s="159">
        <f t="shared" si="21"/>
        <v>2.6661072091237958</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15.070689852771636</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15.964713827088598</v>
      </c>
      <c r="BB6" s="159">
        <f t="shared" si="38"/>
        <v>3.1735595982534157</v>
      </c>
      <c r="BC6" s="159">
        <f t="shared" si="39"/>
        <v>5.6687363187258182</v>
      </c>
      <c r="BD6" s="159">
        <f t="shared" si="40"/>
        <v>1.5867797991267079</v>
      </c>
      <c r="BE6" s="159">
        <f t="shared" si="41"/>
        <v>4.3660807236827832</v>
      </c>
      <c r="BF6" s="159">
        <f t="shared" si="42"/>
        <v>5.2212924118268331</v>
      </c>
      <c r="BG6" s="159">
        <f t="shared" si="43"/>
        <v>14.064912881665055</v>
      </c>
      <c r="BH6" s="159">
        <f t="shared" si="44"/>
        <v>11.214501592281767</v>
      </c>
      <c r="BI6" s="159">
        <f t="shared" si="45"/>
        <v>3.0230350323283521</v>
      </c>
      <c r="BJ6" s="159">
        <f t="shared" si="46"/>
        <v>7.2768012061379723</v>
      </c>
      <c r="BK6" s="159">
        <f t="shared" si="47"/>
        <v>3.9609804503513915</v>
      </c>
      <c r="BL6" s="159">
        <f t="shared" si="48"/>
        <v>6.0825559681207562</v>
      </c>
      <c r="BM6" s="159">
        <f t="shared" si="49"/>
        <v>11.037235884875441</v>
      </c>
      <c r="BN6" s="159">
        <f t="shared" si="50"/>
        <v>0.65227311900860707</v>
      </c>
      <c r="BO6" s="159">
        <f t="shared" si="51"/>
        <v>2.7006684888759485</v>
      </c>
      <c r="BP6" s="159">
        <f t="shared" si="52"/>
        <v>1.0202525402420251</v>
      </c>
      <c r="BQ6" s="159">
        <f t="shared" si="53"/>
        <v>4.8692377172620223</v>
      </c>
      <c r="BR6" s="159">
        <f t="shared" si="54"/>
        <v>16.241215981635946</v>
      </c>
      <c r="BS6" s="159">
        <f t="shared" si="55"/>
        <v>1.6934013666569609</v>
      </c>
      <c r="BT6" s="159">
        <f t="shared" si="56"/>
        <v>4.2610547268931631</v>
      </c>
      <c r="BU6" s="159">
        <f t="shared" si="57"/>
        <v>3.6609061738096189</v>
      </c>
      <c r="BV6" s="159">
        <f t="shared" si="58"/>
        <v>7.2639447913253123</v>
      </c>
      <c r="BW6" s="159">
        <f t="shared" si="59"/>
        <v>13.993474920414174</v>
      </c>
      <c r="BX6" s="159">
        <f t="shared" si="60"/>
        <v>1.5177893730777203</v>
      </c>
      <c r="BY6" s="159">
        <f t="shared" si="61"/>
        <v>4.2610547268931631</v>
      </c>
      <c r="BZ6" s="159">
        <f t="shared" si="62"/>
        <v>3.6609061738096189</v>
      </c>
      <c r="CA6" s="159">
        <f t="shared" si="63"/>
        <v>10.073734424892905</v>
      </c>
      <c r="CB6" s="159">
        <f t="shared" si="64"/>
        <v>11.303843875244299</v>
      </c>
      <c r="CC6" s="159">
        <f t="shared" si="65"/>
        <v>1.8564696464091126</v>
      </c>
      <c r="CD6" s="159">
        <f t="shared" si="66"/>
        <v>6.481673813797971</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3.9911784567721496</v>
      </c>
    </row>
    <row r="7" spans="1:89" x14ac:dyDescent="0.25">
      <c r="A7" t="str">
        <f>PLANTILLA!D10</f>
        <v>B. Bartolache</v>
      </c>
      <c r="B7" s="521">
        <f>PLANTILLA!E10</f>
        <v>30</v>
      </c>
      <c r="C7" s="521">
        <f ca="1">PLANTILLA!F10</f>
        <v>92</v>
      </c>
      <c r="D7" s="521"/>
      <c r="E7" s="317">
        <v>41527</v>
      </c>
      <c r="F7" s="371">
        <f>PLANTILLA!O10</f>
        <v>6</v>
      </c>
      <c r="G7" s="439">
        <f t="shared" si="74"/>
        <v>0.92582009977255142</v>
      </c>
      <c r="H7" s="439">
        <f t="shared" ref="H7:H21" si="75">IF(F7=7,1,((F7+0.99)/7)^0.5)</f>
        <v>0.99928545900129484</v>
      </c>
      <c r="I7" s="530">
        <v>1.5</v>
      </c>
      <c r="J7" s="531">
        <f>PLANTILLA!I10</f>
        <v>9.1999999999999993</v>
      </c>
      <c r="K7" s="163">
        <f>PLANTILLA!V10</f>
        <v>0</v>
      </c>
      <c r="L7" s="163">
        <f>PLANTILLA!W10</f>
        <v>11.649999999999997</v>
      </c>
      <c r="M7" s="163">
        <f>PLANTILLA!X10</f>
        <v>6.6275000000000022</v>
      </c>
      <c r="N7" s="163">
        <f>PLANTILLA!Y10</f>
        <v>7.3600000000000012</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5.9652896566389151</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9.5418498380135972</v>
      </c>
      <c r="BI7" s="159">
        <f t="shared" si="45"/>
        <v>2.8450171551870378</v>
      </c>
      <c r="BJ7" s="159">
        <f t="shared" si="46"/>
        <v>7.000999461683457</v>
      </c>
      <c r="BK7" s="159">
        <f t="shared" si="47"/>
        <v>3.8108533152256348</v>
      </c>
      <c r="BL7" s="159">
        <f t="shared" si="48"/>
        <v>3.5861817162915424</v>
      </c>
      <c r="BM7" s="159">
        <f t="shared" si="49"/>
        <v>9.2004340814666872</v>
      </c>
      <c r="BN7" s="159">
        <f t="shared" si="50"/>
        <v>0.61386262269595826</v>
      </c>
      <c r="BO7" s="159">
        <f t="shared" si="51"/>
        <v>2.5983090785629326</v>
      </c>
      <c r="BP7" s="159">
        <f t="shared" si="52"/>
        <v>0.9815834296793301</v>
      </c>
      <c r="BQ7" s="159">
        <f t="shared" si="53"/>
        <v>2.8708278831205258</v>
      </c>
      <c r="BR7" s="159">
        <f t="shared" si="54"/>
        <v>13.521294861288512</v>
      </c>
      <c r="BS7" s="159">
        <f t="shared" si="55"/>
        <v>1.5936818089221996</v>
      </c>
      <c r="BT7" s="159">
        <f t="shared" si="56"/>
        <v>4.0995543239548491</v>
      </c>
      <c r="BU7" s="159">
        <f t="shared" si="57"/>
        <v>3.5221523064964195</v>
      </c>
      <c r="BV7" s="159">
        <f t="shared" si="58"/>
        <v>4.2827104485896372</v>
      </c>
      <c r="BW7" s="159">
        <f t="shared" si="59"/>
        <v>11.6457558835985</v>
      </c>
      <c r="BX7" s="159">
        <f t="shared" si="60"/>
        <v>1.4284111028117492</v>
      </c>
      <c r="BY7" s="159">
        <f t="shared" si="61"/>
        <v>4.0995543239548491</v>
      </c>
      <c r="BZ7" s="159">
        <f t="shared" si="62"/>
        <v>3.5221523064964195</v>
      </c>
      <c r="CA7" s="159">
        <f t="shared" si="63"/>
        <v>5.9393193254067276</v>
      </c>
      <c r="CB7" s="159">
        <f t="shared" si="64"/>
        <v>9.4002001406323608</v>
      </c>
      <c r="CC7" s="159">
        <f t="shared" si="65"/>
        <v>1.7471474645961891</v>
      </c>
      <c r="CD7" s="159">
        <f t="shared" si="66"/>
        <v>3.8214954772030612</v>
      </c>
      <c r="CE7" s="159">
        <f t="shared" si="67"/>
        <v>5.3525912773960451</v>
      </c>
      <c r="CF7" s="159">
        <f t="shared" si="68"/>
        <v>10.727286791454791</v>
      </c>
      <c r="CG7" s="159">
        <f t="shared" si="69"/>
        <v>5.3525912773960451</v>
      </c>
      <c r="CH7" s="159">
        <f t="shared" si="70"/>
        <v>5.7136864219150398</v>
      </c>
      <c r="CI7" s="159">
        <f t="shared" si="71"/>
        <v>11.761114047514749</v>
      </c>
      <c r="CJ7" s="159">
        <f t="shared" si="72"/>
        <v>5.7136864219150398</v>
      </c>
      <c r="CK7" s="159">
        <f t="shared" si="73"/>
        <v>2.3531376091151852</v>
      </c>
    </row>
    <row r="8" spans="1:89" x14ac:dyDescent="0.25">
      <c r="A8" t="str">
        <f>PLANTILLA!D11</f>
        <v>F. Lasprilla</v>
      </c>
      <c r="B8" s="521">
        <f>PLANTILLA!E11</f>
        <v>27</v>
      </c>
      <c r="C8" s="521">
        <f ca="1">PLANTILLA!F11</f>
        <v>3</v>
      </c>
      <c r="D8" s="521"/>
      <c r="E8" s="317">
        <v>42106</v>
      </c>
      <c r="F8" s="371">
        <f>PLANTILLA!O11</f>
        <v>5</v>
      </c>
      <c r="G8" s="439">
        <f t="shared" si="74"/>
        <v>0.84515425472851657</v>
      </c>
      <c r="H8" s="439">
        <f t="shared" si="75"/>
        <v>0.92504826128926143</v>
      </c>
      <c r="I8" s="530">
        <v>1.5</v>
      </c>
      <c r="J8" s="531">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12.811820398561768</v>
      </c>
      <c r="W8" s="163">
        <f t="shared" ca="1" si="7"/>
        <v>14.022945654396372</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1">
        <f>PLANTILLA!E7</f>
        <v>29</v>
      </c>
      <c r="C9" s="521">
        <f ca="1">PLANTILLA!F7</f>
        <v>108</v>
      </c>
      <c r="D9" s="521" t="str">
        <f>PLANTILLA!G7</f>
        <v>CAB</v>
      </c>
      <c r="E9" s="317">
        <v>42716</v>
      </c>
      <c r="F9" s="371">
        <f>PLANTILLA!O7</f>
        <v>6</v>
      </c>
      <c r="G9" s="439">
        <f>(F9/7)^0.5</f>
        <v>0.92582009977255142</v>
      </c>
      <c r="H9" s="439">
        <f>IF(F9=7,1,((F9+0.99)/7)^0.5)</f>
        <v>0.99928545900129484</v>
      </c>
      <c r="I9" s="530">
        <v>1</v>
      </c>
      <c r="J9" s="531">
        <f>PLANTILLA!I7</f>
        <v>14</v>
      </c>
      <c r="K9" s="163">
        <f>PLANTILLA!V7</f>
        <v>0</v>
      </c>
      <c r="L9" s="163">
        <f>PLANTILLA!W7</f>
        <v>14.200000000000003</v>
      </c>
      <c r="M9" s="163">
        <f>PLANTILLA!X7</f>
        <v>9.283333333333335</v>
      </c>
      <c r="N9" s="163">
        <f>PLANTILLA!Y7</f>
        <v>14.249999999999996</v>
      </c>
      <c r="O9" s="163">
        <f>PLANTILLA!Z7</f>
        <v>9.4199999999999982</v>
      </c>
      <c r="P9" s="163">
        <f>PLANTILLA!AA7</f>
        <v>1.1428571428571428</v>
      </c>
      <c r="Q9" s="163">
        <f>PLANTILLA!AB7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11.150059820907009</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11.811504047570985</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10.405935065910038</v>
      </c>
      <c r="BH9" s="159">
        <f>((N9+I9+(LOG(J9)*4/3))*0.574)+((O9+I9+(LOG(J9)*4/3))*0.315)</f>
        <v>13.394343764957267</v>
      </c>
      <c r="BI9" s="159">
        <f>((O9+I9+(LOG(J9)*4/3))*0.241)</f>
        <v>2.8795091421312731</v>
      </c>
      <c r="BJ9" s="159">
        <f>((L9+I9+(LOG(J9)*4/3))*0.485)</f>
        <v>8.1131627964052608</v>
      </c>
      <c r="BK9" s="159">
        <f>((L9+I9+(LOG(J9)*4/3))*0.264)</f>
        <v>4.4162370685587407</v>
      </c>
      <c r="BL9" s="159">
        <f>((M9+I9+(LOG(J9)*4/3))*0.381)</f>
        <v>4.5001830421245455</v>
      </c>
      <c r="BM9" s="159">
        <f>((N9+I9+(LOG(J9)*4/3))*0.673)+((O9+I9+(LOG(J9)*4/3))*0.201)</f>
        <v>13.693291204243705</v>
      </c>
      <c r="BN9" s="159">
        <f>((O9+I9+(LOG(J9)*4/3))*0.052)</f>
        <v>0.62130487714035765</v>
      </c>
      <c r="BO9" s="159">
        <f>((L9+I9+(LOG(J9)*4/3))*0.18)</f>
        <v>3.0110707285627774</v>
      </c>
      <c r="BP9" s="159">
        <f>(L9+I9+(LOG(J9)*4/3))*0.068</f>
        <v>1.1375156085681604</v>
      </c>
      <c r="BQ9" s="159">
        <f>((M9+I9+(LOG(J9)*4/3))*0.305)</f>
        <v>3.6025087345091502</v>
      </c>
      <c r="BR9" s="159">
        <f>((N9+I9+(LOG(J9)*4/3))*1)+((O9+I9+(LOG(J9)*4/3))*0.286)</f>
        <v>20.195347538509612</v>
      </c>
      <c r="BS9" s="159">
        <f>((O9+I9+(LOG(J9)*4/3))*0.135)</f>
        <v>1.6130030464220826</v>
      </c>
      <c r="BT9" s="159">
        <f t="shared" si="56"/>
        <v>4.7508004828434931</v>
      </c>
      <c r="BU9" s="159">
        <f t="shared" si="57"/>
        <v>4.0816736542739873</v>
      </c>
      <c r="BV9" s="159">
        <f t="shared" si="58"/>
        <v>5.3742343416447982</v>
      </c>
      <c r="BW9" s="159">
        <f t="shared" si="59"/>
        <v>17.411693151375314</v>
      </c>
      <c r="BX9" s="159">
        <f t="shared" si="60"/>
        <v>1.4457286564227554</v>
      </c>
      <c r="BY9" s="159">
        <f>((L9+I9+(LOG(J9)*4/3))*0.284)</f>
        <v>4.7508004828434931</v>
      </c>
      <c r="BZ9" s="159">
        <f>((L9+I9+(LOG(J9)*4/3))*0.244)</f>
        <v>4.0816736542739873</v>
      </c>
      <c r="CA9" s="159">
        <f>((M9+I9+(LOG(J9)*4/3))*0.631)</f>
        <v>7.4530590540172916</v>
      </c>
      <c r="CB9" s="159">
        <f>((N9+I9+(LOG(J9)*4/3))*0.702)+((O9+I9+(LOG(J9)*4/3))*0.193)</f>
        <v>14.084272789242693</v>
      </c>
      <c r="CC9" s="159">
        <f>((O9+I9+(LOG(J9)*4/3))*0.148)</f>
        <v>1.7683292657071719</v>
      </c>
      <c r="CD9" s="159">
        <f>((M9+I9+(LOG(J9)*4/3))*0.406)</f>
        <v>4.7954706433138199</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2.9528760118927462</v>
      </c>
    </row>
    <row r="10" spans="1:89" x14ac:dyDescent="0.25">
      <c r="A10" t="str">
        <f>PLANTILLA!D12</f>
        <v>E. Romweber</v>
      </c>
      <c r="B10" s="521">
        <f>PLANTILLA!E12</f>
        <v>30</v>
      </c>
      <c r="C10" s="521">
        <f ca="1">PLANTILLA!F12</f>
        <v>69</v>
      </c>
      <c r="D10" s="521" t="str">
        <f>PLANTILLA!G12</f>
        <v>IMP</v>
      </c>
      <c r="E10" s="317">
        <v>41583</v>
      </c>
      <c r="F10" s="371">
        <f>PLANTILLA!O12</f>
        <v>5</v>
      </c>
      <c r="G10" s="439">
        <f t="shared" si="74"/>
        <v>0.84515425472851657</v>
      </c>
      <c r="H10" s="439">
        <f t="shared" si="75"/>
        <v>0.92504826128926143</v>
      </c>
      <c r="I10" s="530">
        <v>1.5</v>
      </c>
      <c r="J10" s="531">
        <f>PLANTILLA!I12</f>
        <v>12.2</v>
      </c>
      <c r="K10" s="163">
        <f>PLANTILLA!V12</f>
        <v>0</v>
      </c>
      <c r="L10" s="163">
        <f>PLANTILLA!W12</f>
        <v>11.99</v>
      </c>
      <c r="M10" s="163">
        <f>PLANTILLA!X12</f>
        <v>12.399111111111115</v>
      </c>
      <c r="N10" s="163">
        <f>PLANTILLA!Y12</f>
        <v>13.05</v>
      </c>
      <c r="O10" s="163">
        <f>PLANTILLA!Z12</f>
        <v>10.91</v>
      </c>
      <c r="P10" s="163">
        <f>PLANTILLA!AA12</f>
        <v>7.7700000000000005</v>
      </c>
      <c r="Q10" s="163">
        <f>PLANTILLA!AB12</f>
        <v>17.13</v>
      </c>
      <c r="R10" s="163">
        <f t="shared" si="2"/>
        <v>4.6012500000000003</v>
      </c>
      <c r="S10" s="163">
        <f t="shared" si="3"/>
        <v>21.235840301054928</v>
      </c>
      <c r="T10" s="163">
        <f t="shared" si="4"/>
        <v>0.90239999999999987</v>
      </c>
      <c r="U10" s="163">
        <f t="shared" si="5"/>
        <v>0.99349999999999983</v>
      </c>
      <c r="V10" s="163">
        <f t="shared" ca="1" si="6"/>
        <v>16.546835482309223</v>
      </c>
      <c r="W10" s="163">
        <f t="shared" ca="1" si="7"/>
        <v>18.111038673841204</v>
      </c>
      <c r="X10" s="159">
        <f t="shared" si="8"/>
        <v>5.8832628429054079</v>
      </c>
      <c r="Y10" s="159">
        <f t="shared" si="9"/>
        <v>8.9022373885348003</v>
      </c>
      <c r="Z10" s="159">
        <f t="shared" si="10"/>
        <v>5.8832628429054079</v>
      </c>
      <c r="AA10" s="159">
        <f t="shared" si="11"/>
        <v>7.7082555635042276</v>
      </c>
      <c r="AB10" s="159">
        <f t="shared" si="12"/>
        <v>14.938479774232999</v>
      </c>
      <c r="AC10" s="159">
        <f t="shared" si="13"/>
        <v>3.8541277817521138</v>
      </c>
      <c r="AD10" s="159">
        <f t="shared" si="14"/>
        <v>3.6527266307118982</v>
      </c>
      <c r="AE10" s="159">
        <f t="shared" si="15"/>
        <v>5.6467453546600739</v>
      </c>
      <c r="AF10" s="159">
        <f t="shared" si="16"/>
        <v>10.800520876770458</v>
      </c>
      <c r="AG10" s="159">
        <f t="shared" si="17"/>
        <v>2.8233726773300369</v>
      </c>
      <c r="AH10" s="159">
        <f t="shared" si="18"/>
        <v>5.9088224908574833</v>
      </c>
      <c r="AI10" s="159">
        <f t="shared" si="19"/>
        <v>13.743401392294359</v>
      </c>
      <c r="AJ10" s="159">
        <f t="shared" si="20"/>
        <v>6.1845306265324611</v>
      </c>
      <c r="AK10" s="159">
        <f t="shared" si="21"/>
        <v>2.5630476778524667</v>
      </c>
      <c r="AL10" s="159">
        <f t="shared" si="22"/>
        <v>9.4071061072490014</v>
      </c>
      <c r="AM10" s="159">
        <f t="shared" si="23"/>
        <v>11.263613749771681</v>
      </c>
      <c r="AN10" s="159">
        <f t="shared" si="24"/>
        <v>10.576443680156963</v>
      </c>
      <c r="AO10" s="159">
        <f t="shared" si="25"/>
        <v>3.3531061222969103</v>
      </c>
      <c r="AP10" s="159">
        <f t="shared" si="26"/>
        <v>2.1743221749791033</v>
      </c>
      <c r="AQ10" s="159">
        <f t="shared" si="27"/>
        <v>4.0333895390429095</v>
      </c>
      <c r="AR10" s="159">
        <f t="shared" si="28"/>
        <v>8.8734569858944017</v>
      </c>
      <c r="AS10" s="159">
        <f t="shared" si="29"/>
        <v>2.0166947695214548</v>
      </c>
      <c r="AT10" s="159">
        <f t="shared" si="30"/>
        <v>14.488125795764841</v>
      </c>
      <c r="AU10" s="159">
        <f t="shared" si="31"/>
        <v>1.8016023706502897</v>
      </c>
      <c r="AV10" s="159">
        <f t="shared" si="32"/>
        <v>3.5173145738502676</v>
      </c>
      <c r="AW10" s="159">
        <f t="shared" si="33"/>
        <v>0.90080118532514486</v>
      </c>
      <c r="AX10" s="159">
        <f t="shared" si="34"/>
        <v>2.8233726773300369</v>
      </c>
      <c r="AY10" s="159">
        <f t="shared" si="35"/>
        <v>5.9753919096932</v>
      </c>
      <c r="AZ10" s="159">
        <f t="shared" si="36"/>
        <v>1.4116863386650185</v>
      </c>
      <c r="BA10" s="159">
        <f t="shared" si="37"/>
        <v>15.347590885344111</v>
      </c>
      <c r="BB10" s="159">
        <f t="shared" si="38"/>
        <v>3.5061953828809482</v>
      </c>
      <c r="BC10" s="159">
        <f t="shared" si="39"/>
        <v>6.9766223556023821</v>
      </c>
      <c r="BD10" s="159">
        <f t="shared" si="40"/>
        <v>1.7530976914404741</v>
      </c>
      <c r="BE10" s="159">
        <f t="shared" si="41"/>
        <v>4.3470976143018021</v>
      </c>
      <c r="BF10" s="159">
        <f t="shared" si="42"/>
        <v>5.1985909614330827</v>
      </c>
      <c r="BG10" s="159">
        <f t="shared" si="43"/>
        <v>13.521227569988161</v>
      </c>
      <c r="BH10" s="159">
        <f t="shared" si="44"/>
        <v>13.548548519293133</v>
      </c>
      <c r="BI10" s="159">
        <f t="shared" si="45"/>
        <v>3.3398936255901521</v>
      </c>
      <c r="BJ10" s="159">
        <f t="shared" si="46"/>
        <v>7.2451626905030038</v>
      </c>
      <c r="BK10" s="159">
        <f t="shared" si="47"/>
        <v>3.9437586603975117</v>
      </c>
      <c r="BL10" s="159">
        <f t="shared" si="48"/>
        <v>5.8474321273161065</v>
      </c>
      <c r="BM10" s="159">
        <f t="shared" si="49"/>
        <v>13.552531322679641</v>
      </c>
      <c r="BN10" s="159">
        <f t="shared" si="50"/>
        <v>0.72064094826011582</v>
      </c>
      <c r="BO10" s="159">
        <f t="shared" si="51"/>
        <v>2.6889263593619397</v>
      </c>
      <c r="BP10" s="159">
        <f t="shared" si="52"/>
        <v>1.0158166246478439</v>
      </c>
      <c r="BQ10" s="159">
        <f t="shared" si="53"/>
        <v>4.6810152200299537</v>
      </c>
      <c r="BR10" s="159">
        <f t="shared" si="54"/>
        <v>19.962004989663633</v>
      </c>
      <c r="BS10" s="159">
        <f t="shared" si="55"/>
        <v>1.8708947695214546</v>
      </c>
      <c r="BT10" s="159">
        <f t="shared" si="56"/>
        <v>4.2425282558821715</v>
      </c>
      <c r="BU10" s="159">
        <f t="shared" si="57"/>
        <v>3.6449890649128518</v>
      </c>
      <c r="BV10" s="159">
        <f t="shared" si="58"/>
        <v>6.9831538528315704</v>
      </c>
      <c r="BW10" s="159">
        <f t="shared" si="59"/>
        <v>17.20415558985016</v>
      </c>
      <c r="BX10" s="159">
        <f t="shared" si="60"/>
        <v>1.6768760526821926</v>
      </c>
      <c r="BY10" s="159">
        <f t="shared" si="61"/>
        <v>4.2425282558821715</v>
      </c>
      <c r="BZ10" s="159">
        <f t="shared" si="62"/>
        <v>3.6449890649128518</v>
      </c>
      <c r="CA10" s="159">
        <f t="shared" si="63"/>
        <v>9.6843298486521334</v>
      </c>
      <c r="CB10" s="159">
        <f t="shared" si="64"/>
        <v>13.905619397938533</v>
      </c>
      <c r="CC10" s="159">
        <f t="shared" si="65"/>
        <v>2.0510550065864832</v>
      </c>
      <c r="CD10" s="159">
        <f t="shared" si="66"/>
        <v>6.2311218994497093</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3.8368977213360278</v>
      </c>
    </row>
    <row r="11" spans="1:89" x14ac:dyDescent="0.25">
      <c r="A11" t="str">
        <f>PLANTILLA!D13</f>
        <v>K. Helms</v>
      </c>
      <c r="B11" s="521">
        <f>PLANTILLA!E13</f>
        <v>30</v>
      </c>
      <c r="C11" s="521">
        <f ca="1">PLANTILLA!F13</f>
        <v>16</v>
      </c>
      <c r="D11" s="521" t="str">
        <f>PLANTILLA!G13</f>
        <v>TEC</v>
      </c>
      <c r="E11" s="317">
        <v>41722</v>
      </c>
      <c r="F11" s="371">
        <f>PLANTILLA!O13</f>
        <v>6</v>
      </c>
      <c r="G11" s="439">
        <f t="shared" ref="G11:G21" si="78">(F11/7)^0.5</f>
        <v>0.92582009977255142</v>
      </c>
      <c r="H11" s="439">
        <f t="shared" si="75"/>
        <v>0.99928545900129484</v>
      </c>
      <c r="I11" s="530">
        <v>1.5</v>
      </c>
      <c r="J11" s="531">
        <f>PLANTILLA!I13</f>
        <v>10.199999999999999</v>
      </c>
      <c r="K11" s="163">
        <f>PLANTILLA!V13</f>
        <v>0</v>
      </c>
      <c r="L11" s="163">
        <f>PLANTILLA!W13</f>
        <v>7.11</v>
      </c>
      <c r="M11" s="163">
        <f>PLANTILLA!X13</f>
        <v>10.250000000000004</v>
      </c>
      <c r="N11" s="163">
        <f>PLANTILLA!Y13</f>
        <v>13.305</v>
      </c>
      <c r="O11" s="163">
        <f>PLANTILLA!Z13</f>
        <v>10.359999999999998</v>
      </c>
      <c r="P11" s="163">
        <f>PLANTILLA!AA13</f>
        <v>5.4050000000000002</v>
      </c>
      <c r="Q11" s="163">
        <f>PLANTILLA!AB13</f>
        <v>17.300000000000004</v>
      </c>
      <c r="R11" s="163">
        <f t="shared" si="2"/>
        <v>3.8537499999999993</v>
      </c>
      <c r="S11" s="163">
        <f t="shared" si="3"/>
        <v>17.174308506125115</v>
      </c>
      <c r="T11" s="163">
        <f t="shared" si="4"/>
        <v>0.78925000000000023</v>
      </c>
      <c r="U11" s="163">
        <f t="shared" si="5"/>
        <v>0.80340000000000023</v>
      </c>
      <c r="V11" s="163">
        <f t="shared" ca="1" si="6"/>
        <v>18.187550908039334</v>
      </c>
      <c r="W11" s="163">
        <f t="shared" ca="1" si="7"/>
        <v>19.63076321384089</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3.1165624545057824</v>
      </c>
      <c r="AE11" s="159">
        <f t="shared" si="15"/>
        <v>3.7629144865680062</v>
      </c>
      <c r="AF11" s="159">
        <f t="shared" si="16"/>
        <v>7.1973205655784875</v>
      </c>
      <c r="AG11" s="159">
        <f t="shared" si="17"/>
        <v>1.8814572432840031</v>
      </c>
      <c r="AH11" s="159">
        <f t="shared" si="18"/>
        <v>5.0414980881711191</v>
      </c>
      <c r="AI11" s="159">
        <f t="shared" si="19"/>
        <v>9.1584162106946181</v>
      </c>
      <c r="AJ11" s="159">
        <f t="shared" si="20"/>
        <v>4.1212872948125776</v>
      </c>
      <c r="AK11" s="159">
        <f t="shared" si="21"/>
        <v>2.1868316382456543</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12.361491416191003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13.094800229015894</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11.536519001763002</v>
      </c>
      <c r="BH11" s="159">
        <f t="shared" si="44"/>
        <v>13.429497403595125</v>
      </c>
      <c r="BI11" s="159">
        <f t="shared" si="45"/>
        <v>3.182356855192829</v>
      </c>
      <c r="BJ11" s="159">
        <f t="shared" si="46"/>
        <v>4.8280781110727062</v>
      </c>
      <c r="BK11" s="159">
        <f t="shared" si="47"/>
        <v>2.6280672604601949</v>
      </c>
      <c r="BL11" s="159">
        <f t="shared" si="48"/>
        <v>4.9891188872550556</v>
      </c>
      <c r="BM11" s="159">
        <f t="shared" si="49"/>
        <v>13.522980400159886</v>
      </c>
      <c r="BN11" s="159">
        <f t="shared" si="50"/>
        <v>0.68664961190882612</v>
      </c>
      <c r="BO11" s="159">
        <f t="shared" si="51"/>
        <v>1.7918640412228601</v>
      </c>
      <c r="BP11" s="159">
        <f t="shared" si="52"/>
        <v>0.67692641557308053</v>
      </c>
      <c r="BQ11" s="159">
        <f t="shared" si="53"/>
        <v>3.9939140698498474</v>
      </c>
      <c r="BR11" s="159">
        <f t="shared" si="54"/>
        <v>19.926373094514432</v>
      </c>
      <c r="BS11" s="159">
        <f t="shared" si="55"/>
        <v>1.7826480309171449</v>
      </c>
      <c r="BT11" s="159">
        <f t="shared" si="56"/>
        <v>2.8271632650405123</v>
      </c>
      <c r="BU11" s="159">
        <f t="shared" si="57"/>
        <v>2.4289712558798771</v>
      </c>
      <c r="BV11" s="159">
        <f t="shared" si="58"/>
        <v>5.958134104202232</v>
      </c>
      <c r="BW11" s="159">
        <f t="shared" si="59"/>
        <v>17.175398653749603</v>
      </c>
      <c r="BX11" s="159">
        <f t="shared" si="60"/>
        <v>1.5977808277109224</v>
      </c>
      <c r="BY11" s="159">
        <f t="shared" si="61"/>
        <v>2.8271632650405123</v>
      </c>
      <c r="BZ11" s="159">
        <f t="shared" si="62"/>
        <v>2.4289712558798771</v>
      </c>
      <c r="CA11" s="159">
        <f t="shared" si="63"/>
        <v>8.2628189445090285</v>
      </c>
      <c r="CB11" s="159">
        <f t="shared" si="64"/>
        <v>13.885686204969218</v>
      </c>
      <c r="CC11" s="159">
        <f t="shared" si="65"/>
        <v>1.9543104338943513</v>
      </c>
      <c r="CD11" s="159">
        <f t="shared" si="66"/>
        <v>5.3164888929804528</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3.2737000572539734</v>
      </c>
    </row>
    <row r="12" spans="1:89" x14ac:dyDescent="0.25">
      <c r="A12" t="str">
        <f>PLANTILLA!D14</f>
        <v>S. Zobbe</v>
      </c>
      <c r="B12" s="521">
        <f>PLANTILLA!E14</f>
        <v>27</v>
      </c>
      <c r="C12" s="521">
        <f ca="1">PLANTILLA!F14</f>
        <v>31</v>
      </c>
      <c r="D12" s="521" t="str">
        <f>PLANTILLA!G14</f>
        <v>CAB</v>
      </c>
      <c r="E12" s="317">
        <v>41911</v>
      </c>
      <c r="F12" s="371">
        <f>PLANTILLA!O14</f>
        <v>3</v>
      </c>
      <c r="G12" s="439">
        <f t="shared" si="78"/>
        <v>0.65465367070797709</v>
      </c>
      <c r="H12" s="439">
        <f t="shared" si="75"/>
        <v>0.75498344352707503</v>
      </c>
      <c r="I12" s="530">
        <v>1.5</v>
      </c>
      <c r="J12" s="531">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1">
        <f>PLANTILLA!E15</f>
        <v>29</v>
      </c>
      <c r="C13" s="521">
        <f ca="1">PLANTILLA!F15</f>
        <v>28</v>
      </c>
      <c r="D13" s="521" t="str">
        <f>PLANTILLA!G15</f>
        <v>TEC</v>
      </c>
      <c r="E13" s="317">
        <v>41747</v>
      </c>
      <c r="F13" s="371">
        <f>PLANTILLA!O15</f>
        <v>6</v>
      </c>
      <c r="G13" s="439">
        <f t="shared" si="78"/>
        <v>0.92582009977255142</v>
      </c>
      <c r="H13" s="439">
        <f t="shared" si="75"/>
        <v>0.99928545900129484</v>
      </c>
      <c r="I13" s="530">
        <v>1.5</v>
      </c>
      <c r="J13" s="531">
        <f>PLANTILLA!I15</f>
        <v>10.4</v>
      </c>
      <c r="K13" s="163">
        <f>PLANTILLA!V15</f>
        <v>0</v>
      </c>
      <c r="L13" s="163">
        <f>PLANTILLA!W15</f>
        <v>9.1936666666666653</v>
      </c>
      <c r="M13" s="163">
        <f>PLANTILLA!X15</f>
        <v>13.499999999999998</v>
      </c>
      <c r="N13" s="163">
        <f>PLANTILLA!Y15</f>
        <v>12.725000000000001</v>
      </c>
      <c r="O13" s="163">
        <f>PLANTILLA!Z15</f>
        <v>9.6733333333333356</v>
      </c>
      <c r="P13" s="163">
        <f>PLANTILLA!AA15</f>
        <v>5.0296666666666656</v>
      </c>
      <c r="Q13" s="163">
        <f>PLANTILLA!AB15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3.8927385796708123</v>
      </c>
      <c r="AE13" s="159">
        <f t="shared" si="15"/>
        <v>4.5547908030065845</v>
      </c>
      <c r="AF13" s="159">
        <f t="shared" si="16"/>
        <v>8.7119411390840238</v>
      </c>
      <c r="AG13" s="159">
        <f t="shared" si="17"/>
        <v>2.2773954015032922</v>
      </c>
      <c r="AH13" s="159">
        <f t="shared" si="18"/>
        <v>6.2970771141733737</v>
      </c>
      <c r="AI13" s="159">
        <f t="shared" si="19"/>
        <v>11.085734229539836</v>
      </c>
      <c r="AJ13" s="159">
        <f t="shared" si="20"/>
        <v>4.988580403292926</v>
      </c>
      <c r="AK13" s="159">
        <f t="shared" si="21"/>
        <v>2.7314594235505281</v>
      </c>
      <c r="AL13" s="159">
        <f t="shared" si="22"/>
        <v>9.1616541380102436</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15.440105963064063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16.356044452398372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14.409675162562966</v>
      </c>
      <c r="BH13" s="159">
        <f t="shared" si="44"/>
        <v>12.890273518182155</v>
      </c>
      <c r="BI13" s="159">
        <f t="shared" si="45"/>
        <v>3.0195800463613418</v>
      </c>
      <c r="BJ13" s="159">
        <f t="shared" si="46"/>
        <v>5.8441098927465438</v>
      </c>
      <c r="BK13" s="159">
        <f t="shared" si="47"/>
        <v>3.1811237354331703</v>
      </c>
      <c r="BL13" s="159">
        <f t="shared" si="48"/>
        <v>6.2316529363637798</v>
      </c>
      <c r="BM13" s="159">
        <f t="shared" si="49"/>
        <v>13.004447851396181</v>
      </c>
      <c r="BN13" s="159">
        <f t="shared" si="50"/>
        <v>0.65152764485804882</v>
      </c>
      <c r="BO13" s="159">
        <f t="shared" si="51"/>
        <v>2.1689480014317071</v>
      </c>
      <c r="BP13" s="159">
        <f t="shared" si="52"/>
        <v>0.81938035609642268</v>
      </c>
      <c r="BQ13" s="159">
        <f t="shared" si="53"/>
        <v>4.9885935579815035</v>
      </c>
      <c r="BR13" s="159">
        <f t="shared" si="54"/>
        <v>19.164446499117645</v>
      </c>
      <c r="BS13" s="159">
        <f t="shared" si="55"/>
        <v>1.6914660010737808</v>
      </c>
      <c r="BT13" s="159">
        <f t="shared" si="56"/>
        <v>3.4221179578144709</v>
      </c>
      <c r="BU13" s="159">
        <f t="shared" si="57"/>
        <v>2.9401295130518696</v>
      </c>
      <c r="BV13" s="159">
        <f t="shared" si="58"/>
        <v>7.4420002258412596</v>
      </c>
      <c r="BW13" s="159">
        <f t="shared" si="59"/>
        <v>16.519190586590732</v>
      </c>
      <c r="BX13" s="159">
        <f t="shared" si="60"/>
        <v>1.5160547120735368</v>
      </c>
      <c r="BY13" s="159">
        <f t="shared" si="61"/>
        <v>3.4221179578144709</v>
      </c>
      <c r="BZ13" s="159">
        <f t="shared" si="62"/>
        <v>2.9401295130518696</v>
      </c>
      <c r="CA13" s="159">
        <f t="shared" si="63"/>
        <v>10.320664049463373</v>
      </c>
      <c r="CB13" s="159">
        <f t="shared" si="64"/>
        <v>13.35606311822988</v>
      </c>
      <c r="CC13" s="159">
        <f t="shared" si="65"/>
        <v>1.8543479122882929</v>
      </c>
      <c r="CD13" s="159">
        <f t="shared" si="66"/>
        <v>6.6405540476737395</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4.089011113099593</v>
      </c>
    </row>
    <row r="14" spans="1:89" x14ac:dyDescent="0.25">
      <c r="A14" t="str">
        <f>PLANTILLA!D16</f>
        <v>C. Rojas</v>
      </c>
      <c r="B14" s="521">
        <f>PLANTILLA!E16</f>
        <v>31</v>
      </c>
      <c r="C14" s="521">
        <f ca="1">PLANTILLA!F16</f>
        <v>62</v>
      </c>
      <c r="D14" s="521" t="str">
        <f>PLANTILLA!G16</f>
        <v>TEC</v>
      </c>
      <c r="E14" s="317">
        <v>41653</v>
      </c>
      <c r="F14" s="371">
        <f>PLANTILLA!O16</f>
        <v>6</v>
      </c>
      <c r="G14" s="439">
        <f t="shared" si="78"/>
        <v>0.92582009977255142</v>
      </c>
      <c r="H14" s="439">
        <f t="shared" si="75"/>
        <v>0.99928545900129484</v>
      </c>
      <c r="I14" s="530">
        <v>1.5</v>
      </c>
      <c r="J14" s="531">
        <f>PLANTILLA!I16</f>
        <v>11</v>
      </c>
      <c r="K14" s="163">
        <f>PLANTILLA!V16</f>
        <v>0</v>
      </c>
      <c r="L14" s="163">
        <f>PLANTILLA!W16</f>
        <v>8.6075555555555585</v>
      </c>
      <c r="M14" s="163">
        <f>PLANTILLA!X16</f>
        <v>14.09516031746031</v>
      </c>
      <c r="N14" s="163">
        <f>PLANTILLA!Y16</f>
        <v>9.99</v>
      </c>
      <c r="O14" s="163">
        <f>PLANTILLA!Z16</f>
        <v>10.09</v>
      </c>
      <c r="P14" s="163">
        <f>PLANTILLA!AA16</f>
        <v>4.3999999999999995</v>
      </c>
      <c r="Q14" s="163">
        <f>PLANTILLA!AB16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4.0421167676457639</v>
      </c>
      <c r="AE14" s="159">
        <f t="shared" si="15"/>
        <v>4.3455179133197461</v>
      </c>
      <c r="AF14" s="159">
        <f t="shared" si="16"/>
        <v>8.3116652151591968</v>
      </c>
      <c r="AG14" s="159">
        <f t="shared" si="17"/>
        <v>2.1727589566598731</v>
      </c>
      <c r="AH14" s="159">
        <f t="shared" si="18"/>
        <v>6.5387183006034419</v>
      </c>
      <c r="AI14" s="159">
        <f t="shared" si="19"/>
        <v>10.576392804905204</v>
      </c>
      <c r="AJ14" s="159">
        <f t="shared" si="20"/>
        <v>4.7593767622073413</v>
      </c>
      <c r="AK14" s="159">
        <f t="shared" si="21"/>
        <v>2.8362752109111034</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16.032597599401683</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16.983683897671277</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14.962625513848396</v>
      </c>
      <c r="BH14" s="159">
        <f t="shared" si="44"/>
        <v>11.480507462807548</v>
      </c>
      <c r="BI14" s="159">
        <f t="shared" si="45"/>
        <v>3.1278241828308428</v>
      </c>
      <c r="BJ14" s="159">
        <f t="shared" si="46"/>
        <v>5.5755983808467642</v>
      </c>
      <c r="BK14" s="159">
        <f t="shared" si="47"/>
        <v>3.0349648918423626</v>
      </c>
      <c r="BL14" s="159">
        <f t="shared" si="48"/>
        <v>6.4707835650127565</v>
      </c>
      <c r="BM14" s="159">
        <f t="shared" si="49"/>
        <v>11.275929609104386</v>
      </c>
      <c r="BN14" s="159">
        <f t="shared" si="50"/>
        <v>0.67488322617097019</v>
      </c>
      <c r="BO14" s="159">
        <f t="shared" si="51"/>
        <v>2.0692942444379745</v>
      </c>
      <c r="BP14" s="159">
        <f t="shared" si="52"/>
        <v>0.78173338123212377</v>
      </c>
      <c r="BQ14" s="159">
        <f t="shared" si="53"/>
        <v>5.180023588789739</v>
      </c>
      <c r="BR14" s="159">
        <f t="shared" si="54"/>
        <v>16.590381324151302</v>
      </c>
      <c r="BS14" s="159">
        <f t="shared" si="55"/>
        <v>1.7521006833284807</v>
      </c>
      <c r="BT14" s="159">
        <f t="shared" si="56"/>
        <v>3.2648864745576929</v>
      </c>
      <c r="BU14" s="159">
        <f t="shared" si="57"/>
        <v>2.8050433091270319</v>
      </c>
      <c r="BV14" s="159">
        <f t="shared" si="58"/>
        <v>7.7275761734404309</v>
      </c>
      <c r="BW14" s="159">
        <f t="shared" si="59"/>
        <v>14.293804126873752</v>
      </c>
      <c r="BX14" s="159">
        <f t="shared" si="60"/>
        <v>1.570401353205527</v>
      </c>
      <c r="BY14" s="159">
        <f t="shared" si="61"/>
        <v>3.2648864745576929</v>
      </c>
      <c r="BZ14" s="159">
        <f t="shared" si="62"/>
        <v>2.8050433091270319</v>
      </c>
      <c r="CA14" s="159">
        <f t="shared" si="63"/>
        <v>10.716704539430577</v>
      </c>
      <c r="CB14" s="159">
        <f t="shared" si="64"/>
        <v>11.545578604288814</v>
      </c>
      <c r="CC14" s="159">
        <f t="shared" si="65"/>
        <v>1.920821489871223</v>
      </c>
      <c r="CD14" s="159">
        <f t="shared" si="66"/>
        <v>6.8953756624545388</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4.2459209744178192</v>
      </c>
    </row>
    <row r="15" spans="1:89" x14ac:dyDescent="0.25">
      <c r="A15" t="str">
        <f>PLANTILLA!D17</f>
        <v>E. Gross</v>
      </c>
      <c r="B15" s="521">
        <f>PLANTILLA!E17</f>
        <v>30</v>
      </c>
      <c r="C15" s="521">
        <f ca="1">PLANTILLA!F17</f>
        <v>56</v>
      </c>
      <c r="D15" s="521"/>
      <c r="E15" s="317">
        <v>41552</v>
      </c>
      <c r="F15" s="371">
        <f>PLANTILLA!O17</f>
        <v>6</v>
      </c>
      <c r="G15" s="439">
        <f t="shared" si="78"/>
        <v>0.92582009977255142</v>
      </c>
      <c r="H15" s="439">
        <f t="shared" si="75"/>
        <v>0.99928545900129484</v>
      </c>
      <c r="I15" s="530">
        <v>1.5</v>
      </c>
      <c r="J15" s="531">
        <f>PLANTILLA!I17</f>
        <v>9</v>
      </c>
      <c r="K15" s="163">
        <f>PLANTILLA!V17</f>
        <v>0</v>
      </c>
      <c r="L15" s="163">
        <f>PLANTILLA!W17</f>
        <v>10.349999999999996</v>
      </c>
      <c r="M15" s="163">
        <f>PLANTILLA!X17</f>
        <v>12.749777777777778</v>
      </c>
      <c r="N15" s="163">
        <f>PLANTILLA!Y17</f>
        <v>5.1199999999999983</v>
      </c>
      <c r="O15" s="163">
        <f>PLANTILLA!Z17</f>
        <v>9.24</v>
      </c>
      <c r="P15" s="163">
        <f>PLANTILLA!AA17</f>
        <v>2.98</v>
      </c>
      <c r="Q15" s="163">
        <f>PLANTILLA!AB17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3.6942600674398567</v>
      </c>
      <c r="AE15" s="159">
        <f t="shared" si="15"/>
        <v>4.9602382247574184</v>
      </c>
      <c r="AF15" s="159">
        <f t="shared" si="16"/>
        <v>9.4874397790995051</v>
      </c>
      <c r="AG15" s="159">
        <f t="shared" si="17"/>
        <v>2.4801191123787092</v>
      </c>
      <c r="AH15" s="159">
        <f t="shared" si="18"/>
        <v>5.9760089326232979</v>
      </c>
      <c r="AI15" s="159">
        <f t="shared" si="19"/>
        <v>12.072537478245568</v>
      </c>
      <c r="AJ15" s="159">
        <f t="shared" si="20"/>
        <v>5.4326418652105053</v>
      </c>
      <c r="AK15" s="159">
        <f t="shared" si="21"/>
        <v>2.5921908876573787</v>
      </c>
      <c r="AL15" s="159">
        <f t="shared" si="22"/>
        <v>4.6406861274004294</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14.652863460769852</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15.522101123696878</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13.67497108997695</v>
      </c>
      <c r="BH15" s="159">
        <f t="shared" si="44"/>
        <v>8.3140754545220776</v>
      </c>
      <c r="BI15" s="159">
        <f t="shared" si="45"/>
        <v>2.8949699263665032</v>
      </c>
      <c r="BJ15" s="159">
        <f t="shared" si="46"/>
        <v>6.364326822770761</v>
      </c>
      <c r="BK15" s="159">
        <f t="shared" si="47"/>
        <v>3.4642933633226414</v>
      </c>
      <c r="BL15" s="159">
        <f t="shared" si="48"/>
        <v>5.9139205281285108</v>
      </c>
      <c r="BM15" s="159">
        <f t="shared" si="49"/>
        <v>7.7260106043332932</v>
      </c>
      <c r="BN15" s="159">
        <f t="shared" si="50"/>
        <v>0.62464081398779314</v>
      </c>
      <c r="BO15" s="159">
        <f t="shared" si="51"/>
        <v>2.3620182022654372</v>
      </c>
      <c r="BP15" s="159">
        <f t="shared" si="52"/>
        <v>0.89231798752249858</v>
      </c>
      <c r="BQ15" s="159">
        <f t="shared" si="53"/>
        <v>4.734240842727548</v>
      </c>
      <c r="BR15" s="159">
        <f t="shared" si="54"/>
        <v>11.327847822851961</v>
      </c>
      <c r="BS15" s="159">
        <f t="shared" si="55"/>
        <v>1.6216636516990786</v>
      </c>
      <c r="BT15" s="159">
        <f t="shared" si="56"/>
        <v>3.7267398302410228</v>
      </c>
      <c r="BU15" s="159">
        <f t="shared" si="57"/>
        <v>3.2018468964042595</v>
      </c>
      <c r="BV15" s="159">
        <f t="shared" si="58"/>
        <v>7.06255601128208</v>
      </c>
      <c r="BW15" s="159">
        <f t="shared" si="59"/>
        <v>9.7499742672783611</v>
      </c>
      <c r="BX15" s="159">
        <f t="shared" si="60"/>
        <v>1.453491124856211</v>
      </c>
      <c r="BY15" s="159">
        <f t="shared" si="61"/>
        <v>3.7267398302410228</v>
      </c>
      <c r="BZ15" s="159">
        <f t="shared" si="62"/>
        <v>3.2018468964042595</v>
      </c>
      <c r="CA15" s="159">
        <f t="shared" si="63"/>
        <v>9.7944458090527302</v>
      </c>
      <c r="CB15" s="159">
        <f t="shared" si="64"/>
        <v>7.8587893945975926</v>
      </c>
      <c r="CC15" s="159">
        <f t="shared" si="65"/>
        <v>1.7778238551960266</v>
      </c>
      <c r="CD15" s="159">
        <f t="shared" si="66"/>
        <v>6.3019730562209331</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3.8805252809242194</v>
      </c>
    </row>
    <row r="16" spans="1:89" x14ac:dyDescent="0.25">
      <c r="A16" t="str">
        <f>PLANTILLA!D18</f>
        <v>L. Bauman</v>
      </c>
      <c r="B16" s="521">
        <f>PLANTILLA!E18</f>
        <v>30</v>
      </c>
      <c r="C16" s="521">
        <f ca="1">PLANTILLA!F18</f>
        <v>31</v>
      </c>
      <c r="D16" s="521"/>
      <c r="E16" s="317">
        <v>41686</v>
      </c>
      <c r="F16" s="371">
        <f>PLANTILLA!O18</f>
        <v>7</v>
      </c>
      <c r="G16" s="439">
        <f t="shared" si="78"/>
        <v>1</v>
      </c>
      <c r="H16" s="439">
        <f t="shared" si="75"/>
        <v>1</v>
      </c>
      <c r="I16" s="530">
        <v>1.5</v>
      </c>
      <c r="J16" s="531">
        <f>PLANTILLA!I18</f>
        <v>8</v>
      </c>
      <c r="K16" s="163">
        <f>PLANTILLA!V18</f>
        <v>0</v>
      </c>
      <c r="L16" s="163">
        <f>PLANTILLA!W18</f>
        <v>5.2811111111111115</v>
      </c>
      <c r="M16" s="163">
        <f>PLANTILLA!X18</f>
        <v>14.193842857142847</v>
      </c>
      <c r="N16" s="163">
        <f>PLANTILLA!Y18</f>
        <v>3.4924999999999993</v>
      </c>
      <c r="O16" s="163">
        <f>PLANTILLA!Z18</f>
        <v>9.1400000000000041</v>
      </c>
      <c r="P16" s="163">
        <f>PLANTILLA!AA18</f>
        <v>7.4318888888888894</v>
      </c>
      <c r="Q16" s="163">
        <f>PLANTILLA!AB18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4.0217151558721076</v>
      </c>
      <c r="AE16" s="159">
        <f t="shared" si="15"/>
        <v>3.0184173534439398</v>
      </c>
      <c r="AF16" s="159">
        <f t="shared" si="16"/>
        <v>5.7733220807935668</v>
      </c>
      <c r="AG16" s="159">
        <f t="shared" si="17"/>
        <v>1.5092086767219699</v>
      </c>
      <c r="AH16" s="159">
        <f t="shared" si="18"/>
        <v>6.5057156933225277</v>
      </c>
      <c r="AI16" s="159">
        <f t="shared" si="19"/>
        <v>7.3464126062656741</v>
      </c>
      <c r="AJ16" s="159">
        <f t="shared" si="20"/>
        <v>3.3058856728195529</v>
      </c>
      <c r="AK16" s="159">
        <f t="shared" si="21"/>
        <v>2.821959794246395</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15.951676920770041</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16.897962839798772</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14.887105261862718</v>
      </c>
      <c r="BH16" s="159">
        <f t="shared" si="44"/>
        <v>7.2877576645811182</v>
      </c>
      <c r="BI16" s="159">
        <f t="shared" si="45"/>
        <v>2.854432915820079</v>
      </c>
      <c r="BJ16" s="159">
        <f t="shared" si="46"/>
        <v>3.8728370804770127</v>
      </c>
      <c r="BK16" s="159">
        <f t="shared" si="47"/>
        <v>2.1081010087544976</v>
      </c>
      <c r="BL16" s="159">
        <f t="shared" si="48"/>
        <v>6.438123841963332</v>
      </c>
      <c r="BM16" s="159">
        <f t="shared" si="49"/>
        <v>6.550993364841279</v>
      </c>
      <c r="BN16" s="159">
        <f t="shared" si="50"/>
        <v>0.61589423909810825</v>
      </c>
      <c r="BO16" s="159">
        <f t="shared" si="51"/>
        <v>1.4373415968780665</v>
      </c>
      <c r="BP16" s="159">
        <f t="shared" si="52"/>
        <v>0.54299571437615857</v>
      </c>
      <c r="BQ16" s="159">
        <f t="shared" si="53"/>
        <v>5.1538786661386258</v>
      </c>
      <c r="BR16" s="159">
        <f t="shared" si="54"/>
        <v>9.5840382976955212</v>
      </c>
      <c r="BS16" s="159">
        <f t="shared" si="55"/>
        <v>1.5989561976585505</v>
      </c>
      <c r="BT16" s="159">
        <f t="shared" si="56"/>
        <v>2.2678056306298382</v>
      </c>
      <c r="BU16" s="159">
        <f t="shared" si="57"/>
        <v>1.9483963868791569</v>
      </c>
      <c r="BV16" s="159">
        <f t="shared" si="58"/>
        <v>7.6885730921084416</v>
      </c>
      <c r="BW16" s="159">
        <f t="shared" si="59"/>
        <v>8.2438449407827648</v>
      </c>
      <c r="BX16" s="159">
        <f t="shared" si="60"/>
        <v>1.4331385179013674</v>
      </c>
      <c r="BY16" s="159">
        <f t="shared" si="61"/>
        <v>2.2678056306298382</v>
      </c>
      <c r="BZ16" s="159">
        <f t="shared" si="62"/>
        <v>1.9483963868791569</v>
      </c>
      <c r="CA16" s="159">
        <f t="shared" si="63"/>
        <v>10.662614551913025</v>
      </c>
      <c r="CB16" s="159">
        <f t="shared" si="64"/>
        <v>6.6359423844770529</v>
      </c>
      <c r="CC16" s="159">
        <f t="shared" si="65"/>
        <v>1.7529297574330773</v>
      </c>
      <c r="CD16" s="159">
        <f t="shared" si="66"/>
        <v>6.8605729129583022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4.2244907099496931</v>
      </c>
    </row>
    <row r="17" spans="1:89" x14ac:dyDescent="0.25">
      <c r="A17" t="str">
        <f>PLANTILLA!D19</f>
        <v>W. Gelifini</v>
      </c>
      <c r="B17" s="521">
        <f>PLANTILLA!E19</f>
        <v>28</v>
      </c>
      <c r="C17" s="521">
        <f ca="1">PLANTILLA!F19</f>
        <v>93</v>
      </c>
      <c r="D17" s="521"/>
      <c r="E17" s="317">
        <v>41737</v>
      </c>
      <c r="F17" s="371">
        <f>PLANTILLA!O19</f>
        <v>5</v>
      </c>
      <c r="G17" s="439">
        <f t="shared" si="78"/>
        <v>0.84515425472851657</v>
      </c>
      <c r="H17" s="439">
        <f t="shared" si="75"/>
        <v>0.92504826128926143</v>
      </c>
      <c r="I17" s="530">
        <v>1.5</v>
      </c>
      <c r="J17" s="531">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12.045769477128738</v>
      </c>
      <c r="W17" s="163">
        <f t="shared" ca="1" si="7"/>
        <v>13.184478511900247</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1">
        <f>PLANTILLA!E20</f>
        <v>28</v>
      </c>
      <c r="C18" s="521">
        <f ca="1">PLANTILLA!F20</f>
        <v>100</v>
      </c>
      <c r="D18" s="521" t="str">
        <f>PLANTILLA!G20</f>
        <v>IMP</v>
      </c>
      <c r="E18" s="317">
        <v>41730</v>
      </c>
      <c r="F18" s="371">
        <f>PLANTILLA!O20</f>
        <v>5</v>
      </c>
      <c r="G18" s="439">
        <f t="shared" si="78"/>
        <v>0.84515425472851657</v>
      </c>
      <c r="H18" s="439">
        <f t="shared" si="75"/>
        <v>0.92504826128926143</v>
      </c>
      <c r="I18" s="530">
        <v>1.5</v>
      </c>
      <c r="J18" s="531">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PLANTILLA!D22</f>
        <v>J. Limon</v>
      </c>
      <c r="B19" s="521">
        <f>PLANTILLA!E22</f>
        <v>29</v>
      </c>
      <c r="C19" s="521">
        <f ca="1">PLANTILLA!F22</f>
        <v>68</v>
      </c>
      <c r="D19" s="521" t="str">
        <f>PLANTILLA!G22</f>
        <v>RAP</v>
      </c>
      <c r="E19" s="317">
        <v>41664</v>
      </c>
      <c r="F19" s="371">
        <f>PLANTILLA!O22</f>
        <v>7</v>
      </c>
      <c r="G19" s="439">
        <f t="shared" si="78"/>
        <v>1</v>
      </c>
      <c r="H19" s="439">
        <f t="shared" si="75"/>
        <v>1</v>
      </c>
      <c r="I19" s="530">
        <v>1.5</v>
      </c>
      <c r="J19" s="531">
        <f>PLANTILLA!I22</f>
        <v>10</v>
      </c>
      <c r="K19" s="163">
        <f>PLANTILLA!V22</f>
        <v>0</v>
      </c>
      <c r="L19" s="163">
        <f>PLANTILLA!W22</f>
        <v>6.8176190476190497</v>
      </c>
      <c r="M19" s="163">
        <f>PLANTILLA!X22</f>
        <v>8.3125</v>
      </c>
      <c r="N19" s="163">
        <f>PLANTILLA!Y22</f>
        <v>8.7199999999999971</v>
      </c>
      <c r="O19" s="163">
        <f>PLANTILLA!Z22</f>
        <v>9.6900000000000013</v>
      </c>
      <c r="P19" s="163">
        <f>PLANTILLA!AA22</f>
        <v>8.5625000000000018</v>
      </c>
      <c r="Q19" s="163">
        <f>PLANTILLA!AB22</f>
        <v>18.639999999999993</v>
      </c>
      <c r="R19" s="163">
        <f t="shared" si="2"/>
        <v>3.6497023809523816</v>
      </c>
      <c r="S19" s="163">
        <f t="shared" si="3"/>
        <v>23.127416666666669</v>
      </c>
      <c r="T19" s="163">
        <f t="shared" si="4"/>
        <v>0.9873249999999999</v>
      </c>
      <c r="U19" s="163">
        <f t="shared" si="5"/>
        <v>0.83190476190476181</v>
      </c>
      <c r="V19" s="163">
        <f t="shared" ca="1" si="6"/>
        <v>20.973333333333326</v>
      </c>
      <c r="W19" s="163">
        <f t="shared" ca="1" si="7"/>
        <v>20.973333333333326</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2.6527083333333334</v>
      </c>
      <c r="AE19" s="159">
        <f t="shared" si="15"/>
        <v>3.6480600000000014</v>
      </c>
      <c r="AF19" s="159">
        <f t="shared" si="16"/>
        <v>6.9776385714285736</v>
      </c>
      <c r="AG19" s="159">
        <f t="shared" si="17"/>
        <v>1.8240300000000007</v>
      </c>
      <c r="AH19" s="159">
        <f t="shared" si="18"/>
        <v>4.2911458333333341</v>
      </c>
      <c r="AI19" s="159">
        <f t="shared" si="19"/>
        <v>8.8788761904761948</v>
      </c>
      <c r="AJ19" s="159">
        <f t="shared" si="20"/>
        <v>3.9954942857142868</v>
      </c>
      <c r="AK19" s="159">
        <f t="shared" si="21"/>
        <v>1.8613541666666669</v>
      </c>
      <c r="AL19" s="159">
        <f t="shared" si="22"/>
        <v>6.7933599999999981</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10.521666666666667</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11.145833333333334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9.8194791666666674</v>
      </c>
      <c r="BH19" s="159">
        <f t="shared" si="44"/>
        <v>10.576463333333333</v>
      </c>
      <c r="BI19" s="159">
        <f t="shared" si="45"/>
        <v>3.0181233333333335</v>
      </c>
      <c r="BJ19" s="159">
        <f t="shared" si="46"/>
        <v>4.6807119047619068</v>
      </c>
      <c r="BK19" s="159">
        <f t="shared" si="47"/>
        <v>2.5478514285714295</v>
      </c>
      <c r="BL19" s="159">
        <f t="shared" si="48"/>
        <v>4.2465625000000005</v>
      </c>
      <c r="BM19" s="159">
        <f t="shared" si="49"/>
        <v>10.292583333333333</v>
      </c>
      <c r="BN19" s="159">
        <f t="shared" si="50"/>
        <v>0.65121333333333342</v>
      </c>
      <c r="BO19" s="159">
        <f t="shared" si="51"/>
        <v>1.7371714285714293</v>
      </c>
      <c r="BP19" s="159">
        <f t="shared" si="52"/>
        <v>0.65626476190476224</v>
      </c>
      <c r="BQ19" s="159">
        <f t="shared" si="53"/>
        <v>3.3994791666666666</v>
      </c>
      <c r="BR19" s="159">
        <f t="shared" si="54"/>
        <v>15.135006666666666</v>
      </c>
      <c r="BS19" s="159">
        <f t="shared" si="55"/>
        <v>1.6906500000000004</v>
      </c>
      <c r="BT19" s="159">
        <f t="shared" si="56"/>
        <v>2.740870476190477</v>
      </c>
      <c r="BU19" s="159">
        <f t="shared" si="57"/>
        <v>2.3548323809523817</v>
      </c>
      <c r="BV19" s="159">
        <f t="shared" si="58"/>
        <v>5.0713541666666675</v>
      </c>
      <c r="BW19" s="159">
        <f t="shared" si="59"/>
        <v>13.037773333333332</v>
      </c>
      <c r="BX19" s="159">
        <f t="shared" si="60"/>
        <v>1.5153233333333336</v>
      </c>
      <c r="BY19" s="159">
        <f t="shared" si="61"/>
        <v>2.740870476190477</v>
      </c>
      <c r="BZ19" s="159">
        <f t="shared" si="62"/>
        <v>2.3548323809523817</v>
      </c>
      <c r="CA19" s="159">
        <f t="shared" si="63"/>
        <v>7.0330208333333335</v>
      </c>
      <c r="CB19" s="159">
        <f t="shared" si="64"/>
        <v>10.527443333333332</v>
      </c>
      <c r="CC19" s="159">
        <f t="shared" si="65"/>
        <v>1.8534533333333336</v>
      </c>
      <c r="CD19" s="159">
        <f t="shared" si="66"/>
        <v>4.5252083333333335</v>
      </c>
      <c r="CE19" s="159">
        <f t="shared" si="67"/>
        <v>6.2417841666666671</v>
      </c>
      <c r="CF19" s="159">
        <f t="shared" si="68"/>
        <v>13.443940833333336</v>
      </c>
      <c r="CG19" s="159">
        <f t="shared" si="69"/>
        <v>6.2417841666666671</v>
      </c>
      <c r="CH19" s="159">
        <f t="shared" si="70"/>
        <v>7.1645166666666666</v>
      </c>
      <c r="CI19" s="159">
        <f t="shared" si="71"/>
        <v>16.016943333333337</v>
      </c>
      <c r="CJ19" s="159">
        <f t="shared" si="72"/>
        <v>7.1645166666666666</v>
      </c>
      <c r="CK19" s="159">
        <f t="shared" si="73"/>
        <v>2.7864583333333335</v>
      </c>
    </row>
    <row r="20" spans="1:89" x14ac:dyDescent="0.25">
      <c r="A20" t="str">
        <f>PLANTILLA!D23</f>
        <v>L. Calosso</v>
      </c>
      <c r="B20" s="521">
        <f>PLANTILLA!E23</f>
        <v>30</v>
      </c>
      <c r="C20" s="521">
        <f ca="1">PLANTILLA!F23</f>
        <v>25</v>
      </c>
      <c r="D20" s="521" t="str">
        <f>PLANTILLA!G23</f>
        <v>TEC</v>
      </c>
      <c r="E20" s="317">
        <v>41890</v>
      </c>
      <c r="F20" s="371">
        <f>PLANTILLA!O23</f>
        <v>5</v>
      </c>
      <c r="G20" s="439">
        <f t="shared" si="78"/>
        <v>0.84515425472851657</v>
      </c>
      <c r="H20" s="439">
        <f t="shared" si="75"/>
        <v>0.92504826128926143</v>
      </c>
      <c r="I20" s="530">
        <v>1.5</v>
      </c>
      <c r="J20" s="531">
        <f>PLANTILLA!I23</f>
        <v>10.1</v>
      </c>
      <c r="K20" s="163">
        <f>PLANTILLA!V23</f>
        <v>0</v>
      </c>
      <c r="L20" s="163">
        <f>PLANTILLA!W23</f>
        <v>2</v>
      </c>
      <c r="M20" s="163">
        <f>PLANTILLA!X23</f>
        <v>14.0938</v>
      </c>
      <c r="N20" s="163">
        <f>PLANTILLA!Y23</f>
        <v>3</v>
      </c>
      <c r="O20" s="163">
        <f>PLANTILLA!Z23</f>
        <v>15.02</v>
      </c>
      <c r="P20" s="163">
        <f>PLANTILLA!AA23</f>
        <v>10</v>
      </c>
      <c r="Q20" s="163">
        <f>PLANTILLA!AB23</f>
        <v>9.3000000000000007</v>
      </c>
      <c r="R20" s="163">
        <f t="shared" si="2"/>
        <v>4.38</v>
      </c>
      <c r="S20" s="163">
        <f t="shared" si="3"/>
        <v>20.38940031474619</v>
      </c>
      <c r="T20" s="163">
        <f t="shared" si="4"/>
        <v>0.77900000000000003</v>
      </c>
      <c r="U20" s="163">
        <f t="shared" si="5"/>
        <v>0.35899999999999999</v>
      </c>
      <c r="V20" s="163">
        <f t="shared" ca="1" si="6"/>
        <v>9.8368307999266413</v>
      </c>
      <c r="W20" s="163">
        <f t="shared" ca="1" si="7"/>
        <v>10.766724745403762</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4.0300290492803583</v>
      </c>
      <c r="AE20" s="159">
        <f t="shared" si="15"/>
        <v>1.8291779723864519</v>
      </c>
      <c r="AF20" s="159">
        <f t="shared" si="16"/>
        <v>3.4986658043264671</v>
      </c>
      <c r="AG20" s="159">
        <f t="shared" si="17"/>
        <v>0.91458898619322593</v>
      </c>
      <c r="AH20" s="159">
        <f t="shared" si="18"/>
        <v>6.5191646385417563</v>
      </c>
      <c r="AI20" s="159">
        <f t="shared" si="19"/>
        <v>4.4519675518400419</v>
      </c>
      <c r="AJ20" s="159">
        <f t="shared" si="20"/>
        <v>2.0033853983280183</v>
      </c>
      <c r="AK20" s="159">
        <f t="shared" si="21"/>
        <v>2.8277934925622685</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15.984653035801085</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16.932895165043522</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14.917880640403343</v>
      </c>
      <c r="BH20" s="159">
        <f t="shared" si="44"/>
        <v>8.9772556017236926</v>
      </c>
      <c r="BI20" s="159">
        <f t="shared" si="45"/>
        <v>4.3040419347754888</v>
      </c>
      <c r="BJ20" s="159">
        <f t="shared" si="46"/>
        <v>2.3469611550461087</v>
      </c>
      <c r="BK20" s="159">
        <f t="shared" si="47"/>
        <v>1.2775211235714903</v>
      </c>
      <c r="BL20" s="159">
        <f t="shared" si="48"/>
        <v>6.4514330578815819</v>
      </c>
      <c r="BM20" s="159">
        <f t="shared" si="49"/>
        <v>7.5193891742480403</v>
      </c>
      <c r="BN20" s="159">
        <f t="shared" si="50"/>
        <v>0.92867294858226324</v>
      </c>
      <c r="BO20" s="159">
        <f t="shared" si="51"/>
        <v>0.8710371297078342</v>
      </c>
      <c r="BP20" s="159">
        <f t="shared" si="52"/>
        <v>0.32905847122295961</v>
      </c>
      <c r="BQ20" s="159">
        <f t="shared" si="53"/>
        <v>5.1645330253382742</v>
      </c>
      <c r="BR20" s="159">
        <f t="shared" si="54"/>
        <v>10.946796382245971</v>
      </c>
      <c r="BS20" s="159">
        <f t="shared" si="55"/>
        <v>2.4109778472808761</v>
      </c>
      <c r="BT20" s="159">
        <f t="shared" si="56"/>
        <v>1.3743030268723604</v>
      </c>
      <c r="BU20" s="159">
        <f t="shared" si="57"/>
        <v>1.1807392202706197</v>
      </c>
      <c r="BV20" s="159">
        <f t="shared" si="58"/>
        <v>7.7044673000948025</v>
      </c>
      <c r="BW20" s="159">
        <f t="shared" si="59"/>
        <v>9.402597442868224</v>
      </c>
      <c r="BX20" s="159">
        <f t="shared" si="60"/>
        <v>2.1609505149702661</v>
      </c>
      <c r="BY20" s="159">
        <f t="shared" si="61"/>
        <v>1.3743030268723604</v>
      </c>
      <c r="BZ20" s="159">
        <f t="shared" si="62"/>
        <v>1.1807392202706197</v>
      </c>
      <c r="CA20" s="159">
        <f t="shared" si="63"/>
        <v>10.684656849142463</v>
      </c>
      <c r="CB20" s="159">
        <f t="shared" si="64"/>
        <v>7.5458501727139531</v>
      </c>
      <c r="CC20" s="159">
        <f t="shared" si="65"/>
        <v>2.6431460844264412</v>
      </c>
      <c r="CD20" s="159">
        <f t="shared" si="66"/>
        <v>6.8747554370076704</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4.2332237912608806</v>
      </c>
    </row>
    <row r="21" spans="1:89" x14ac:dyDescent="0.25">
      <c r="A21" t="str">
        <f>PLANTILLA!D24</f>
        <v>P .Trivadi</v>
      </c>
      <c r="B21" s="521">
        <f>PLANTILLA!E24</f>
        <v>26</v>
      </c>
      <c r="C21" s="521">
        <f ca="1">PLANTILLA!F24</f>
        <v>99</v>
      </c>
      <c r="D21" s="521"/>
      <c r="E21" s="317">
        <v>41973</v>
      </c>
      <c r="F21" s="371">
        <f>PLANTILLA!O24</f>
        <v>5</v>
      </c>
      <c r="G21" s="439">
        <f t="shared" si="78"/>
        <v>0.84515425472851657</v>
      </c>
      <c r="H21" s="439">
        <f t="shared" si="75"/>
        <v>0.92504826128926143</v>
      </c>
      <c r="I21" s="530">
        <v>1.5</v>
      </c>
      <c r="J21" s="531">
        <f>PLANTILLA!I24</f>
        <v>5.3</v>
      </c>
      <c r="K21" s="163">
        <f>PLANTILLA!V24</f>
        <v>0</v>
      </c>
      <c r="L21" s="163">
        <f>PLANTILLA!W24</f>
        <v>4</v>
      </c>
      <c r="M21" s="163">
        <f>PLANTILLA!X24</f>
        <v>5.5138722222222212</v>
      </c>
      <c r="N21" s="163">
        <f>PLANTILLA!Y24</f>
        <v>5.47</v>
      </c>
      <c r="O21" s="163">
        <f>PLANTILLA!Z24</f>
        <v>10.799999999999999</v>
      </c>
      <c r="P21" s="163">
        <f>PLANTILLA!AA24</f>
        <v>8.384500000000001</v>
      </c>
      <c r="Q21" s="163">
        <f>PLANTILLA!AB24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2017-11-23T15:34:56Z</dcterms:modified>
</cp:coreProperties>
</file>